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 tabRatio="886" activeTab="1"/>
  </bookViews>
  <sheets>
    <sheet name="COST SUMMARY" sheetId="12" r:id="rId1"/>
    <sheet name="BASE BID" sheetId="26" r:id="rId2"/>
    <sheet name="HOURLY RATES" sheetId="22" r:id="rId3"/>
  </sheets>
  <definedNames>
    <definedName name="_xlnm._FilterDatabase" localSheetId="1" hidden="1">'BASE BID'!$O$1:$O$1039</definedName>
    <definedName name="_xlnm._FilterDatabase" localSheetId="0" hidden="1">'COST SUMMARY'!#REF!</definedName>
    <definedName name="_xlnm._FilterDatabase" localSheetId="2" hidden="1">'HOURLY RATES'!$B$8:$D$104</definedName>
    <definedName name="_xlnm.Print_Area" localSheetId="1">'BASE BID'!$A$1:$R$1022</definedName>
    <definedName name="_xlnm.Print_Area" localSheetId="0">'COST SUMMARY'!$A$1:$Q$104</definedName>
    <definedName name="_xlnm.Print_Titles" localSheetId="1">'BASE BID'!$17:$17</definedName>
    <definedName name="_xlnm.Print_Titles" localSheetId="0">'COST SUMMARY'!#REF!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6" i="12" l="1"/>
  <c r="M40" i="12"/>
  <c r="O605" i="26"/>
  <c r="O831" i="26"/>
  <c r="K831" i="26"/>
  <c r="K605" i="26"/>
  <c r="K601" i="26"/>
  <c r="K106" i="26" l="1"/>
  <c r="K420" i="26"/>
  <c r="O278" i="26"/>
  <c r="M1013" i="26" l="1"/>
  <c r="M1010" i="26"/>
  <c r="M1009" i="26"/>
  <c r="M1008" i="26"/>
  <c r="M1007" i="26"/>
  <c r="M1006" i="26"/>
  <c r="M1005" i="26"/>
  <c r="M1004" i="26"/>
  <c r="M1003" i="26"/>
  <c r="M1000" i="26"/>
  <c r="M999" i="26"/>
  <c r="M998" i="26"/>
  <c r="M995" i="26"/>
  <c r="M994" i="26"/>
  <c r="M993" i="26"/>
  <c r="M992" i="26"/>
  <c r="M989" i="26"/>
  <c r="M988" i="26"/>
  <c r="M985" i="26"/>
  <c r="M982" i="26"/>
  <c r="M979" i="26"/>
  <c r="M978" i="26"/>
  <c r="M977" i="26"/>
  <c r="M976" i="26"/>
  <c r="M975" i="26"/>
  <c r="M974" i="26"/>
  <c r="M969" i="26"/>
  <c r="M968" i="26"/>
  <c r="M967" i="26"/>
  <c r="M964" i="26"/>
  <c r="M963" i="26"/>
  <c r="M961" i="26"/>
  <c r="M960" i="26"/>
  <c r="M958" i="26"/>
  <c r="M957" i="26"/>
  <c r="M954" i="26"/>
  <c r="M952" i="26"/>
  <c r="M950" i="26"/>
  <c r="M949" i="26"/>
  <c r="M947" i="26"/>
  <c r="M946" i="26"/>
  <c r="M943" i="26"/>
  <c r="M942" i="26"/>
  <c r="M940" i="26"/>
  <c r="M937" i="26"/>
  <c r="M935" i="26"/>
  <c r="M934" i="26"/>
  <c r="M932" i="26"/>
  <c r="M930" i="26"/>
  <c r="M928" i="26"/>
  <c r="M927" i="26"/>
  <c r="M926" i="26"/>
  <c r="M923" i="26"/>
  <c r="M921" i="26"/>
  <c r="M920" i="26"/>
  <c r="M915" i="26"/>
  <c r="M913" i="26"/>
  <c r="M912" i="26"/>
  <c r="M911" i="26"/>
  <c r="M908" i="26"/>
  <c r="M907" i="26"/>
  <c r="M906" i="26"/>
  <c r="M903" i="26"/>
  <c r="M899" i="26"/>
  <c r="M897" i="26"/>
  <c r="M894" i="26"/>
  <c r="M890" i="26"/>
  <c r="M889" i="26"/>
  <c r="M888" i="26"/>
  <c r="M887" i="26"/>
  <c r="M886" i="26"/>
  <c r="M885" i="26"/>
  <c r="M881" i="26"/>
  <c r="M880" i="26"/>
  <c r="M879" i="26"/>
  <c r="M878" i="26"/>
  <c r="M877" i="26"/>
  <c r="M876" i="26"/>
  <c r="M873" i="26"/>
  <c r="M872" i="26"/>
  <c r="M871" i="26"/>
  <c r="M870" i="26"/>
  <c r="M869" i="26"/>
  <c r="M868" i="26"/>
  <c r="M865" i="26"/>
  <c r="M863" i="26"/>
  <c r="M860" i="26"/>
  <c r="M858" i="26"/>
  <c r="M855" i="26"/>
  <c r="M853" i="26"/>
  <c r="M850" i="26"/>
  <c r="M847" i="26"/>
  <c r="M846" i="26"/>
  <c r="M845" i="26"/>
  <c r="M842" i="26"/>
  <c r="M841" i="26"/>
  <c r="M840" i="26"/>
  <c r="M837" i="26"/>
  <c r="M835" i="26"/>
  <c r="M831" i="26"/>
  <c r="M829" i="26"/>
  <c r="M828" i="26"/>
  <c r="M825" i="26"/>
  <c r="M824" i="26"/>
  <c r="M823" i="26"/>
  <c r="M818" i="26"/>
  <c r="M816" i="26"/>
  <c r="M815" i="26"/>
  <c r="M813" i="26"/>
  <c r="M812" i="26"/>
  <c r="M809" i="26"/>
  <c r="M808" i="26"/>
  <c r="M805" i="26"/>
  <c r="M804" i="26"/>
  <c r="M803" i="26"/>
  <c r="M800" i="26"/>
  <c r="M799" i="26"/>
  <c r="M798" i="26"/>
  <c r="M795" i="26"/>
  <c r="M794" i="26"/>
  <c r="M793" i="26"/>
  <c r="M792" i="26"/>
  <c r="M791" i="26"/>
  <c r="M790" i="26"/>
  <c r="M789" i="26"/>
  <c r="M788" i="26"/>
  <c r="M787" i="26"/>
  <c r="M786" i="26"/>
  <c r="M783" i="26"/>
  <c r="M782" i="26"/>
  <c r="M781" i="26"/>
  <c r="M780" i="26"/>
  <c r="M779" i="26"/>
  <c r="M775" i="26"/>
  <c r="M774" i="26"/>
  <c r="M773" i="26"/>
  <c r="M772" i="26"/>
  <c r="M771" i="26"/>
  <c r="M770" i="26"/>
  <c r="M769" i="26"/>
  <c r="M768" i="26"/>
  <c r="M767" i="26"/>
  <c r="M766" i="26"/>
  <c r="M765" i="26"/>
  <c r="M761" i="26"/>
  <c r="M756" i="26"/>
  <c r="M754" i="26"/>
  <c r="M751" i="26"/>
  <c r="M748" i="26"/>
  <c r="M747" i="26"/>
  <c r="M746" i="26"/>
  <c r="M743" i="26"/>
  <c r="M742" i="26"/>
  <c r="M739" i="26"/>
  <c r="M738" i="26"/>
  <c r="M735" i="26"/>
  <c r="M734" i="26"/>
  <c r="M733" i="26"/>
  <c r="M732" i="26"/>
  <c r="M731" i="26"/>
  <c r="M730" i="26"/>
  <c r="M729" i="26"/>
  <c r="M728" i="26"/>
  <c r="M725" i="26"/>
  <c r="M724" i="26"/>
  <c r="M723" i="26"/>
  <c r="M722" i="26"/>
  <c r="M721" i="26"/>
  <c r="M720" i="26"/>
  <c r="M719" i="26"/>
  <c r="M718" i="26"/>
  <c r="M717" i="26"/>
  <c r="M716" i="26"/>
  <c r="M712" i="26"/>
  <c r="M711" i="26"/>
  <c r="M710" i="26"/>
  <c r="M708" i="26"/>
  <c r="M707" i="26"/>
  <c r="M706" i="26"/>
  <c r="M702" i="26"/>
  <c r="M701" i="26"/>
  <c r="M698" i="26"/>
  <c r="M697" i="26"/>
  <c r="M696" i="26"/>
  <c r="M695" i="26"/>
  <c r="M694" i="26"/>
  <c r="M693" i="26"/>
  <c r="M692" i="26"/>
  <c r="M691" i="26"/>
  <c r="M690" i="26"/>
  <c r="M689" i="26"/>
  <c r="M688" i="26"/>
  <c r="M687" i="26"/>
  <c r="M681" i="26"/>
  <c r="M679" i="26"/>
  <c r="M678" i="26"/>
  <c r="M675" i="26"/>
  <c r="M674" i="26"/>
  <c r="M673" i="26"/>
  <c r="M672" i="26"/>
  <c r="M671" i="26"/>
  <c r="M670" i="26"/>
  <c r="M669" i="26"/>
  <c r="M668" i="26"/>
  <c r="M665" i="26"/>
  <c r="M663" i="26"/>
  <c r="M662" i="26"/>
  <c r="M661" i="26"/>
  <c r="M660" i="26"/>
  <c r="M655" i="26"/>
  <c r="M654" i="26"/>
  <c r="M653" i="26"/>
  <c r="M651" i="26"/>
  <c r="M650" i="26"/>
  <c r="M646" i="26"/>
  <c r="M645" i="26"/>
  <c r="M644" i="26"/>
  <c r="M641" i="26"/>
  <c r="M640" i="26"/>
  <c r="M637" i="26"/>
  <c r="M636" i="26"/>
  <c r="M635" i="26"/>
  <c r="M634" i="26"/>
  <c r="M629" i="26"/>
  <c r="M628" i="26"/>
  <c r="M627" i="26"/>
  <c r="M626" i="26"/>
  <c r="M623" i="26"/>
  <c r="M622" i="26"/>
  <c r="M621" i="26"/>
  <c r="M620" i="26"/>
  <c r="M619" i="26"/>
  <c r="M618" i="26"/>
  <c r="M615" i="26"/>
  <c r="M614" i="26"/>
  <c r="M613" i="26"/>
  <c r="M612" i="26"/>
  <c r="M611" i="26"/>
  <c r="M605" i="26"/>
  <c r="M601" i="26"/>
  <c r="M597" i="26"/>
  <c r="M596" i="26"/>
  <c r="M595" i="26"/>
  <c r="M594" i="26"/>
  <c r="M593" i="26"/>
  <c r="M591" i="26"/>
  <c r="M590" i="26"/>
  <c r="M589" i="26"/>
  <c r="M588" i="26"/>
  <c r="M587" i="26"/>
  <c r="M582" i="26"/>
  <c r="M581" i="26"/>
  <c r="M580" i="26"/>
  <c r="M579" i="26"/>
  <c r="M578" i="26"/>
  <c r="M577" i="26"/>
  <c r="M573" i="26"/>
  <c r="M572" i="26"/>
  <c r="M571" i="26"/>
  <c r="M570" i="26"/>
  <c r="M569" i="26"/>
  <c r="M564" i="26"/>
  <c r="M561" i="26"/>
  <c r="M560" i="26"/>
  <c r="M559" i="26"/>
  <c r="M558" i="26"/>
  <c r="M557" i="26"/>
  <c r="M556" i="26"/>
  <c r="M555" i="26"/>
  <c r="M554" i="26"/>
  <c r="M553" i="26"/>
  <c r="M552" i="26"/>
  <c r="M551" i="26"/>
  <c r="M550" i="26"/>
  <c r="M549" i="26"/>
  <c r="M548" i="26"/>
  <c r="M547" i="26"/>
  <c r="M544" i="26"/>
  <c r="M541" i="26"/>
  <c r="M540" i="26"/>
  <c r="M533" i="26"/>
  <c r="M532" i="26"/>
  <c r="M531" i="26"/>
  <c r="M530" i="26"/>
  <c r="M529" i="26"/>
  <c r="M528" i="26"/>
  <c r="M527" i="26"/>
  <c r="M526" i="26"/>
  <c r="M525" i="26"/>
  <c r="M524" i="26"/>
  <c r="M521" i="26"/>
  <c r="M520" i="26"/>
  <c r="M519" i="26"/>
  <c r="M518" i="26"/>
  <c r="M517" i="26"/>
  <c r="M516" i="26"/>
  <c r="M515" i="26"/>
  <c r="M514" i="26"/>
  <c r="M513" i="26"/>
  <c r="M512" i="26"/>
  <c r="M511" i="26"/>
  <c r="M508" i="26"/>
  <c r="M505" i="26"/>
  <c r="M504" i="26"/>
  <c r="M503" i="26"/>
  <c r="M501" i="26"/>
  <c r="M500" i="26"/>
  <c r="M496" i="26"/>
  <c r="M495" i="26"/>
  <c r="M494" i="26"/>
  <c r="M492" i="26"/>
  <c r="M491" i="26"/>
  <c r="M490" i="26"/>
  <c r="M489" i="26"/>
  <c r="M486" i="26"/>
  <c r="M485" i="26"/>
  <c r="M484" i="26"/>
  <c r="M483" i="26"/>
  <c r="M480" i="26"/>
  <c r="M479" i="26"/>
  <c r="M478" i="26"/>
  <c r="M477" i="26"/>
  <c r="M474" i="26"/>
  <c r="M473" i="26"/>
  <c r="M472" i="26"/>
  <c r="M471" i="26"/>
  <c r="M468" i="26"/>
  <c r="M467" i="26"/>
  <c r="M466" i="26"/>
  <c r="M465" i="26"/>
  <c r="M462" i="26"/>
  <c r="M461" i="26"/>
  <c r="M460" i="26"/>
  <c r="M459" i="26"/>
  <c r="M458" i="26"/>
  <c r="M457" i="26"/>
  <c r="M454" i="26"/>
  <c r="M453" i="26"/>
  <c r="M452" i="26"/>
  <c r="M451" i="26"/>
  <c r="M450" i="26"/>
  <c r="M449" i="26"/>
  <c r="M446" i="26"/>
  <c r="M445" i="26"/>
  <c r="M444" i="26"/>
  <c r="M443" i="26"/>
  <c r="M442" i="26"/>
  <c r="M441" i="26"/>
  <c r="M438" i="26"/>
  <c r="M437" i="26"/>
  <c r="M436" i="26"/>
  <c r="M435" i="26"/>
  <c r="M434" i="26"/>
  <c r="M433" i="26"/>
  <c r="M432" i="26"/>
  <c r="M429" i="26"/>
  <c r="M428" i="26"/>
  <c r="M427" i="26"/>
  <c r="M426" i="26"/>
  <c r="M425" i="26"/>
  <c r="M424" i="26"/>
  <c r="M423" i="26"/>
  <c r="M420" i="26"/>
  <c r="M419" i="26"/>
  <c r="M418" i="26"/>
  <c r="M417" i="26"/>
  <c r="M416" i="26"/>
  <c r="M415" i="26"/>
  <c r="M414" i="26"/>
  <c r="M411" i="26"/>
  <c r="M410" i="26"/>
  <c r="M409" i="26"/>
  <c r="M408" i="26"/>
  <c r="M407" i="26"/>
  <c r="M406" i="26"/>
  <c r="M405" i="26"/>
  <c r="M402" i="26"/>
  <c r="M401" i="26"/>
  <c r="M400" i="26"/>
  <c r="M399" i="26"/>
  <c r="M398" i="26"/>
  <c r="M397" i="26"/>
  <c r="M394" i="26"/>
  <c r="M393" i="26"/>
  <c r="M392" i="26"/>
  <c r="M391" i="26"/>
  <c r="M390" i="26"/>
  <c r="M389" i="26"/>
  <c r="M388" i="26"/>
  <c r="M385" i="26"/>
  <c r="M384" i="26"/>
  <c r="M383" i="26"/>
  <c r="M382" i="26"/>
  <c r="M381" i="26"/>
  <c r="M380" i="26"/>
  <c r="M379" i="26"/>
  <c r="M376" i="26"/>
  <c r="M375" i="26"/>
  <c r="M374" i="26"/>
  <c r="M373" i="26"/>
  <c r="M372" i="26"/>
  <c r="M371" i="26"/>
  <c r="M368" i="26"/>
  <c r="M367" i="26"/>
  <c r="M366" i="26"/>
  <c r="M365" i="26"/>
  <c r="M364" i="26"/>
  <c r="M363" i="26"/>
  <c r="M360" i="26"/>
  <c r="M359" i="26"/>
  <c r="M358" i="26"/>
  <c r="M357" i="26"/>
  <c r="M356" i="26"/>
  <c r="M355" i="26"/>
  <c r="M352" i="26"/>
  <c r="M351" i="26"/>
  <c r="M350" i="26"/>
  <c r="M349" i="26"/>
  <c r="M348" i="26"/>
  <c r="M347" i="26"/>
  <c r="M346" i="26"/>
  <c r="M343" i="26"/>
  <c r="M342" i="26"/>
  <c r="M341" i="26"/>
  <c r="M340" i="26"/>
  <c r="M339" i="26"/>
  <c r="M338" i="26"/>
  <c r="M337" i="26"/>
  <c r="M331" i="26"/>
  <c r="M330" i="26"/>
  <c r="M329" i="26"/>
  <c r="M328" i="26"/>
  <c r="M327" i="26"/>
  <c r="M326" i="26"/>
  <c r="M325" i="26"/>
  <c r="M324" i="26"/>
  <c r="M323" i="26"/>
  <c r="M322" i="26"/>
  <c r="M321" i="26"/>
  <c r="M320" i="26"/>
  <c r="M319" i="26"/>
  <c r="M316" i="26"/>
  <c r="M315" i="26"/>
  <c r="M314" i="26"/>
  <c r="M313" i="26"/>
  <c r="M312" i="26"/>
  <c r="M309" i="26"/>
  <c r="M308" i="26"/>
  <c r="M307" i="26"/>
  <c r="M306" i="26"/>
  <c r="M305" i="26"/>
  <c r="M304" i="26"/>
  <c r="M303" i="26"/>
  <c r="M302" i="26"/>
  <c r="M301" i="26"/>
  <c r="M300" i="26"/>
  <c r="M299" i="26"/>
  <c r="M298" i="26"/>
  <c r="M297" i="26"/>
  <c r="M296" i="26"/>
  <c r="M295" i="26"/>
  <c r="M290" i="26"/>
  <c r="M288" i="26"/>
  <c r="M287" i="26"/>
  <c r="M286" i="26"/>
  <c r="M285" i="26"/>
  <c r="M282" i="26"/>
  <c r="M281" i="26"/>
  <c r="M278" i="26"/>
  <c r="M277" i="26"/>
  <c r="M276" i="26"/>
  <c r="M275" i="26"/>
  <c r="M271" i="26"/>
  <c r="M270" i="26"/>
  <c r="M267" i="26"/>
  <c r="M264" i="26"/>
  <c r="M263" i="26"/>
  <c r="M260" i="26"/>
  <c r="M259" i="26"/>
  <c r="M258" i="26"/>
  <c r="M257" i="26"/>
  <c r="M256" i="26"/>
  <c r="M255" i="26"/>
  <c r="M253" i="26"/>
  <c r="M252" i="26"/>
  <c r="M251" i="26"/>
  <c r="M250" i="26"/>
  <c r="M249" i="26"/>
  <c r="M248" i="26"/>
  <c r="M245" i="26"/>
  <c r="M244" i="26"/>
  <c r="M243" i="26"/>
  <c r="M242" i="26"/>
  <c r="M239" i="26"/>
  <c r="M238" i="26"/>
  <c r="M234" i="26"/>
  <c r="M233" i="26"/>
  <c r="M228" i="26"/>
  <c r="M227" i="26"/>
  <c r="M224" i="26"/>
  <c r="M223" i="26"/>
  <c r="M220" i="26"/>
  <c r="M219" i="26"/>
  <c r="M216" i="26"/>
  <c r="M213" i="26"/>
  <c r="M211" i="26"/>
  <c r="M210" i="26"/>
  <c r="M209" i="26"/>
  <c r="M206" i="26"/>
  <c r="M205" i="26"/>
  <c r="M203" i="26"/>
  <c r="M200" i="26"/>
  <c r="M199" i="26"/>
  <c r="M197" i="26"/>
  <c r="M195" i="26"/>
  <c r="M194" i="26"/>
  <c r="M191" i="26"/>
  <c r="M188" i="26"/>
  <c r="M187" i="26"/>
  <c r="M186" i="26"/>
  <c r="M184" i="26"/>
  <c r="M183" i="26"/>
  <c r="M182" i="26"/>
  <c r="M177" i="26"/>
  <c r="M173" i="26"/>
  <c r="M172" i="26"/>
  <c r="M171" i="26"/>
  <c r="M169" i="26"/>
  <c r="M168" i="26"/>
  <c r="M167" i="26"/>
  <c r="M161" i="26"/>
  <c r="M159" i="26"/>
  <c r="M158" i="26"/>
  <c r="M155" i="26"/>
  <c r="M154" i="26"/>
  <c r="M153" i="26"/>
  <c r="M152" i="26"/>
  <c r="M151" i="26"/>
  <c r="M148" i="26"/>
  <c r="M146" i="26"/>
  <c r="M143" i="26"/>
  <c r="M141" i="26"/>
  <c r="M140" i="26"/>
  <c r="M139" i="26"/>
  <c r="M134" i="26"/>
  <c r="M131" i="26"/>
  <c r="M130" i="26"/>
  <c r="M129" i="26"/>
  <c r="M126" i="26"/>
  <c r="M125" i="26"/>
  <c r="M123" i="26"/>
  <c r="M122" i="26"/>
  <c r="M119" i="26"/>
  <c r="M118" i="26"/>
  <c r="M115" i="26"/>
  <c r="M112" i="26"/>
  <c r="M111" i="26"/>
  <c r="M110" i="26"/>
  <c r="M109" i="26"/>
  <c r="M106" i="26"/>
  <c r="M105" i="26"/>
  <c r="M104" i="26"/>
  <c r="M103" i="26"/>
  <c r="M100" i="26"/>
  <c r="M99" i="26"/>
  <c r="M98" i="26"/>
  <c r="M97" i="26"/>
  <c r="M94" i="26"/>
  <c r="M93" i="26"/>
  <c r="M92" i="26"/>
  <c r="M87" i="26"/>
  <c r="M85" i="26"/>
  <c r="M83" i="26"/>
  <c r="M82" i="26"/>
  <c r="M80" i="26"/>
  <c r="M79" i="26"/>
  <c r="M77" i="26"/>
  <c r="M76" i="26"/>
  <c r="M75" i="26"/>
  <c r="M74" i="26"/>
  <c r="M73" i="26"/>
  <c r="M72" i="26"/>
  <c r="M71" i="26"/>
  <c r="M70" i="26"/>
  <c r="M65" i="26"/>
  <c r="M62" i="26"/>
  <c r="M61" i="26"/>
  <c r="M60" i="26"/>
  <c r="M57" i="26"/>
  <c r="M56" i="26"/>
  <c r="M55" i="26"/>
  <c r="M54" i="26"/>
  <c r="M51" i="26"/>
  <c r="M50" i="26"/>
  <c r="M49" i="26"/>
  <c r="M48" i="26"/>
  <c r="M47" i="26"/>
  <c r="M44" i="26"/>
  <c r="M43" i="26"/>
  <c r="M42" i="26"/>
  <c r="M41" i="26"/>
  <c r="M40" i="26"/>
  <c r="M39" i="26"/>
  <c r="M36" i="26"/>
  <c r="M35" i="26"/>
  <c r="M34" i="26"/>
  <c r="M31" i="26"/>
  <c r="M30" i="26"/>
  <c r="M29" i="26"/>
  <c r="M28" i="26"/>
  <c r="M27" i="26"/>
  <c r="M26" i="26"/>
  <c r="M25" i="26"/>
  <c r="M24" i="26"/>
  <c r="A84" i="26" l="1"/>
  <c r="A86" i="26"/>
  <c r="A88" i="26"/>
  <c r="A89" i="26"/>
  <c r="A90" i="26"/>
  <c r="A91" i="26"/>
  <c r="A95" i="26"/>
  <c r="A96" i="26"/>
  <c r="A101" i="26"/>
  <c r="A107" i="26"/>
  <c r="A108" i="26"/>
  <c r="A113" i="26"/>
  <c r="A114" i="26"/>
  <c r="A116" i="26"/>
  <c r="A117" i="26"/>
  <c r="A120" i="26"/>
  <c r="A121" i="26"/>
  <c r="A124" i="26"/>
  <c r="A127" i="26"/>
  <c r="A128" i="26"/>
  <c r="A132" i="26"/>
  <c r="A133" i="26"/>
  <c r="A135" i="26"/>
  <c r="A136" i="26"/>
  <c r="A137" i="26"/>
  <c r="A138" i="26"/>
  <c r="A142" i="26"/>
  <c r="A144" i="26"/>
  <c r="A145" i="26"/>
  <c r="A147" i="26"/>
  <c r="A149" i="26"/>
  <c r="A150" i="26"/>
  <c r="A156" i="26"/>
  <c r="A157" i="26"/>
  <c r="A160" i="26"/>
  <c r="A162" i="26"/>
  <c r="A163" i="26"/>
  <c r="A164" i="26"/>
  <c r="A165" i="26"/>
  <c r="A166" i="26"/>
  <c r="A170" i="26"/>
  <c r="A174" i="26"/>
  <c r="A175" i="26"/>
  <c r="A176" i="26"/>
  <c r="A178" i="26"/>
  <c r="A179" i="26"/>
  <c r="A180" i="26"/>
  <c r="A181" i="26"/>
  <c r="A185" i="26"/>
  <c r="A189" i="26"/>
  <c r="A190" i="26"/>
  <c r="A192" i="26"/>
  <c r="A193" i="26"/>
  <c r="A196" i="26"/>
  <c r="A198" i="26"/>
  <c r="A201" i="26"/>
  <c r="A202" i="26"/>
  <c r="A204" i="26"/>
  <c r="A207" i="26"/>
  <c r="A208" i="26"/>
  <c r="A212" i="26"/>
  <c r="A214" i="26"/>
  <c r="A215" i="26"/>
  <c r="A217" i="26"/>
  <c r="A218" i="26"/>
  <c r="A221" i="26"/>
  <c r="A222" i="26"/>
  <c r="A225" i="26"/>
  <c r="A226" i="26"/>
  <c r="A229" i="26"/>
  <c r="A230" i="26"/>
  <c r="A231" i="26"/>
  <c r="A232" i="26"/>
  <c r="A235" i="26"/>
  <c r="A236" i="26"/>
  <c r="A237" i="26"/>
  <c r="A240" i="26"/>
  <c r="A241" i="26"/>
  <c r="A246" i="26"/>
  <c r="A247" i="26"/>
  <c r="A254" i="26"/>
  <c r="A261" i="26"/>
  <c r="A262" i="26"/>
  <c r="A265" i="26"/>
  <c r="A266" i="26"/>
  <c r="A268" i="26"/>
  <c r="A269" i="26"/>
  <c r="A272" i="26"/>
  <c r="A273" i="26"/>
  <c r="A274" i="26"/>
  <c r="A279" i="26"/>
  <c r="A280" i="26"/>
  <c r="A283" i="26"/>
  <c r="A284" i="26"/>
  <c r="A289" i="26"/>
  <c r="A291" i="26"/>
  <c r="A292" i="26"/>
  <c r="A293" i="26"/>
  <c r="A294" i="26"/>
  <c r="A310" i="26"/>
  <c r="A311" i="26"/>
  <c r="A317" i="26"/>
  <c r="A318" i="26"/>
  <c r="A332" i="26"/>
  <c r="A333" i="26"/>
  <c r="A334" i="26"/>
  <c r="A335" i="26"/>
  <c r="A336" i="26"/>
  <c r="A344" i="26"/>
  <c r="A345" i="26"/>
  <c r="A353" i="26"/>
  <c r="A354" i="26"/>
  <c r="A361" i="26"/>
  <c r="A362" i="26"/>
  <c r="A369" i="26"/>
  <c r="A370" i="26"/>
  <c r="A377" i="26"/>
  <c r="A378" i="26"/>
  <c r="A386" i="26"/>
  <c r="A387" i="26"/>
  <c r="A395" i="26"/>
  <c r="A396" i="26"/>
  <c r="A403" i="26"/>
  <c r="A404" i="26"/>
  <c r="A412" i="26"/>
  <c r="A413" i="26"/>
  <c r="A421" i="26"/>
  <c r="A422" i="26"/>
  <c r="A430" i="26"/>
  <c r="A431" i="26"/>
  <c r="A439" i="26"/>
  <c r="A440" i="26"/>
  <c r="A447" i="26"/>
  <c r="A448" i="26"/>
  <c r="A455" i="26"/>
  <c r="A456" i="26"/>
  <c r="A463" i="26"/>
  <c r="A464" i="26"/>
  <c r="A469" i="26"/>
  <c r="A470" i="26"/>
  <c r="A475" i="26"/>
  <c r="A476" i="26"/>
  <c r="A481" i="26"/>
  <c r="A482" i="26"/>
  <c r="A487" i="26"/>
  <c r="A488" i="26"/>
  <c r="A493" i="26"/>
  <c r="A497" i="26"/>
  <c r="A498" i="26"/>
  <c r="A499" i="26"/>
  <c r="A502" i="26"/>
  <c r="A506" i="26"/>
  <c r="A507" i="26"/>
  <c r="A509" i="26"/>
  <c r="A510" i="26"/>
  <c r="A522" i="26"/>
  <c r="A523" i="26"/>
  <c r="A534" i="26"/>
  <c r="A535" i="26"/>
  <c r="A536" i="26"/>
  <c r="A537" i="26"/>
  <c r="A538" i="26"/>
  <c r="A539" i="26"/>
  <c r="A542" i="26"/>
  <c r="A543" i="26"/>
  <c r="A545" i="26"/>
  <c r="A546" i="26"/>
  <c r="A562" i="26"/>
  <c r="A563" i="26"/>
  <c r="A565" i="26"/>
  <c r="A566" i="26"/>
  <c r="A567" i="26"/>
  <c r="A568" i="26"/>
  <c r="A574" i="26"/>
  <c r="A575" i="26"/>
  <c r="A576" i="26"/>
  <c r="A583" i="26"/>
  <c r="A584" i="26"/>
  <c r="A585" i="26"/>
  <c r="A586" i="26"/>
  <c r="A592" i="26"/>
  <c r="A598" i="26"/>
  <c r="A599" i="26"/>
  <c r="A600" i="26"/>
  <c r="A602" i="26"/>
  <c r="A603" i="26"/>
  <c r="A604" i="26"/>
  <c r="A606" i="26"/>
  <c r="A607" i="26"/>
  <c r="A608" i="26"/>
  <c r="A609" i="26"/>
  <c r="A610" i="26"/>
  <c r="A616" i="26"/>
  <c r="A617" i="26"/>
  <c r="A624" i="26"/>
  <c r="A625" i="26"/>
  <c r="A630" i="26"/>
  <c r="A631" i="26"/>
  <c r="A632" i="26"/>
  <c r="A633" i="26"/>
  <c r="A638" i="26"/>
  <c r="A639" i="26"/>
  <c r="A642" i="26"/>
  <c r="A643" i="26"/>
  <c r="A647" i="26"/>
  <c r="A648" i="26"/>
  <c r="A649" i="26"/>
  <c r="A652" i="26"/>
  <c r="A656" i="26"/>
  <c r="A657" i="26"/>
  <c r="A658" i="26"/>
  <c r="A659" i="26"/>
  <c r="A664" i="26"/>
  <c r="A666" i="26"/>
  <c r="A667" i="26"/>
  <c r="A676" i="26"/>
  <c r="A677" i="26"/>
  <c r="A680" i="26"/>
  <c r="A682" i="26"/>
  <c r="A683" i="26"/>
  <c r="A684" i="26"/>
  <c r="A685" i="26"/>
  <c r="A686" i="26"/>
  <c r="A699" i="26"/>
  <c r="A700" i="26"/>
  <c r="A703" i="26"/>
  <c r="A704" i="26"/>
  <c r="A705" i="26"/>
  <c r="A709" i="26"/>
  <c r="A713" i="26"/>
  <c r="A714" i="26"/>
  <c r="A715" i="26"/>
  <c r="A726" i="26"/>
  <c r="A727" i="26"/>
  <c r="A736" i="26"/>
  <c r="A737" i="26"/>
  <c r="A740" i="26"/>
  <c r="A741" i="26"/>
  <c r="A744" i="26"/>
  <c r="A745" i="26"/>
  <c r="A749" i="26"/>
  <c r="A750" i="26"/>
  <c r="A752" i="26"/>
  <c r="A753" i="26"/>
  <c r="A755" i="26"/>
  <c r="A757" i="26"/>
  <c r="A758" i="26"/>
  <c r="A759" i="26"/>
  <c r="A760" i="26"/>
  <c r="A762" i="26"/>
  <c r="A763" i="26"/>
  <c r="A764" i="26"/>
  <c r="A776" i="26"/>
  <c r="A777" i="26"/>
  <c r="A778" i="26"/>
  <c r="A784" i="26"/>
  <c r="A785" i="26"/>
  <c r="A796" i="26"/>
  <c r="A797" i="26"/>
  <c r="A801" i="26"/>
  <c r="A802" i="26"/>
  <c r="A806" i="26"/>
  <c r="A807" i="26"/>
  <c r="A810" i="26"/>
  <c r="A811" i="26"/>
  <c r="A814" i="26"/>
  <c r="A817" i="26"/>
  <c r="A819" i="26"/>
  <c r="A820" i="26"/>
  <c r="A821" i="26"/>
  <c r="A822" i="26"/>
  <c r="A826" i="26"/>
  <c r="A827" i="26"/>
  <c r="A830" i="26"/>
  <c r="A832" i="26"/>
  <c r="A833" i="26"/>
  <c r="A834" i="26"/>
  <c r="A836" i="26"/>
  <c r="A838" i="26"/>
  <c r="A839" i="26"/>
  <c r="A843" i="26"/>
  <c r="A844" i="26"/>
  <c r="A848" i="26"/>
  <c r="A849" i="26"/>
  <c r="A851" i="26"/>
  <c r="A852" i="26"/>
  <c r="A854" i="26"/>
  <c r="A856" i="26"/>
  <c r="A857" i="26"/>
  <c r="A859" i="26"/>
  <c r="A861" i="26"/>
  <c r="A862" i="26"/>
  <c r="A864" i="26"/>
  <c r="A866" i="26"/>
  <c r="A867" i="26"/>
  <c r="A874" i="26"/>
  <c r="A875" i="26"/>
  <c r="A882" i="26"/>
  <c r="A883" i="26"/>
  <c r="A884" i="26"/>
  <c r="A891" i="26"/>
  <c r="A892" i="26"/>
  <c r="A893" i="26"/>
  <c r="A895" i="26"/>
  <c r="A896" i="26"/>
  <c r="A898" i="26"/>
  <c r="A900" i="26"/>
  <c r="A901" i="26"/>
  <c r="A902" i="26"/>
  <c r="A904" i="26"/>
  <c r="A905" i="26"/>
  <c r="A909" i="26"/>
  <c r="A910" i="26"/>
  <c r="A914" i="26"/>
  <c r="A916" i="26"/>
  <c r="A917" i="26"/>
  <c r="A918" i="26"/>
  <c r="A919" i="26"/>
  <c r="A922" i="26"/>
  <c r="A924" i="26"/>
  <c r="A925" i="26"/>
  <c r="A929" i="26"/>
  <c r="A931" i="26"/>
  <c r="A933" i="26"/>
  <c r="A936" i="26"/>
  <c r="A938" i="26"/>
  <c r="A939" i="26"/>
  <c r="A941" i="26"/>
  <c r="A944" i="26"/>
  <c r="A945" i="26"/>
  <c r="A948" i="26"/>
  <c r="A951" i="26"/>
  <c r="A953" i="26"/>
  <c r="A955" i="26"/>
  <c r="A956" i="26"/>
  <c r="A959" i="26"/>
  <c r="A962" i="26"/>
  <c r="A965" i="26"/>
  <c r="A966" i="26"/>
  <c r="A970" i="26"/>
  <c r="A971" i="26"/>
  <c r="A972" i="26"/>
  <c r="A973" i="26"/>
  <c r="A980" i="26"/>
  <c r="A981" i="26"/>
  <c r="A983" i="26"/>
  <c r="A984" i="26"/>
  <c r="A986" i="26"/>
  <c r="A987" i="26"/>
  <c r="A990" i="26"/>
  <c r="A991" i="26"/>
  <c r="A996" i="26"/>
  <c r="A997" i="26"/>
  <c r="A1001" i="26"/>
  <c r="A1002" i="26"/>
  <c r="A1011" i="26"/>
  <c r="A1012" i="26"/>
  <c r="G267" i="26"/>
  <c r="G270" i="26"/>
  <c r="H42" i="12" l="1"/>
  <c r="H98" i="12" s="1"/>
  <c r="H43" i="12"/>
  <c r="H99" i="12" s="1"/>
  <c r="H44" i="12"/>
  <c r="H100" i="12" s="1"/>
  <c r="K968" i="26"/>
  <c r="K937" i="26"/>
  <c r="K894" i="26"/>
  <c r="O877" i="26"/>
  <c r="O878" i="26"/>
  <c r="O879" i="26"/>
  <c r="O880" i="26"/>
  <c r="O881" i="26"/>
  <c r="O876" i="26"/>
  <c r="K818" i="26"/>
  <c r="O818" i="26"/>
  <c r="K761" i="26"/>
  <c r="O492" i="26" l="1"/>
  <c r="O491" i="26"/>
  <c r="K492" i="26"/>
  <c r="K491" i="26"/>
  <c r="O401" i="26"/>
  <c r="K401" i="26"/>
  <c r="K227" i="26"/>
  <c r="O227" i="26"/>
  <c r="K223" i="26"/>
  <c r="K199" i="26"/>
  <c r="K161" i="26"/>
  <c r="O126" i="26"/>
  <c r="O111" i="26"/>
  <c r="K71" i="26"/>
  <c r="K70" i="26"/>
  <c r="K83" i="26"/>
  <c r="K80" i="26"/>
  <c r="K75" i="26"/>
  <c r="O110" i="26" l="1"/>
  <c r="A32" i="26" l="1"/>
  <c r="A33" i="26"/>
  <c r="A37" i="26"/>
  <c r="A38" i="26"/>
  <c r="A45" i="26"/>
  <c r="A46" i="26"/>
  <c r="A52" i="26"/>
  <c r="A53" i="26"/>
  <c r="A58" i="26"/>
  <c r="A59" i="26"/>
  <c r="A63" i="26"/>
  <c r="A64" i="26"/>
  <c r="A66" i="26"/>
  <c r="A67" i="26"/>
  <c r="A68" i="26"/>
  <c r="A69" i="26"/>
  <c r="A78" i="26"/>
  <c r="A81" i="26"/>
  <c r="A21" i="26"/>
  <c r="A22" i="26" l="1"/>
  <c r="A23" i="26" s="1"/>
  <c r="A24" i="26" l="1"/>
  <c r="A25" i="26" s="1"/>
  <c r="A26" i="26" l="1"/>
  <c r="A27" i="26" l="1"/>
  <c r="A28" i="26" l="1"/>
  <c r="A29" i="26" l="1"/>
  <c r="A30" i="26" l="1"/>
  <c r="A31" i="26" s="1"/>
  <c r="A34" i="26" s="1"/>
  <c r="A35" i="26" s="1"/>
  <c r="A36" i="26" s="1"/>
  <c r="A39" i="26" l="1"/>
  <c r="A40" i="26" l="1"/>
  <c r="A41" i="26" l="1"/>
  <c r="A42" i="26" s="1"/>
  <c r="A43" i="26" s="1"/>
  <c r="A44" i="26" s="1"/>
  <c r="A47" i="26" s="1"/>
  <c r="A48" i="26" s="1"/>
  <c r="A49" i="26" l="1"/>
  <c r="A50" i="26" s="1"/>
  <c r="A51" i="26" s="1"/>
  <c r="A54" i="26" s="1"/>
  <c r="A55" i="26" s="1"/>
  <c r="A56" i="26" s="1"/>
  <c r="A57" i="26" s="1"/>
  <c r="A60" i="26" s="1"/>
  <c r="A61" i="26" s="1"/>
  <c r="A62" i="26" s="1"/>
  <c r="A65" i="26" s="1"/>
  <c r="A70" i="26" s="1"/>
  <c r="A71" i="26" s="1"/>
  <c r="A72" i="26" s="1"/>
  <c r="A73" i="26" s="1"/>
  <c r="A74" i="26" s="1"/>
  <c r="A75" i="26" s="1"/>
  <c r="A76" i="26" s="1"/>
  <c r="A77" i="26" s="1"/>
  <c r="A79" i="26" s="1"/>
  <c r="A80" i="26" s="1"/>
  <c r="A82" i="26" s="1"/>
  <c r="A83" i="26" s="1"/>
  <c r="A85" i="26" s="1"/>
  <c r="A87" i="26" s="1"/>
  <c r="A92" i="26" s="1"/>
  <c r="A93" i="26" s="1"/>
  <c r="A94" i="26" s="1"/>
  <c r="A97" i="26" s="1"/>
  <c r="D36" i="12"/>
  <c r="E36" i="12"/>
  <c r="F36" i="12"/>
  <c r="A98" i="26" l="1"/>
  <c r="A99" i="26" s="1"/>
  <c r="A100" i="26" s="1"/>
  <c r="A102" i="26" s="1"/>
  <c r="G155" i="26"/>
  <c r="A103" i="26" l="1"/>
  <c r="A104" i="26" s="1"/>
  <c r="A105" i="26" s="1"/>
  <c r="A106" i="26" s="1"/>
  <c r="A109" i="26" s="1"/>
  <c r="A110" i="26" s="1"/>
  <c r="A111" i="26" s="1"/>
  <c r="A112" i="26" s="1"/>
  <c r="A115" i="26" s="1"/>
  <c r="A118" i="26" s="1"/>
  <c r="A119" i="26" s="1"/>
  <c r="A122" i="26" s="1"/>
  <c r="A123" i="26" s="1"/>
  <c r="A125" i="26" s="1"/>
  <c r="A126" i="26" s="1"/>
  <c r="A129" i="26" s="1"/>
  <c r="A130" i="26" s="1"/>
  <c r="A131" i="26" s="1"/>
  <c r="A134" i="26" s="1"/>
  <c r="A139" i="26" s="1"/>
  <c r="A140" i="26" s="1"/>
  <c r="A141" i="26" s="1"/>
  <c r="A143" i="26" s="1"/>
  <c r="A146" i="26" s="1"/>
  <c r="A148" i="26" s="1"/>
  <c r="A151" i="26" s="1"/>
  <c r="A152" i="26" s="1"/>
  <c r="A153" i="26" s="1"/>
  <c r="A154" i="26" s="1"/>
  <c r="A155" i="26" s="1"/>
  <c r="A158" i="26" s="1"/>
  <c r="A159" i="26" s="1"/>
  <c r="A161" i="26" s="1"/>
  <c r="A167" i="26" s="1"/>
  <c r="A168" i="26" s="1"/>
  <c r="A169" i="26" s="1"/>
  <c r="A171" i="26" s="1"/>
  <c r="A172" i="26" s="1"/>
  <c r="A173" i="26" s="1"/>
  <c r="A177" i="26" s="1"/>
  <c r="A182" i="26" s="1"/>
  <c r="A183" i="26" s="1"/>
  <c r="A184" i="26" s="1"/>
  <c r="A186" i="26" s="1"/>
  <c r="A187" i="26" s="1"/>
  <c r="A188" i="26" s="1"/>
  <c r="A191" i="26" s="1"/>
  <c r="A194" i="26" s="1"/>
  <c r="A195" i="26" s="1"/>
  <c r="A197" i="26" s="1"/>
  <c r="A199" i="26" s="1"/>
  <c r="A200" i="26" s="1"/>
  <c r="A203" i="26" s="1"/>
  <c r="A205" i="26" s="1"/>
  <c r="A206" i="26" s="1"/>
  <c r="A209" i="26" s="1"/>
  <c r="A210" i="26" s="1"/>
  <c r="A211" i="26" s="1"/>
  <c r="A213" i="26" s="1"/>
  <c r="A216" i="26" s="1"/>
  <c r="A219" i="26" s="1"/>
  <c r="A220" i="26" s="1"/>
  <c r="A223" i="26" s="1"/>
  <c r="A224" i="26" s="1"/>
  <c r="A227" i="26" s="1"/>
  <c r="A228" i="26" s="1"/>
  <c r="A233" i="26" s="1"/>
  <c r="A234" i="26" s="1"/>
  <c r="A238" i="26" s="1"/>
  <c r="A239" i="26" s="1"/>
  <c r="A242" i="26" s="1"/>
  <c r="A243" i="26" s="1"/>
  <c r="A244" i="26" s="1"/>
  <c r="A245" i="26" s="1"/>
  <c r="A248" i="26" s="1"/>
  <c r="A249" i="26" s="1"/>
  <c r="A250" i="26" s="1"/>
  <c r="A251" i="26" s="1"/>
  <c r="A252" i="26" s="1"/>
  <c r="A253" i="26" s="1"/>
  <c r="A255" i="26" s="1"/>
  <c r="A256" i="26" s="1"/>
  <c r="A257" i="26" s="1"/>
  <c r="A258" i="26" s="1"/>
  <c r="A259" i="26" s="1"/>
  <c r="A260" i="26" s="1"/>
  <c r="A263" i="26" s="1"/>
  <c r="A264" i="26" s="1"/>
  <c r="A267" i="26" s="1"/>
  <c r="A270" i="26" s="1"/>
  <c r="A271" i="26" s="1"/>
  <c r="A275" i="26" s="1"/>
  <c r="A276" i="26" s="1"/>
  <c r="A277" i="26" s="1"/>
  <c r="A278" i="26" s="1"/>
  <c r="A281" i="26" s="1"/>
  <c r="A282" i="26" s="1"/>
  <c r="A285" i="26" s="1"/>
  <c r="A286" i="26" s="1"/>
  <c r="A287" i="26" s="1"/>
  <c r="A288" i="26" s="1"/>
  <c r="A290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2" i="26" s="1"/>
  <c r="A313" i="26" s="1"/>
  <c r="A314" i="26" s="1"/>
  <c r="A315" i="26" s="1"/>
  <c r="A316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7" i="26" s="1"/>
  <c r="A338" i="26" s="1"/>
  <c r="A339" i="26" s="1"/>
  <c r="A340" i="26" s="1"/>
  <c r="A341" i="26" s="1"/>
  <c r="A342" i="26" s="1"/>
  <c r="A343" i="26" s="1"/>
  <c r="A346" i="26" s="1"/>
  <c r="A347" i="26" s="1"/>
  <c r="A348" i="26" s="1"/>
  <c r="A349" i="26" s="1"/>
  <c r="A350" i="26" s="1"/>
  <c r="A351" i="26" s="1"/>
  <c r="A352" i="26" s="1"/>
  <c r="A355" i="26" s="1"/>
  <c r="A356" i="26" s="1"/>
  <c r="A357" i="26" s="1"/>
  <c r="A358" i="26" s="1"/>
  <c r="A359" i="26" s="1"/>
  <c r="A360" i="26" s="1"/>
  <c r="A363" i="26" s="1"/>
  <c r="A364" i="26" s="1"/>
  <c r="A365" i="26" s="1"/>
  <c r="A366" i="26" s="1"/>
  <c r="A367" i="26" s="1"/>
  <c r="A368" i="26" s="1"/>
  <c r="A371" i="26" s="1"/>
  <c r="A372" i="26" s="1"/>
  <c r="A373" i="26" s="1"/>
  <c r="A374" i="26" s="1"/>
  <c r="A375" i="26" s="1"/>
  <c r="A376" i="26" s="1"/>
  <c r="A379" i="26" s="1"/>
  <c r="A380" i="26" s="1"/>
  <c r="A381" i="26" s="1"/>
  <c r="A382" i="26" s="1"/>
  <c r="A383" i="26" s="1"/>
  <c r="A384" i="26" s="1"/>
  <c r="A385" i="26" s="1"/>
  <c r="A388" i="26" s="1"/>
  <c r="A389" i="26" s="1"/>
  <c r="A390" i="26" s="1"/>
  <c r="A391" i="26" s="1"/>
  <c r="A392" i="26" s="1"/>
  <c r="A393" i="26" s="1"/>
  <c r="A394" i="26" s="1"/>
  <c r="A397" i="26" s="1"/>
  <c r="A398" i="26" s="1"/>
  <c r="A399" i="26" s="1"/>
  <c r="A400" i="26" s="1"/>
  <c r="A401" i="26" s="1"/>
  <c r="A402" i="26" s="1"/>
  <c r="A405" i="26" s="1"/>
  <c r="A406" i="26" s="1"/>
  <c r="A407" i="26" s="1"/>
  <c r="A408" i="26" s="1"/>
  <c r="A409" i="26" s="1"/>
  <c r="A410" i="26" s="1"/>
  <c r="A411" i="26" s="1"/>
  <c r="A414" i="26" s="1"/>
  <c r="A415" i="26" s="1"/>
  <c r="A416" i="26" s="1"/>
  <c r="A417" i="26" s="1"/>
  <c r="A418" i="26" s="1"/>
  <c r="A419" i="26" s="1"/>
  <c r="A420" i="26" s="1"/>
  <c r="A423" i="26" s="1"/>
  <c r="A424" i="26" s="1"/>
  <c r="A425" i="26" s="1"/>
  <c r="A426" i="26" s="1"/>
  <c r="A427" i="26" s="1"/>
  <c r="A428" i="26" s="1"/>
  <c r="A429" i="26" s="1"/>
  <c r="A432" i="26" s="1"/>
  <c r="A433" i="26" s="1"/>
  <c r="A434" i="26" s="1"/>
  <c r="A435" i="26" s="1"/>
  <c r="A436" i="26" s="1"/>
  <c r="A437" i="26" s="1"/>
  <c r="A438" i="26" s="1"/>
  <c r="A441" i="26" s="1"/>
  <c r="A442" i="26" s="1"/>
  <c r="A443" i="26" s="1"/>
  <c r="A444" i="26" s="1"/>
  <c r="A445" i="26" s="1"/>
  <c r="A446" i="26" s="1"/>
  <c r="A449" i="26" s="1"/>
  <c r="A450" i="26" s="1"/>
  <c r="A451" i="26" s="1"/>
  <c r="A452" i="26" s="1"/>
  <c r="A453" i="26" s="1"/>
  <c r="A454" i="26" s="1"/>
  <c r="A457" i="26" s="1"/>
  <c r="A458" i="26" s="1"/>
  <c r="A459" i="26" s="1"/>
  <c r="A460" i="26" s="1"/>
  <c r="A461" i="26" s="1"/>
  <c r="A462" i="26" s="1"/>
  <c r="A465" i="26" s="1"/>
  <c r="A466" i="26" s="1"/>
  <c r="A467" i="26" s="1"/>
  <c r="A468" i="26" s="1"/>
  <c r="A471" i="26" s="1"/>
  <c r="A472" i="26" s="1"/>
  <c r="A473" i="26" s="1"/>
  <c r="A474" i="26" s="1"/>
  <c r="A477" i="26" s="1"/>
  <c r="A478" i="26" s="1"/>
  <c r="A479" i="26" s="1"/>
  <c r="A480" i="26" s="1"/>
  <c r="A483" i="26" s="1"/>
  <c r="A484" i="26" s="1"/>
  <c r="A485" i="26" s="1"/>
  <c r="A486" i="26" s="1"/>
  <c r="A489" i="26" s="1"/>
  <c r="A490" i="26" s="1"/>
  <c r="A491" i="26" s="1"/>
  <c r="A492" i="26" s="1"/>
  <c r="A494" i="26" s="1"/>
  <c r="A495" i="26" s="1"/>
  <c r="A496" i="26" s="1"/>
  <c r="A500" i="26" s="1"/>
  <c r="A501" i="26" s="1"/>
  <c r="A503" i="26" s="1"/>
  <c r="A504" i="26" s="1"/>
  <c r="A505" i="26" s="1"/>
  <c r="A508" i="26" s="1"/>
  <c r="A511" i="26" s="1"/>
  <c r="A512" i="26" s="1"/>
  <c r="A513" i="26" s="1"/>
  <c r="A514" i="26" s="1"/>
  <c r="A515" i="26" s="1"/>
  <c r="A516" i="26" s="1"/>
  <c r="A517" i="26" s="1"/>
  <c r="A518" i="26" s="1"/>
  <c r="A519" i="26" s="1"/>
  <c r="A520" i="26" s="1"/>
  <c r="A521" i="26" s="1"/>
  <c r="A524" i="26" s="1"/>
  <c r="A525" i="26" s="1"/>
  <c r="A526" i="26" s="1"/>
  <c r="A527" i="26" s="1"/>
  <c r="A528" i="26" s="1"/>
  <c r="A529" i="26" s="1"/>
  <c r="A530" i="26" s="1"/>
  <c r="A531" i="26" s="1"/>
  <c r="A532" i="26" s="1"/>
  <c r="A533" i="26" s="1"/>
  <c r="A540" i="26" s="1"/>
  <c r="A541" i="26" s="1"/>
  <c r="A544" i="26" s="1"/>
  <c r="A547" i="26" s="1"/>
  <c r="A548" i="26" s="1"/>
  <c r="A549" i="26" s="1"/>
  <c r="A550" i="26" s="1"/>
  <c r="A551" i="26" s="1"/>
  <c r="A552" i="26" s="1"/>
  <c r="A553" i="26" s="1"/>
  <c r="A554" i="26" s="1"/>
  <c r="A555" i="26" s="1"/>
  <c r="A556" i="26" s="1"/>
  <c r="A557" i="26" s="1"/>
  <c r="A558" i="26" s="1"/>
  <c r="A559" i="26" s="1"/>
  <c r="A560" i="26" s="1"/>
  <c r="A561" i="26" s="1"/>
  <c r="A564" i="26" s="1"/>
  <c r="A569" i="26" s="1"/>
  <c r="A570" i="26" s="1"/>
  <c r="A571" i="26" s="1"/>
  <c r="A572" i="26" s="1"/>
  <c r="A573" i="26" s="1"/>
  <c r="A577" i="26" s="1"/>
  <c r="A578" i="26" s="1"/>
  <c r="A579" i="26" s="1"/>
  <c r="A580" i="26" s="1"/>
  <c r="A581" i="26" s="1"/>
  <c r="A582" i="26" s="1"/>
  <c r="A587" i="26" s="1"/>
  <c r="A588" i="26" s="1"/>
  <c r="A589" i="26" s="1"/>
  <c r="A590" i="26" s="1"/>
  <c r="A591" i="26" s="1"/>
  <c r="A593" i="26" s="1"/>
  <c r="A594" i="26" s="1"/>
  <c r="A595" i="26" s="1"/>
  <c r="A596" i="26" s="1"/>
  <c r="A597" i="26" s="1"/>
  <c r="A601" i="26" s="1"/>
  <c r="A605" i="26" s="1"/>
  <c r="A611" i="26" s="1"/>
  <c r="A612" i="26" s="1"/>
  <c r="A613" i="26" s="1"/>
  <c r="A614" i="26" s="1"/>
  <c r="A615" i="26" s="1"/>
  <c r="A618" i="26" s="1"/>
  <c r="A619" i="26" s="1"/>
  <c r="A620" i="26" s="1"/>
  <c r="A621" i="26" s="1"/>
  <c r="A622" i="26" s="1"/>
  <c r="A623" i="26" s="1"/>
  <c r="A626" i="26" s="1"/>
  <c r="A627" i="26" s="1"/>
  <c r="A628" i="26" s="1"/>
  <c r="A629" i="26" s="1"/>
  <c r="A634" i="26" s="1"/>
  <c r="A635" i="26" s="1"/>
  <c r="A636" i="26" s="1"/>
  <c r="A637" i="26" s="1"/>
  <c r="A640" i="26" s="1"/>
  <c r="A641" i="26" s="1"/>
  <c r="A644" i="26" s="1"/>
  <c r="A645" i="26" s="1"/>
  <c r="A646" i="26" s="1"/>
  <c r="A650" i="26" s="1"/>
  <c r="A651" i="26" s="1"/>
  <c r="A653" i="26" s="1"/>
  <c r="A654" i="26" s="1"/>
  <c r="A655" i="26" s="1"/>
  <c r="A660" i="26" s="1"/>
  <c r="A661" i="26" s="1"/>
  <c r="A662" i="26" s="1"/>
  <c r="A663" i="26" s="1"/>
  <c r="A665" i="26" s="1"/>
  <c r="A668" i="26" s="1"/>
  <c r="A669" i="26" s="1"/>
  <c r="A670" i="26" s="1"/>
  <c r="A671" i="26" s="1"/>
  <c r="A672" i="26" s="1"/>
  <c r="A673" i="26" s="1"/>
  <c r="A674" i="26" s="1"/>
  <c r="A675" i="26" s="1"/>
  <c r="A678" i="26" s="1"/>
  <c r="A679" i="26" s="1"/>
  <c r="A681" i="26" s="1"/>
  <c r="A687" i="26" s="1"/>
  <c r="A688" i="26" s="1"/>
  <c r="A689" i="26" s="1"/>
  <c r="A690" i="26" s="1"/>
  <c r="A691" i="26" s="1"/>
  <c r="A692" i="26" s="1"/>
  <c r="A693" i="26" s="1"/>
  <c r="A694" i="26" s="1"/>
  <c r="A695" i="26" s="1"/>
  <c r="A696" i="26" s="1"/>
  <c r="A697" i="26" s="1"/>
  <c r="A698" i="26" s="1"/>
  <c r="A701" i="26" s="1"/>
  <c r="A702" i="26" s="1"/>
  <c r="A706" i="26" s="1"/>
  <c r="A707" i="26" s="1"/>
  <c r="A708" i="26" s="1"/>
  <c r="A710" i="26" s="1"/>
  <c r="A711" i="26" s="1"/>
  <c r="A712" i="26" s="1"/>
  <c r="A716" i="26" s="1"/>
  <c r="A717" i="26" s="1"/>
  <c r="A718" i="26" s="1"/>
  <c r="A719" i="26" s="1"/>
  <c r="A720" i="26" s="1"/>
  <c r="A721" i="26" s="1"/>
  <c r="A722" i="26" s="1"/>
  <c r="A723" i="26" s="1"/>
  <c r="A724" i="26" s="1"/>
  <c r="A725" i="26" s="1"/>
  <c r="A728" i="26" s="1"/>
  <c r="A729" i="26" s="1"/>
  <c r="A730" i="26" s="1"/>
  <c r="A731" i="26" s="1"/>
  <c r="A732" i="26" s="1"/>
  <c r="A733" i="26" s="1"/>
  <c r="A734" i="26" s="1"/>
  <c r="A735" i="26" s="1"/>
  <c r="A738" i="26" s="1"/>
  <c r="A739" i="26" s="1"/>
  <c r="A742" i="26" s="1"/>
  <c r="A743" i="26" s="1"/>
  <c r="A746" i="26" s="1"/>
  <c r="A747" i="26" s="1"/>
  <c r="A748" i="26" s="1"/>
  <c r="A751" i="26" s="1"/>
  <c r="A754" i="26" s="1"/>
  <c r="A756" i="26" s="1"/>
  <c r="A761" i="26" s="1"/>
  <c r="A765" i="26" s="1"/>
  <c r="A766" i="26" s="1"/>
  <c r="A767" i="26" s="1"/>
  <c r="A768" i="26" s="1"/>
  <c r="A769" i="26" s="1"/>
  <c r="A770" i="26" s="1"/>
  <c r="A771" i="26" s="1"/>
  <c r="A772" i="26" s="1"/>
  <c r="A773" i="26" s="1"/>
  <c r="A774" i="26" s="1"/>
  <c r="A775" i="26" s="1"/>
  <c r="A779" i="26" s="1"/>
  <c r="A780" i="26" s="1"/>
  <c r="A781" i="26" s="1"/>
  <c r="A782" i="26" s="1"/>
  <c r="A783" i="26" s="1"/>
  <c r="A786" i="26" s="1"/>
  <c r="A787" i="26" s="1"/>
  <c r="A788" i="26" s="1"/>
  <c r="A789" i="26" s="1"/>
  <c r="A790" i="26" s="1"/>
  <c r="A791" i="26" s="1"/>
  <c r="A792" i="26" s="1"/>
  <c r="A793" i="26" s="1"/>
  <c r="A794" i="26" s="1"/>
  <c r="A795" i="26" s="1"/>
  <c r="A798" i="26" s="1"/>
  <c r="A799" i="26" s="1"/>
  <c r="A800" i="26" s="1"/>
  <c r="A803" i="26" s="1"/>
  <c r="A804" i="26" s="1"/>
  <c r="A805" i="26" s="1"/>
  <c r="A808" i="26" s="1"/>
  <c r="A809" i="26" s="1"/>
  <c r="A812" i="26" s="1"/>
  <c r="A813" i="26" s="1"/>
  <c r="A815" i="26" s="1"/>
  <c r="A816" i="26" s="1"/>
  <c r="A818" i="26" s="1"/>
  <c r="A823" i="26" s="1"/>
  <c r="A824" i="26" s="1"/>
  <c r="A825" i="26" s="1"/>
  <c r="A828" i="26" s="1"/>
  <c r="A829" i="26" s="1"/>
  <c r="A831" i="26" s="1"/>
  <c r="A835" i="26" s="1"/>
  <c r="A837" i="26" s="1"/>
  <c r="A840" i="26" s="1"/>
  <c r="A841" i="26" s="1"/>
  <c r="A842" i="26" s="1"/>
  <c r="A845" i="26" s="1"/>
  <c r="A846" i="26" s="1"/>
  <c r="A847" i="26" s="1"/>
  <c r="A850" i="26" s="1"/>
  <c r="A853" i="26" s="1"/>
  <c r="A855" i="26" s="1"/>
  <c r="A858" i="26" s="1"/>
  <c r="A860" i="26" s="1"/>
  <c r="A863" i="26" s="1"/>
  <c r="A865" i="26" s="1"/>
  <c r="A868" i="26" s="1"/>
  <c r="A869" i="26" s="1"/>
  <c r="A870" i="26" s="1"/>
  <c r="A871" i="26" s="1"/>
  <c r="A872" i="26" s="1"/>
  <c r="A873" i="26" s="1"/>
  <c r="A876" i="26" s="1"/>
  <c r="A877" i="26" s="1"/>
  <c r="A878" i="26" s="1"/>
  <c r="A879" i="26" s="1"/>
  <c r="A880" i="26" s="1"/>
  <c r="A881" i="26" s="1"/>
  <c r="A885" i="26" s="1"/>
  <c r="A886" i="26" s="1"/>
  <c r="A887" i="26" s="1"/>
  <c r="A888" i="26" s="1"/>
  <c r="A889" i="26" s="1"/>
  <c r="A890" i="26" s="1"/>
  <c r="A894" i="26" s="1"/>
  <c r="A897" i="26" s="1"/>
  <c r="A899" i="26" s="1"/>
  <c r="A903" i="26" s="1"/>
  <c r="A906" i="26" s="1"/>
  <c r="A907" i="26" s="1"/>
  <c r="A908" i="26" s="1"/>
  <c r="A911" i="26" s="1"/>
  <c r="A912" i="26" s="1"/>
  <c r="A913" i="26" s="1"/>
  <c r="A915" i="26" s="1"/>
  <c r="A920" i="26" s="1"/>
  <c r="A921" i="26" s="1"/>
  <c r="A923" i="26" s="1"/>
  <c r="A926" i="26" s="1"/>
  <c r="A927" i="26" s="1"/>
  <c r="A928" i="26" s="1"/>
  <c r="A930" i="26" s="1"/>
  <c r="A932" i="26" s="1"/>
  <c r="A934" i="26" s="1"/>
  <c r="A935" i="26" s="1"/>
  <c r="A937" i="26" s="1"/>
  <c r="A940" i="26" s="1"/>
  <c r="A942" i="26" s="1"/>
  <c r="A943" i="26" s="1"/>
  <c r="A946" i="26" s="1"/>
  <c r="A947" i="26" s="1"/>
  <c r="A949" i="26" s="1"/>
  <c r="A950" i="26" s="1"/>
  <c r="A952" i="26" s="1"/>
  <c r="A954" i="26" s="1"/>
  <c r="A957" i="26" s="1"/>
  <c r="A958" i="26" s="1"/>
  <c r="A960" i="26" s="1"/>
  <c r="A961" i="26" s="1"/>
  <c r="A963" i="26" s="1"/>
  <c r="A964" i="26" s="1"/>
  <c r="A967" i="26" s="1"/>
  <c r="A968" i="26" s="1"/>
  <c r="A969" i="26" s="1"/>
  <c r="A974" i="26" s="1"/>
  <c r="A975" i="26" s="1"/>
  <c r="A976" i="26" s="1"/>
  <c r="A977" i="26" s="1"/>
  <c r="A978" i="26" s="1"/>
  <c r="A979" i="26" s="1"/>
  <c r="A982" i="26" s="1"/>
  <c r="A985" i="26" s="1"/>
  <c r="A988" i="26" s="1"/>
  <c r="A989" i="26" s="1"/>
  <c r="A992" i="26" s="1"/>
  <c r="A993" i="26" s="1"/>
  <c r="A994" i="26" s="1"/>
  <c r="A995" i="26" s="1"/>
  <c r="A998" i="26" s="1"/>
  <c r="A999" i="26" s="1"/>
  <c r="A1000" i="26" s="1"/>
  <c r="A1003" i="26" s="1"/>
  <c r="A1004" i="26" s="1"/>
  <c r="A1005" i="26" s="1"/>
  <c r="A1006" i="26" s="1"/>
  <c r="A1007" i="26" s="1"/>
  <c r="A1008" i="26" s="1"/>
  <c r="A1009" i="26" s="1"/>
  <c r="A1010" i="26" s="1"/>
  <c r="A1013" i="26" s="1"/>
  <c r="G850" i="26"/>
  <c r="G131" i="26" l="1"/>
  <c r="G112" i="26"/>
  <c r="G842" i="26"/>
  <c r="G841" i="26"/>
  <c r="G840" i="26"/>
  <c r="G223" i="26" l="1"/>
  <c r="G173" i="26"/>
  <c r="G172" i="26"/>
  <c r="G126" i="26"/>
  <c r="G115" i="26"/>
  <c r="G253" i="26"/>
  <c r="G252" i="26"/>
  <c r="G243" i="26"/>
  <c r="G242" i="26"/>
  <c r="G245" i="26"/>
  <c r="G244" i="26"/>
  <c r="G183" i="26"/>
  <c r="G182" i="26"/>
  <c r="G143" i="26"/>
  <c r="G148" i="26" s="1"/>
  <c r="G118" i="26"/>
  <c r="G100" i="26"/>
  <c r="G99" i="26"/>
  <c r="G97" i="26"/>
  <c r="G111" i="26" l="1"/>
  <c r="G540" i="26"/>
  <c r="G541" i="26"/>
  <c r="G588" i="26"/>
  <c r="G587" i="26"/>
  <c r="G468" i="26"/>
  <c r="G474" i="26"/>
  <c r="G480" i="26"/>
  <c r="G486" i="26"/>
  <c r="G401" i="26"/>
  <c r="K14" i="26"/>
  <c r="K13" i="26"/>
  <c r="G960" i="26"/>
  <c r="O920" i="26"/>
  <c r="G837" i="26"/>
  <c r="G835" i="26"/>
  <c r="G863" i="26" l="1"/>
  <c r="G858" i="26"/>
  <c r="G853" i="26"/>
  <c r="G288" i="26"/>
  <c r="G287" i="26"/>
  <c r="G277" i="26"/>
  <c r="G282" i="26"/>
  <c r="G961" i="26"/>
  <c r="G1000" i="26"/>
  <c r="G930" i="26"/>
  <c r="O702" i="26"/>
  <c r="O287" i="26" l="1"/>
  <c r="O286" i="26"/>
  <c r="O276" i="26"/>
  <c r="O275" i="26"/>
  <c r="O264" i="26"/>
  <c r="O263" i="26"/>
  <c r="O257" i="26"/>
  <c r="O251" i="26"/>
  <c r="O250" i="26"/>
  <c r="O249" i="26"/>
  <c r="O244" i="26"/>
  <c r="O243" i="26"/>
  <c r="O239" i="26"/>
  <c r="O238" i="26"/>
  <c r="O233" i="26"/>
  <c r="O216" i="26"/>
  <c r="O210" i="26"/>
  <c r="O209" i="26"/>
  <c r="O205" i="26"/>
  <c r="O197" i="26"/>
  <c r="O195" i="26"/>
  <c r="O194" i="26"/>
  <c r="O184" i="26"/>
  <c r="O183" i="26"/>
  <c r="O182" i="26"/>
  <c r="O155" i="26"/>
  <c r="O125" i="26"/>
  <c r="O123" i="26"/>
  <c r="O122" i="26"/>
  <c r="O98" i="26"/>
  <c r="K216" i="26"/>
  <c r="K209" i="26"/>
  <c r="K103" i="26"/>
  <c r="K97" i="26"/>
  <c r="G968" i="26"/>
  <c r="G967" i="26"/>
  <c r="G926" i="26"/>
  <c r="O1013" i="26"/>
  <c r="O1006" i="26"/>
  <c r="O1005" i="26"/>
  <c r="O985" i="26"/>
  <c r="O982" i="26"/>
  <c r="O969" i="26"/>
  <c r="O963" i="26"/>
  <c r="O950" i="26"/>
  <c r="O949" i="26"/>
  <c r="O927" i="26"/>
  <c r="O921" i="26"/>
  <c r="K1013" i="26"/>
  <c r="K1010" i="26"/>
  <c r="K1009" i="26"/>
  <c r="K1008" i="26"/>
  <c r="K1007" i="26"/>
  <c r="K1006" i="26"/>
  <c r="K1005" i="26"/>
  <c r="K1004" i="26"/>
  <c r="K1003" i="26"/>
  <c r="K998" i="26"/>
  <c r="K989" i="26"/>
  <c r="K988" i="26"/>
  <c r="K982" i="26"/>
  <c r="K979" i="26"/>
  <c r="K978" i="26"/>
  <c r="K977" i="26"/>
  <c r="K976" i="26"/>
  <c r="K975" i="26"/>
  <c r="K974" i="26"/>
  <c r="K967" i="26"/>
  <c r="K923" i="26"/>
  <c r="K912" i="26"/>
  <c r="K908" i="26"/>
  <c r="K907" i="26"/>
  <c r="K906" i="26"/>
  <c r="O595" i="26" l="1"/>
  <c r="O594" i="26"/>
  <c r="O593" i="26"/>
  <c r="O331" i="26"/>
  <c r="O330" i="26"/>
  <c r="O329" i="26"/>
  <c r="O328" i="26"/>
  <c r="O327" i="26"/>
  <c r="O326" i="26"/>
  <c r="O325" i="26"/>
  <c r="O324" i="26"/>
  <c r="O323" i="26"/>
  <c r="O322" i="26"/>
  <c r="O321" i="26"/>
  <c r="O320" i="26"/>
  <c r="O319" i="26"/>
  <c r="O309" i="26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O296" i="26"/>
  <c r="O295" i="26"/>
  <c r="K331" i="26"/>
  <c r="K330" i="26"/>
  <c r="K329" i="26"/>
  <c r="K328" i="26"/>
  <c r="K327" i="26"/>
  <c r="K326" i="26"/>
  <c r="K325" i="26"/>
  <c r="K324" i="26"/>
  <c r="K323" i="26"/>
  <c r="K322" i="26"/>
  <c r="K321" i="26"/>
  <c r="K320" i="26"/>
  <c r="K319" i="26"/>
  <c r="K316" i="26"/>
  <c r="K315" i="26"/>
  <c r="K314" i="26"/>
  <c r="K313" i="26"/>
  <c r="K312" i="26"/>
  <c r="K552" i="26" l="1"/>
  <c r="K501" i="26"/>
  <c r="K500" i="26"/>
  <c r="K486" i="26"/>
  <c r="K485" i="26"/>
  <c r="K480" i="26"/>
  <c r="K479" i="26"/>
  <c r="K474" i="26"/>
  <c r="K473" i="26"/>
  <c r="K468" i="26"/>
  <c r="K467" i="26"/>
  <c r="K461" i="26"/>
  <c r="K460" i="26"/>
  <c r="K459" i="26"/>
  <c r="K453" i="26"/>
  <c r="K452" i="26"/>
  <c r="K451" i="26"/>
  <c r="K445" i="26"/>
  <c r="K444" i="26"/>
  <c r="K443" i="26"/>
  <c r="K436" i="26"/>
  <c r="K434" i="26"/>
  <c r="K427" i="26"/>
  <c r="K425" i="26"/>
  <c r="K419" i="26"/>
  <c r="K418" i="26"/>
  <c r="K416" i="26"/>
  <c r="K410" i="26"/>
  <c r="K409" i="26"/>
  <c r="K407" i="26"/>
  <c r="K399" i="26"/>
  <c r="K393" i="26"/>
  <c r="K392" i="26"/>
  <c r="K390" i="26"/>
  <c r="K384" i="26"/>
  <c r="K383" i="26"/>
  <c r="K381" i="26"/>
  <c r="K375" i="26"/>
  <c r="K374" i="26"/>
  <c r="K373" i="26"/>
  <c r="K367" i="26"/>
  <c r="K366" i="26"/>
  <c r="K365" i="26"/>
  <c r="K359" i="26"/>
  <c r="K358" i="26"/>
  <c r="K357" i="26"/>
  <c r="K351" i="26"/>
  <c r="K350" i="26"/>
  <c r="K348" i="26"/>
  <c r="K342" i="26"/>
  <c r="K341" i="26"/>
  <c r="K339" i="26"/>
  <c r="O561" i="26"/>
  <c r="O560" i="26"/>
  <c r="O559" i="26"/>
  <c r="O558" i="26"/>
  <c r="O557" i="26"/>
  <c r="O556" i="26"/>
  <c r="O555" i="26"/>
  <c r="O554" i="26"/>
  <c r="O553" i="26"/>
  <c r="O552" i="26"/>
  <c r="O551" i="26"/>
  <c r="O550" i="26"/>
  <c r="O549" i="26"/>
  <c r="O548" i="26"/>
  <c r="O547" i="26"/>
  <c r="O533" i="26"/>
  <c r="O532" i="26"/>
  <c r="O531" i="26"/>
  <c r="O530" i="26"/>
  <c r="O529" i="26"/>
  <c r="O528" i="26"/>
  <c r="O527" i="26"/>
  <c r="O525" i="26"/>
  <c r="O524" i="26"/>
  <c r="O485" i="26"/>
  <c r="O479" i="26"/>
  <c r="O473" i="26"/>
  <c r="O467" i="26"/>
  <c r="O459" i="26"/>
  <c r="O451" i="26"/>
  <c r="O443" i="26"/>
  <c r="O437" i="26"/>
  <c r="O436" i="26"/>
  <c r="O435" i="26"/>
  <c r="O434" i="26"/>
  <c r="O428" i="26"/>
  <c r="O427" i="26"/>
  <c r="O426" i="26"/>
  <c r="O425" i="26"/>
  <c r="O419" i="26"/>
  <c r="O418" i="26"/>
  <c r="O417" i="26"/>
  <c r="O416" i="26"/>
  <c r="O410" i="26"/>
  <c r="O409" i="26"/>
  <c r="O408" i="26"/>
  <c r="O407" i="26"/>
  <c r="O400" i="26"/>
  <c r="O399" i="26"/>
  <c r="O393" i="26"/>
  <c r="O392" i="26"/>
  <c r="O391" i="26"/>
  <c r="O390" i="26"/>
  <c r="O384" i="26"/>
  <c r="O383" i="26"/>
  <c r="O382" i="26"/>
  <c r="O381" i="26"/>
  <c r="O373" i="26"/>
  <c r="O365" i="26"/>
  <c r="O357" i="26"/>
  <c r="O351" i="26"/>
  <c r="O350" i="26"/>
  <c r="O349" i="26"/>
  <c r="O348" i="26"/>
  <c r="O341" i="26"/>
  <c r="O340" i="26"/>
  <c r="O339" i="26"/>
  <c r="K577" i="26" l="1"/>
  <c r="K579" i="26"/>
  <c r="K578" i="26"/>
  <c r="K582" i="26"/>
  <c r="K581" i="26"/>
  <c r="K580" i="26"/>
  <c r="O681" i="26" l="1"/>
  <c r="K681" i="26"/>
  <c r="O756" i="26"/>
  <c r="K756" i="26"/>
  <c r="O711" i="26"/>
  <c r="O710" i="26"/>
  <c r="O701" i="26"/>
  <c r="O698" i="26"/>
  <c r="O697" i="26"/>
  <c r="O696" i="26"/>
  <c r="O695" i="26"/>
  <c r="O694" i="26"/>
  <c r="O693" i="26"/>
  <c r="O692" i="26"/>
  <c r="O691" i="26"/>
  <c r="O690" i="26"/>
  <c r="O689" i="26"/>
  <c r="O688" i="26"/>
  <c r="O687" i="26"/>
  <c r="O655" i="26"/>
  <c r="O654" i="26"/>
  <c r="O653" i="26"/>
  <c r="O644" i="26"/>
  <c r="O615" i="26"/>
  <c r="K754" i="26"/>
  <c r="K751" i="26"/>
  <c r="K748" i="26"/>
  <c r="K747" i="26"/>
  <c r="K746" i="26"/>
  <c r="K743" i="26"/>
  <c r="K742" i="26"/>
  <c r="K702" i="26"/>
  <c r="K701" i="26"/>
  <c r="K698" i="26"/>
  <c r="K697" i="26"/>
  <c r="K696" i="26"/>
  <c r="K695" i="26"/>
  <c r="K694" i="26"/>
  <c r="K693" i="26"/>
  <c r="K692" i="26"/>
  <c r="K691" i="26"/>
  <c r="K690" i="26"/>
  <c r="K689" i="26"/>
  <c r="K688" i="26"/>
  <c r="K687" i="26"/>
  <c r="K679" i="26"/>
  <c r="K678" i="26"/>
  <c r="K675" i="26"/>
  <c r="K674" i="26"/>
  <c r="K673" i="26"/>
  <c r="K672" i="26"/>
  <c r="K671" i="26"/>
  <c r="K670" i="26"/>
  <c r="K669" i="26"/>
  <c r="K668" i="26"/>
  <c r="K665" i="26"/>
  <c r="K655" i="26"/>
  <c r="K654" i="26"/>
  <c r="K653" i="26"/>
  <c r="K644" i="26"/>
  <c r="K641" i="26"/>
  <c r="K640" i="26"/>
  <c r="K628" i="26"/>
  <c r="K627" i="26"/>
  <c r="K626" i="26"/>
  <c r="K809" i="26" l="1"/>
  <c r="K808" i="26"/>
  <c r="K805" i="26"/>
  <c r="K804" i="26"/>
  <c r="K803" i="26"/>
  <c r="K800" i="26"/>
  <c r="K799" i="26"/>
  <c r="K798" i="26"/>
  <c r="K795" i="26"/>
  <c r="K794" i="26"/>
  <c r="K793" i="26"/>
  <c r="K792" i="26"/>
  <c r="K791" i="26"/>
  <c r="K790" i="26"/>
  <c r="K789" i="26"/>
  <c r="K788" i="26"/>
  <c r="K787" i="26"/>
  <c r="K786" i="26"/>
  <c r="K783" i="26"/>
  <c r="K782" i="26"/>
  <c r="K781" i="26"/>
  <c r="K780" i="26"/>
  <c r="K779" i="26"/>
  <c r="K774" i="26"/>
  <c r="K773" i="26"/>
  <c r="K772" i="26"/>
  <c r="K771" i="26"/>
  <c r="K770" i="26"/>
  <c r="K769" i="26"/>
  <c r="K768" i="26"/>
  <c r="K767" i="26"/>
  <c r="K766" i="26"/>
  <c r="K765" i="26"/>
  <c r="O775" i="26"/>
  <c r="K816" i="26"/>
  <c r="K815" i="26"/>
  <c r="K813" i="26"/>
  <c r="K812" i="26"/>
  <c r="K825" i="26"/>
  <c r="K824" i="26" l="1"/>
  <c r="K823" i="26"/>
  <c r="K829" i="26"/>
  <c r="K828" i="26"/>
  <c r="G169" i="26"/>
  <c r="G168" i="26"/>
  <c r="G167" i="26"/>
  <c r="G710" i="26"/>
  <c r="G708" i="26"/>
  <c r="G702" i="26"/>
  <c r="G701" i="26"/>
  <c r="G696" i="26"/>
  <c r="G693" i="26"/>
  <c r="G692" i="26"/>
  <c r="G691" i="26"/>
  <c r="G690" i="26"/>
  <c r="G689" i="26"/>
  <c r="G688" i="26"/>
  <c r="G264" i="26"/>
  <c r="G263" i="26"/>
  <c r="G224" i="26"/>
  <c r="G228" i="26"/>
  <c r="G275" i="26"/>
  <c r="G281" i="26"/>
  <c r="G285" i="26"/>
  <c r="G286" i="26"/>
  <c r="G337" i="26"/>
  <c r="G338" i="26"/>
  <c r="G339" i="26"/>
  <c r="G340" i="26"/>
  <c r="G341" i="26"/>
  <c r="G342" i="26"/>
  <c r="G343" i="26"/>
  <c r="G346" i="26"/>
  <c r="G347" i="26"/>
  <c r="G348" i="26"/>
  <c r="G349" i="26"/>
  <c r="G350" i="26"/>
  <c r="G351" i="26"/>
  <c r="G352" i="26"/>
  <c r="G355" i="26"/>
  <c r="G356" i="26"/>
  <c r="G357" i="26"/>
  <c r="G358" i="26"/>
  <c r="G359" i="26"/>
  <c r="G360" i="26"/>
  <c r="G363" i="26"/>
  <c r="G364" i="26"/>
  <c r="G365" i="26"/>
  <c r="G366" i="26"/>
  <c r="G367" i="26"/>
  <c r="G368" i="26"/>
  <c r="G371" i="26"/>
  <c r="G372" i="26"/>
  <c r="G373" i="26"/>
  <c r="G374" i="26"/>
  <c r="G375" i="26"/>
  <c r="G376" i="26"/>
  <c r="G379" i="26"/>
  <c r="G380" i="26"/>
  <c r="G381" i="26"/>
  <c r="G382" i="26"/>
  <c r="G383" i="26"/>
  <c r="G384" i="26"/>
  <c r="G385" i="26"/>
  <c r="G388" i="26"/>
  <c r="G389" i="26"/>
  <c r="G390" i="26"/>
  <c r="G391" i="26"/>
  <c r="G392" i="26"/>
  <c r="G393" i="26"/>
  <c r="G394" i="26"/>
  <c r="G397" i="26"/>
  <c r="G398" i="26"/>
  <c r="G399" i="26"/>
  <c r="G400" i="26"/>
  <c r="G402" i="26"/>
  <c r="G405" i="26"/>
  <c r="G406" i="26"/>
  <c r="G407" i="26"/>
  <c r="G408" i="26"/>
  <c r="G409" i="26"/>
  <c r="G410" i="26"/>
  <c r="G411" i="26"/>
  <c r="G414" i="26"/>
  <c r="G415" i="26"/>
  <c r="G416" i="26"/>
  <c r="G417" i="26"/>
  <c r="G418" i="26"/>
  <c r="G419" i="26"/>
  <c r="G420" i="26"/>
  <c r="G423" i="26"/>
  <c r="G424" i="26"/>
  <c r="G425" i="26"/>
  <c r="G426" i="26"/>
  <c r="G427" i="26"/>
  <c r="G428" i="26"/>
  <c r="G429" i="26"/>
  <c r="G432" i="26"/>
  <c r="G433" i="26"/>
  <c r="G434" i="26"/>
  <c r="G435" i="26"/>
  <c r="G436" i="26"/>
  <c r="G437" i="26"/>
  <c r="G438" i="26"/>
  <c r="G441" i="26"/>
  <c r="G442" i="26"/>
  <c r="G443" i="26"/>
  <c r="G444" i="26"/>
  <c r="G445" i="26"/>
  <c r="G446" i="26"/>
  <c r="G449" i="26"/>
  <c r="G450" i="26"/>
  <c r="G451" i="26"/>
  <c r="G452" i="26"/>
  <c r="G453" i="26"/>
  <c r="G454" i="26"/>
  <c r="G457" i="26"/>
  <c r="G458" i="26"/>
  <c r="G459" i="26"/>
  <c r="G460" i="26"/>
  <c r="G461" i="26"/>
  <c r="G462" i="26"/>
  <c r="G465" i="26"/>
  <c r="G466" i="26"/>
  <c r="G467" i="26"/>
  <c r="G471" i="26"/>
  <c r="G472" i="26"/>
  <c r="G473" i="26"/>
  <c r="G477" i="26"/>
  <c r="G478" i="26"/>
  <c r="G479" i="26"/>
  <c r="G483" i="26"/>
  <c r="G484" i="26"/>
  <c r="G485" i="26"/>
  <c r="G494" i="26"/>
  <c r="G495" i="26"/>
  <c r="G496" i="26"/>
  <c r="G500" i="26"/>
  <c r="G501" i="26"/>
  <c r="G503" i="26"/>
  <c r="G504" i="26"/>
  <c r="G505" i="26"/>
  <c r="G611" i="26"/>
  <c r="G612" i="26"/>
  <c r="G613" i="26"/>
  <c r="G614" i="26"/>
  <c r="G618" i="26"/>
  <c r="G619" i="26"/>
  <c r="G620" i="26"/>
  <c r="G621" i="26"/>
  <c r="G635" i="26"/>
  <c r="G636" i="26"/>
  <c r="G637" i="26"/>
  <c r="G644" i="26"/>
  <c r="G645" i="26"/>
  <c r="G650" i="26"/>
  <c r="G654" i="26"/>
  <c r="G655" i="26"/>
  <c r="G660" i="26"/>
  <c r="G812" i="26"/>
  <c r="G813" i="26" s="1"/>
  <c r="G815" i="26"/>
  <c r="G816" i="26" s="1"/>
  <c r="G828" i="26"/>
  <c r="G829" i="26" s="1"/>
  <c r="G855" i="26"/>
  <c r="G860" i="26"/>
  <c r="G865" i="26"/>
  <c r="G868" i="26"/>
  <c r="G869" i="26"/>
  <c r="G870" i="26"/>
  <c r="G871" i="26"/>
  <c r="G872" i="26"/>
  <c r="G873" i="26"/>
  <c r="G876" i="26"/>
  <c r="G877" i="26"/>
  <c r="G878" i="26"/>
  <c r="G879" i="26"/>
  <c r="G880" i="26"/>
  <c r="G881" i="26"/>
  <c r="G885" i="26"/>
  <c r="O885" i="26"/>
  <c r="G886" i="26"/>
  <c r="O886" i="26"/>
  <c r="G887" i="26"/>
  <c r="O887" i="26"/>
  <c r="G888" i="26"/>
  <c r="O888" i="26"/>
  <c r="G889" i="26"/>
  <c r="O889" i="26"/>
  <c r="G890" i="26"/>
  <c r="O890" i="26"/>
  <c r="G894" i="26"/>
  <c r="G897" i="26"/>
  <c r="G899" i="26"/>
  <c r="O899" i="26"/>
  <c r="G906" i="26"/>
  <c r="G907" i="26"/>
  <c r="G908" i="26"/>
  <c r="G911" i="26"/>
  <c r="G913" i="26"/>
  <c r="G915" i="26"/>
  <c r="G923" i="26"/>
  <c r="O923" i="26"/>
  <c r="O926" i="26"/>
  <c r="G927" i="26"/>
  <c r="G928" i="26"/>
  <c r="O928" i="26"/>
  <c r="G932" i="26"/>
  <c r="G934" i="26"/>
  <c r="G935" i="26"/>
  <c r="G937" i="26"/>
  <c r="G942" i="26"/>
  <c r="O942" i="26"/>
  <c r="G943" i="26"/>
  <c r="G946" i="26"/>
  <c r="G947" i="26"/>
  <c r="O947" i="26"/>
  <c r="G949" i="26"/>
  <c r="G950" i="26"/>
  <c r="G952" i="26"/>
  <c r="G954" i="26"/>
  <c r="G957" i="26"/>
  <c r="G958" i="26"/>
  <c r="O960" i="26"/>
  <c r="O967" i="26"/>
  <c r="O968" i="26"/>
  <c r="G969" i="26"/>
  <c r="G974" i="26"/>
  <c r="G975" i="26"/>
  <c r="G976" i="26"/>
  <c r="G977" i="26"/>
  <c r="G978" i="26"/>
  <c r="G979" i="26"/>
  <c r="G985" i="26"/>
  <c r="O1000" i="26"/>
  <c r="A1014" i="26"/>
  <c r="M1016" i="26"/>
  <c r="M1017" i="26"/>
  <c r="M1018" i="26"/>
  <c r="M1019" i="26"/>
  <c r="G191" i="26"/>
  <c r="G187" i="26"/>
  <c r="G186" i="26"/>
  <c r="G184" i="26"/>
  <c r="O177" i="26"/>
  <c r="G141" i="26"/>
  <c r="G140" i="26"/>
  <c r="G139" i="26"/>
  <c r="O148" i="26"/>
  <c r="G129" i="26"/>
  <c r="G125" i="26"/>
  <c r="G123" i="26"/>
  <c r="G122" i="26"/>
  <c r="G105" i="26"/>
  <c r="G104" i="26"/>
  <c r="G103" i="26"/>
  <c r="G94" i="26"/>
  <c r="G93" i="26"/>
  <c r="G92" i="26"/>
  <c r="G845" i="26" s="1"/>
  <c r="O134" i="26"/>
  <c r="O105" i="26"/>
  <c r="O103" i="26"/>
  <c r="O99" i="26"/>
  <c r="O97" i="26"/>
  <c r="O92" i="26"/>
  <c r="O109" i="26"/>
  <c r="M23" i="26"/>
  <c r="M22" i="26"/>
  <c r="G847" i="26"/>
  <c r="K115" i="26" l="1"/>
  <c r="G903" i="26"/>
  <c r="K913" i="26"/>
  <c r="G177" i="26"/>
  <c r="G146" i="26"/>
  <c r="G134" i="26"/>
  <c r="G85" i="26" l="1"/>
  <c r="G83" i="26"/>
  <c r="G82" i="26"/>
  <c r="G80" i="26"/>
  <c r="G79" i="26"/>
  <c r="G77" i="26"/>
  <c r="G76" i="26"/>
  <c r="G74" i="26"/>
  <c r="G72" i="26"/>
  <c r="G161" i="26"/>
  <c r="G159" i="26"/>
  <c r="G158" i="26"/>
  <c r="G154" i="26"/>
  <c r="G153" i="26"/>
  <c r="G152" i="26"/>
  <c r="G151" i="26"/>
  <c r="E18" i="12" l="1"/>
  <c r="K4" i="12" l="1"/>
  <c r="H41" i="12" l="1"/>
  <c r="D4" i="12"/>
  <c r="D5" i="12"/>
  <c r="D6" i="12"/>
  <c r="C122" i="22"/>
  <c r="C123" i="22"/>
  <c r="C118" i="22"/>
  <c r="C119" i="22"/>
  <c r="C120" i="22"/>
  <c r="C121" i="22"/>
  <c r="C117" i="22"/>
  <c r="C116" i="22"/>
  <c r="H1013" i="26" l="1"/>
  <c r="H979" i="26"/>
  <c r="H975" i="26"/>
  <c r="H952" i="26"/>
  <c r="I952" i="26" s="1"/>
  <c r="P952" i="26" s="1"/>
  <c r="H978" i="26"/>
  <c r="H974" i="26"/>
  <c r="H958" i="26"/>
  <c r="H935" i="26"/>
  <c r="I935" i="26" s="1"/>
  <c r="P935" i="26" s="1"/>
  <c r="H921" i="26"/>
  <c r="H828" i="26"/>
  <c r="H812" i="26"/>
  <c r="H707" i="26"/>
  <c r="I707" i="26" s="1"/>
  <c r="H698" i="26"/>
  <c r="H694" i="26"/>
  <c r="H690" i="26"/>
  <c r="H663" i="26"/>
  <c r="I663" i="26" s="1"/>
  <c r="H655" i="26"/>
  <c r="H650" i="26"/>
  <c r="H635" i="26"/>
  <c r="H621" i="26"/>
  <c r="I621" i="26" s="1"/>
  <c r="H615" i="26"/>
  <c r="H611" i="26"/>
  <c r="H596" i="26"/>
  <c r="H591" i="26"/>
  <c r="I591" i="26" s="1"/>
  <c r="H985" i="26"/>
  <c r="H977" i="26"/>
  <c r="H969" i="26"/>
  <c r="H957" i="26"/>
  <c r="I957" i="26" s="1"/>
  <c r="P957" i="26" s="1"/>
  <c r="H934" i="26"/>
  <c r="H920" i="26"/>
  <c r="H816" i="26"/>
  <c r="H706" i="26"/>
  <c r="I706" i="26" s="1"/>
  <c r="L706" i="26" s="1"/>
  <c r="N706" i="26" s="1"/>
  <c r="H697" i="26"/>
  <c r="H693" i="26"/>
  <c r="H689" i="26"/>
  <c r="H662" i="26"/>
  <c r="I662" i="26" s="1"/>
  <c r="H654" i="26"/>
  <c r="H646" i="26"/>
  <c r="H634" i="26"/>
  <c r="H620" i="26"/>
  <c r="I620" i="26" s="1"/>
  <c r="H614" i="26"/>
  <c r="H590" i="26"/>
  <c r="H531" i="26"/>
  <c r="H527" i="26"/>
  <c r="I527" i="26" s="1"/>
  <c r="H462" i="26"/>
  <c r="H458" i="26"/>
  <c r="H829" i="26"/>
  <c r="H813" i="26"/>
  <c r="I813" i="26" s="1"/>
  <c r="H701" i="26"/>
  <c r="H691" i="26"/>
  <c r="H651" i="26"/>
  <c r="H636" i="26"/>
  <c r="I636" i="26" s="1"/>
  <c r="H622" i="26"/>
  <c r="H612" i="26"/>
  <c r="H564" i="26"/>
  <c r="H530" i="26"/>
  <c r="I530" i="26" s="1"/>
  <c r="H525" i="26"/>
  <c r="H503" i="26"/>
  <c r="H494" i="26"/>
  <c r="H478" i="26"/>
  <c r="I478" i="26" s="1"/>
  <c r="H471" i="26"/>
  <c r="H454" i="26"/>
  <c r="H449" i="26"/>
  <c r="H433" i="26"/>
  <c r="I433" i="26" s="1"/>
  <c r="H423" i="26"/>
  <c r="H411" i="26"/>
  <c r="H397" i="26"/>
  <c r="H385" i="26"/>
  <c r="I385" i="26" s="1"/>
  <c r="H371" i="26"/>
  <c r="H355" i="26"/>
  <c r="H343" i="26"/>
  <c r="H285" i="26"/>
  <c r="I285" i="26" s="1"/>
  <c r="H270" i="26"/>
  <c r="H256" i="26"/>
  <c r="H228" i="26"/>
  <c r="H976" i="26"/>
  <c r="I976" i="26" s="1"/>
  <c r="P976" i="26" s="1"/>
  <c r="H710" i="26"/>
  <c r="H696" i="26"/>
  <c r="H688" i="26"/>
  <c r="H661" i="26"/>
  <c r="I661" i="26" s="1"/>
  <c r="H645" i="26"/>
  <c r="H619" i="26"/>
  <c r="H589" i="26"/>
  <c r="H529" i="26"/>
  <c r="I529" i="26" s="1"/>
  <c r="H524" i="26"/>
  <c r="H484" i="26"/>
  <c r="H477" i="26"/>
  <c r="H446" i="26"/>
  <c r="I446" i="26" s="1"/>
  <c r="H442" i="26"/>
  <c r="H432" i="26"/>
  <c r="H420" i="26"/>
  <c r="H406" i="26"/>
  <c r="I406" i="26" s="1"/>
  <c r="H394" i="26"/>
  <c r="H380" i="26"/>
  <c r="H368" i="26"/>
  <c r="H364" i="26"/>
  <c r="I364" i="26" s="1"/>
  <c r="H352" i="26"/>
  <c r="H338" i="26"/>
  <c r="H288" i="26"/>
  <c r="H259" i="26"/>
  <c r="I259" i="26" s="1"/>
  <c r="H255" i="26"/>
  <c r="H708" i="26"/>
  <c r="H695" i="26"/>
  <c r="H687" i="26"/>
  <c r="I687" i="26" s="1"/>
  <c r="H660" i="26"/>
  <c r="H644" i="26"/>
  <c r="H618" i="26"/>
  <c r="H597" i="26"/>
  <c r="I597" i="26" s="1"/>
  <c r="H533" i="26"/>
  <c r="H528" i="26"/>
  <c r="H508" i="26"/>
  <c r="H483" i="26"/>
  <c r="I483" i="26" s="1"/>
  <c r="H466" i="26"/>
  <c r="H441" i="26"/>
  <c r="H815" i="26"/>
  <c r="H613" i="26"/>
  <c r="I613" i="26" s="1"/>
  <c r="H532" i="26"/>
  <c r="H472" i="26"/>
  <c r="H429" i="26"/>
  <c r="H389" i="26"/>
  <c r="I389" i="26" s="1"/>
  <c r="H379" i="26"/>
  <c r="H347" i="26"/>
  <c r="H337" i="26"/>
  <c r="H253" i="26"/>
  <c r="I253" i="26" s="1"/>
  <c r="H224" i="26"/>
  <c r="H197" i="26"/>
  <c r="H188" i="26"/>
  <c r="H183" i="26"/>
  <c r="I183" i="26" s="1"/>
  <c r="H172" i="26"/>
  <c r="H118" i="26"/>
  <c r="H82" i="26"/>
  <c r="H702" i="26"/>
  <c r="I702" i="26" s="1"/>
  <c r="H653" i="26"/>
  <c r="H526" i="26"/>
  <c r="H465" i="26"/>
  <c r="H438" i="26"/>
  <c r="I438" i="26" s="1"/>
  <c r="H398" i="26"/>
  <c r="H388" i="26"/>
  <c r="H376" i="26"/>
  <c r="H356" i="26"/>
  <c r="I356" i="26" s="1"/>
  <c r="H346" i="26"/>
  <c r="H252" i="26"/>
  <c r="H203" i="26"/>
  <c r="H187" i="26"/>
  <c r="I187" i="26" s="1"/>
  <c r="H182" i="26"/>
  <c r="H171" i="26"/>
  <c r="H154" i="26"/>
  <c r="H71" i="26"/>
  <c r="I71" i="26" s="1"/>
  <c r="H191" i="26"/>
  <c r="H692" i="26"/>
  <c r="H637" i="26"/>
  <c r="H457" i="26"/>
  <c r="I457" i="26" s="1"/>
  <c r="H415" i="26"/>
  <c r="H405" i="26"/>
  <c r="H363" i="26"/>
  <c r="H287" i="26"/>
  <c r="I287" i="26" s="1"/>
  <c r="H258" i="26"/>
  <c r="H194" i="26"/>
  <c r="H186" i="26"/>
  <c r="H153" i="26"/>
  <c r="I153" i="26" s="1"/>
  <c r="H146" i="26"/>
  <c r="H100" i="26"/>
  <c r="H85" i="26"/>
  <c r="H79" i="26"/>
  <c r="I79" i="26" s="1"/>
  <c r="H74" i="26"/>
  <c r="H70" i="26"/>
  <c r="H623" i="26"/>
  <c r="H450" i="26"/>
  <c r="I450" i="26" s="1"/>
  <c r="H424" i="26"/>
  <c r="H414" i="26"/>
  <c r="H402" i="26"/>
  <c r="H372" i="26"/>
  <c r="I372" i="26" s="1"/>
  <c r="H360" i="26"/>
  <c r="H286" i="26"/>
  <c r="H271" i="26"/>
  <c r="H257" i="26"/>
  <c r="I257" i="26" s="1"/>
  <c r="H213" i="26"/>
  <c r="H184" i="26"/>
  <c r="H173" i="26"/>
  <c r="H158" i="26"/>
  <c r="I158" i="26" s="1"/>
  <c r="H152" i="26"/>
  <c r="H119" i="26"/>
  <c r="H1007" i="26"/>
  <c r="I1007" i="26" s="1"/>
  <c r="P1007" i="26" s="1"/>
  <c r="H1003" i="26"/>
  <c r="I1003" i="26" s="1"/>
  <c r="P1003" i="26" s="1"/>
  <c r="H995" i="26"/>
  <c r="H989" i="26"/>
  <c r="H1010" i="26"/>
  <c r="I1010" i="26" s="1"/>
  <c r="P1010" i="26" s="1"/>
  <c r="H1006" i="26"/>
  <c r="I1006" i="26" s="1"/>
  <c r="P1006" i="26" s="1"/>
  <c r="H994" i="26"/>
  <c r="H988" i="26"/>
  <c r="H964" i="26"/>
  <c r="H804" i="26"/>
  <c r="I804" i="26" s="1"/>
  <c r="H798" i="26"/>
  <c r="H792" i="26"/>
  <c r="H788" i="26"/>
  <c r="I788" i="26" s="1"/>
  <c r="H782" i="26"/>
  <c r="I782" i="26" s="1"/>
  <c r="H775" i="26"/>
  <c r="H771" i="26"/>
  <c r="H767" i="26"/>
  <c r="I767" i="26" s="1"/>
  <c r="H747" i="26"/>
  <c r="I747" i="26" s="1"/>
  <c r="H739" i="26"/>
  <c r="H733" i="26"/>
  <c r="H729" i="26"/>
  <c r="H723" i="26"/>
  <c r="I723" i="26" s="1"/>
  <c r="H719" i="26"/>
  <c r="H674" i="26"/>
  <c r="H670" i="26"/>
  <c r="I670" i="26" s="1"/>
  <c r="H641" i="26"/>
  <c r="I641" i="26" s="1"/>
  <c r="H627" i="26"/>
  <c r="H1009" i="26"/>
  <c r="H1005" i="26"/>
  <c r="I1005" i="26" s="1"/>
  <c r="P1005" i="26" s="1"/>
  <c r="H999" i="26"/>
  <c r="H993" i="26"/>
  <c r="H963" i="26"/>
  <c r="H825" i="26"/>
  <c r="H809" i="26"/>
  <c r="I809" i="26" s="1"/>
  <c r="H803" i="26"/>
  <c r="H795" i="26"/>
  <c r="H791" i="26"/>
  <c r="I791" i="26" s="1"/>
  <c r="H787" i="26"/>
  <c r="I787" i="26" s="1"/>
  <c r="H781" i="26"/>
  <c r="H774" i="26"/>
  <c r="H770" i="26"/>
  <c r="H766" i="26"/>
  <c r="I766" i="26" s="1"/>
  <c r="H754" i="26"/>
  <c r="H746" i="26"/>
  <c r="H738" i="26"/>
  <c r="I738" i="26" s="1"/>
  <c r="H732" i="26"/>
  <c r="I732" i="26" s="1"/>
  <c r="H728" i="26"/>
  <c r="H722" i="26"/>
  <c r="H718" i="26"/>
  <c r="H679" i="26"/>
  <c r="I679" i="26" s="1"/>
  <c r="H673" i="26"/>
  <c r="H669" i="26"/>
  <c r="H640" i="26"/>
  <c r="I640" i="26" s="1"/>
  <c r="H626" i="26"/>
  <c r="I626" i="26" s="1"/>
  <c r="H595" i="26"/>
  <c r="H582" i="26"/>
  <c r="H578" i="26"/>
  <c r="H571" i="26"/>
  <c r="I571" i="26" s="1"/>
  <c r="H561" i="26"/>
  <c r="H557" i="26"/>
  <c r="H553" i="26"/>
  <c r="I553" i="26" s="1"/>
  <c r="H549" i="26"/>
  <c r="I549" i="26" s="1"/>
  <c r="H505" i="26"/>
  <c r="H500" i="26"/>
  <c r="H492" i="26"/>
  <c r="H486" i="26"/>
  <c r="I486" i="26" s="1"/>
  <c r="H480" i="26"/>
  <c r="H474" i="26"/>
  <c r="H468" i="26"/>
  <c r="H452" i="26"/>
  <c r="I452" i="26" s="1"/>
  <c r="H1008" i="26"/>
  <c r="H982" i="26"/>
  <c r="H799" i="26"/>
  <c r="I799" i="26" s="1"/>
  <c r="H789" i="26"/>
  <c r="I789" i="26" s="1"/>
  <c r="H779" i="26"/>
  <c r="H768" i="26"/>
  <c r="H748" i="26"/>
  <c r="I748" i="26" s="1"/>
  <c r="H734" i="26"/>
  <c r="I734" i="26" s="1"/>
  <c r="H724" i="26"/>
  <c r="H716" i="26"/>
  <c r="H675" i="26"/>
  <c r="I675" i="26" s="1"/>
  <c r="H665" i="26"/>
  <c r="I665" i="26" s="1"/>
  <c r="H593" i="26"/>
  <c r="H581" i="26"/>
  <c r="H573" i="26"/>
  <c r="H556" i="26"/>
  <c r="I556" i="26" s="1"/>
  <c r="H551" i="26"/>
  <c r="H485" i="26"/>
  <c r="H461" i="26"/>
  <c r="I461" i="26" s="1"/>
  <c r="H443" i="26"/>
  <c r="I443" i="26" s="1"/>
  <c r="H437" i="26"/>
  <c r="H427" i="26"/>
  <c r="H407" i="26"/>
  <c r="H401" i="26"/>
  <c r="I401" i="26" s="1"/>
  <c r="L401" i="26" s="1"/>
  <c r="N401" i="26" s="1"/>
  <c r="H381" i="26"/>
  <c r="H375" i="26"/>
  <c r="H365" i="26"/>
  <c r="H359" i="26"/>
  <c r="I359" i="26" s="1"/>
  <c r="H339" i="26"/>
  <c r="H330" i="26"/>
  <c r="H326" i="26"/>
  <c r="I326" i="26" s="1"/>
  <c r="H322" i="26"/>
  <c r="I322" i="26" s="1"/>
  <c r="H316" i="26"/>
  <c r="H312" i="26"/>
  <c r="H306" i="26"/>
  <c r="I306" i="26" s="1"/>
  <c r="H302" i="26"/>
  <c r="I302" i="26" s="1"/>
  <c r="H298" i="26"/>
  <c r="H260" i="26"/>
  <c r="H220" i="26"/>
  <c r="I220" i="26" s="1"/>
  <c r="H1004" i="26"/>
  <c r="I1004" i="26" s="1"/>
  <c r="P1004" i="26" s="1"/>
  <c r="H824" i="26"/>
  <c r="H808" i="26"/>
  <c r="H794" i="26"/>
  <c r="I794" i="26" s="1"/>
  <c r="H786" i="26"/>
  <c r="I786" i="26" s="1"/>
  <c r="H773" i="26"/>
  <c r="H765" i="26"/>
  <c r="H743" i="26"/>
  <c r="I743" i="26" s="1"/>
  <c r="H731" i="26"/>
  <c r="I731" i="26" s="1"/>
  <c r="H721" i="26"/>
  <c r="I721" i="26" s="1"/>
  <c r="H672" i="26"/>
  <c r="H629" i="26"/>
  <c r="H601" i="26"/>
  <c r="I601" i="26" s="1"/>
  <c r="H580" i="26"/>
  <c r="H572" i="26"/>
  <c r="H560" i="26"/>
  <c r="I560" i="26" s="1"/>
  <c r="H555" i="26"/>
  <c r="I555" i="26" s="1"/>
  <c r="H550" i="26"/>
  <c r="H501" i="26"/>
  <c r="H491" i="26"/>
  <c r="I491" i="26" s="1"/>
  <c r="L491" i="26" s="1"/>
  <c r="N491" i="26" s="1"/>
  <c r="H467" i="26"/>
  <c r="I467" i="26" s="1"/>
  <c r="H460" i="26"/>
  <c r="H453" i="26"/>
  <c r="H436" i="26"/>
  <c r="H416" i="26"/>
  <c r="I416" i="26" s="1"/>
  <c r="H410" i="26"/>
  <c r="H390" i="26"/>
  <c r="H384" i="26"/>
  <c r="H374" i="26"/>
  <c r="I374" i="26" s="1"/>
  <c r="H358" i="26"/>
  <c r="H348" i="26"/>
  <c r="H342" i="26"/>
  <c r="I342" i="26" s="1"/>
  <c r="H329" i="26"/>
  <c r="I329" i="26" s="1"/>
  <c r="H325" i="26"/>
  <c r="H321" i="26"/>
  <c r="H315" i="26"/>
  <c r="H309" i="26"/>
  <c r="I309" i="26" s="1"/>
  <c r="H305" i="26"/>
  <c r="H301" i="26"/>
  <c r="H297" i="26"/>
  <c r="H227" i="26"/>
  <c r="I227" i="26" s="1"/>
  <c r="H219" i="26"/>
  <c r="H998" i="26"/>
  <c r="H940" i="26"/>
  <c r="I940" i="26" s="1"/>
  <c r="P940" i="26" s="1"/>
  <c r="H823" i="26"/>
  <c r="I823" i="26" s="1"/>
  <c r="H805" i="26"/>
  <c r="H793" i="26"/>
  <c r="H783" i="26"/>
  <c r="H772" i="26"/>
  <c r="I772" i="26" s="1"/>
  <c r="H761" i="26"/>
  <c r="H742" i="26"/>
  <c r="H730" i="26"/>
  <c r="I730" i="26" s="1"/>
  <c r="H720" i="26"/>
  <c r="I720" i="26" s="1"/>
  <c r="H671" i="26"/>
  <c r="H628" i="26"/>
  <c r="H579" i="26"/>
  <c r="H570" i="26"/>
  <c r="I570" i="26" s="1"/>
  <c r="H559" i="26"/>
  <c r="H554" i="26"/>
  <c r="H548" i="26"/>
  <c r="I548" i="26" s="1"/>
  <c r="H496" i="26"/>
  <c r="I496" i="26" s="1"/>
  <c r="H490" i="26"/>
  <c r="H473" i="26"/>
  <c r="H459" i="26"/>
  <c r="I459" i="26" s="1"/>
  <c r="H451" i="26"/>
  <c r="I451" i="26" s="1"/>
  <c r="H445" i="26"/>
  <c r="H992" i="26"/>
  <c r="H769" i="26"/>
  <c r="I769" i="26" s="1"/>
  <c r="H717" i="26"/>
  <c r="I717" i="26" s="1"/>
  <c r="H668" i="26"/>
  <c r="H569" i="26"/>
  <c r="H444" i="26"/>
  <c r="I444" i="26" s="1"/>
  <c r="H419" i="26"/>
  <c r="I419" i="26" s="1"/>
  <c r="H409" i="26"/>
  <c r="H399" i="26"/>
  <c r="H367" i="26"/>
  <c r="H357" i="26"/>
  <c r="I357" i="26" s="1"/>
  <c r="H324" i="26"/>
  <c r="H314" i="26"/>
  <c r="H304" i="26"/>
  <c r="H296" i="26"/>
  <c r="I296" i="26" s="1"/>
  <c r="H211" i="26"/>
  <c r="H155" i="26"/>
  <c r="H110" i="26"/>
  <c r="I110" i="26" s="1"/>
  <c r="L110" i="26" s="1"/>
  <c r="N110" i="26" s="1"/>
  <c r="H800" i="26"/>
  <c r="I800" i="26" s="1"/>
  <c r="H751" i="26"/>
  <c r="H594" i="26"/>
  <c r="H558" i="26"/>
  <c r="H428" i="26"/>
  <c r="I428" i="26" s="1"/>
  <c r="H418" i="26"/>
  <c r="H366" i="26"/>
  <c r="H331" i="26"/>
  <c r="H323" i="26"/>
  <c r="I323" i="26" s="1"/>
  <c r="H313" i="26"/>
  <c r="H303" i="26"/>
  <c r="H295" i="26"/>
  <c r="H223" i="26"/>
  <c r="I223" i="26" s="1"/>
  <c r="H210" i="26"/>
  <c r="H109" i="26"/>
  <c r="H73" i="26"/>
  <c r="H790" i="26"/>
  <c r="I790" i="26" s="1"/>
  <c r="H735" i="26"/>
  <c r="H552" i="26"/>
  <c r="H489" i="26"/>
  <c r="I489" i="26" s="1"/>
  <c r="L489" i="26" s="1"/>
  <c r="N489" i="26" s="1"/>
  <c r="H425" i="26"/>
  <c r="I425" i="26" s="1"/>
  <c r="H393" i="26"/>
  <c r="H383" i="26"/>
  <c r="H373" i="26"/>
  <c r="H351" i="26"/>
  <c r="I351" i="26" s="1"/>
  <c r="H341" i="26"/>
  <c r="H328" i="26"/>
  <c r="H320" i="26"/>
  <c r="I320" i="26" s="1"/>
  <c r="H308" i="26"/>
  <c r="I308" i="26" s="1"/>
  <c r="H300" i="26"/>
  <c r="H216" i="26"/>
  <c r="H209" i="26"/>
  <c r="I209" i="26" s="1"/>
  <c r="H780" i="26"/>
  <c r="I780" i="26" s="1"/>
  <c r="H725" i="26"/>
  <c r="H678" i="26"/>
  <c r="H577" i="26"/>
  <c r="I577" i="26" s="1"/>
  <c r="H547" i="26"/>
  <c r="I547" i="26" s="1"/>
  <c r="H479" i="26"/>
  <c r="H434" i="26"/>
  <c r="H392" i="26"/>
  <c r="H350" i="26"/>
  <c r="I350" i="26" s="1"/>
  <c r="H327" i="26"/>
  <c r="H319" i="26"/>
  <c r="H307" i="26"/>
  <c r="H299" i="26"/>
  <c r="H946" i="26"/>
  <c r="H937" i="26"/>
  <c r="H913" i="26"/>
  <c r="H907" i="26"/>
  <c r="I907" i="26" s="1"/>
  <c r="P907" i="26" s="1"/>
  <c r="H950" i="26"/>
  <c r="H906" i="26"/>
  <c r="I906" i="26" s="1"/>
  <c r="P906" i="26" s="1"/>
  <c r="H894" i="26"/>
  <c r="H818" i="26"/>
  <c r="I818" i="26" s="1"/>
  <c r="H756" i="26"/>
  <c r="H712" i="26"/>
  <c r="I712" i="26" s="1"/>
  <c r="H681" i="26"/>
  <c r="H949" i="26"/>
  <c r="I949" i="26" s="1"/>
  <c r="P949" i="26" s="1"/>
  <c r="H927" i="26"/>
  <c r="H911" i="26"/>
  <c r="H850" i="26"/>
  <c r="H711" i="26"/>
  <c r="I711" i="26" s="1"/>
  <c r="H541" i="26"/>
  <c r="H521" i="26"/>
  <c r="H517" i="26"/>
  <c r="H513" i="26"/>
  <c r="I513" i="26" s="1"/>
  <c r="H954" i="26"/>
  <c r="H544" i="26"/>
  <c r="I544" i="26" s="1"/>
  <c r="H518" i="26"/>
  <c r="H512" i="26"/>
  <c r="I512" i="26" s="1"/>
  <c r="H417" i="26"/>
  <c r="H391" i="26"/>
  <c r="I391" i="26" s="1"/>
  <c r="H349" i="26"/>
  <c r="H290" i="26"/>
  <c r="I290" i="26" s="1"/>
  <c r="H277" i="26"/>
  <c r="H251" i="26"/>
  <c r="I251" i="26" s="1"/>
  <c r="H245" i="26"/>
  <c r="H239" i="26"/>
  <c r="I239" i="26" s="1"/>
  <c r="H915" i="26"/>
  <c r="H540" i="26"/>
  <c r="I540" i="26" s="1"/>
  <c r="H516" i="26"/>
  <c r="H511" i="26"/>
  <c r="I511" i="26" s="1"/>
  <c r="H426" i="26"/>
  <c r="H400" i="26"/>
  <c r="I400" i="26" s="1"/>
  <c r="H282" i="26"/>
  <c r="H276" i="26"/>
  <c r="I276" i="26" s="1"/>
  <c r="H267" i="26"/>
  <c r="H250" i="26"/>
  <c r="I250" i="26" s="1"/>
  <c r="H244" i="26"/>
  <c r="H238" i="26"/>
  <c r="I238" i="26" s="1"/>
  <c r="H908" i="26"/>
  <c r="H588" i="26"/>
  <c r="I588" i="26" s="1"/>
  <c r="H520" i="26"/>
  <c r="H515" i="26"/>
  <c r="I515" i="26" s="1"/>
  <c r="H281" i="26"/>
  <c r="H264" i="26"/>
  <c r="H243" i="26"/>
  <c r="H205" i="26"/>
  <c r="I205" i="26" s="1"/>
  <c r="H151" i="26"/>
  <c r="H141" i="26"/>
  <c r="I141" i="26" s="1"/>
  <c r="H131" i="26"/>
  <c r="I131" i="26" s="1"/>
  <c r="H125" i="26"/>
  <c r="H98" i="26"/>
  <c r="H76" i="26"/>
  <c r="I76" i="26" s="1"/>
  <c r="H72" i="26"/>
  <c r="H961" i="26"/>
  <c r="I961" i="26" s="1"/>
  <c r="H408" i="26"/>
  <c r="H278" i="26"/>
  <c r="I278" i="26" s="1"/>
  <c r="H263" i="26"/>
  <c r="H242" i="26"/>
  <c r="I242" i="26" s="1"/>
  <c r="H195" i="26"/>
  <c r="H161" i="26"/>
  <c r="H140" i="26"/>
  <c r="H130" i="26"/>
  <c r="I130" i="26" s="1"/>
  <c r="H123" i="26"/>
  <c r="H115" i="26"/>
  <c r="H80" i="26"/>
  <c r="H75" i="26"/>
  <c r="I75" i="26" s="1"/>
  <c r="H126" i="26"/>
  <c r="H111" i="26"/>
  <c r="I111" i="26" s="1"/>
  <c r="L111" i="26" s="1"/>
  <c r="N111" i="26" s="1"/>
  <c r="H83" i="26"/>
  <c r="H932" i="26"/>
  <c r="I932" i="26" s="1"/>
  <c r="P932" i="26" s="1"/>
  <c r="H587" i="26"/>
  <c r="H519" i="26"/>
  <c r="I519" i="26" s="1"/>
  <c r="H435" i="26"/>
  <c r="H275" i="26"/>
  <c r="I275" i="26" s="1"/>
  <c r="H249" i="26"/>
  <c r="H234" i="26"/>
  <c r="I234" i="26" s="1"/>
  <c r="H200" i="26"/>
  <c r="I200" i="26" s="1"/>
  <c r="H139" i="26"/>
  <c r="I139" i="26" s="1"/>
  <c r="H129" i="26"/>
  <c r="H122" i="26"/>
  <c r="I122" i="26" s="1"/>
  <c r="H112" i="26"/>
  <c r="I112" i="26" s="1"/>
  <c r="H106" i="26"/>
  <c r="I106" i="26" s="1"/>
  <c r="H831" i="26"/>
  <c r="H514" i="26"/>
  <c r="I514" i="26" s="1"/>
  <c r="H382" i="26"/>
  <c r="H340" i="26"/>
  <c r="I340" i="26" s="1"/>
  <c r="H248" i="26"/>
  <c r="H233" i="26"/>
  <c r="I233" i="26" s="1"/>
  <c r="H206" i="26"/>
  <c r="H199" i="26"/>
  <c r="I199" i="26" s="1"/>
  <c r="H77" i="26"/>
  <c r="H148" i="26"/>
  <c r="I148" i="26" s="1"/>
  <c r="H177" i="26"/>
  <c r="H134" i="26"/>
  <c r="I134" i="26" s="1"/>
  <c r="L134" i="26" s="1"/>
  <c r="H912" i="26"/>
  <c r="H605" i="26"/>
  <c r="I605" i="26" s="1"/>
  <c r="L605" i="26" s="1"/>
  <c r="N605" i="26" s="1"/>
  <c r="H62" i="26"/>
  <c r="H56" i="26"/>
  <c r="I56" i="26" s="1"/>
  <c r="H50" i="26"/>
  <c r="H44" i="26"/>
  <c r="H40" i="26"/>
  <c r="H34" i="26"/>
  <c r="I34" i="26" s="1"/>
  <c r="H28" i="26"/>
  <c r="H61" i="26"/>
  <c r="I61" i="26" s="1"/>
  <c r="H55" i="26"/>
  <c r="H49" i="26"/>
  <c r="I49" i="26" s="1"/>
  <c r="H43" i="26"/>
  <c r="H39" i="26"/>
  <c r="I39" i="26" s="1"/>
  <c r="H31" i="26"/>
  <c r="H27" i="26"/>
  <c r="I27" i="26" s="1"/>
  <c r="H57" i="26"/>
  <c r="H47" i="26"/>
  <c r="H35" i="26"/>
  <c r="H60" i="26"/>
  <c r="I60" i="26" s="1"/>
  <c r="H54" i="26"/>
  <c r="H48" i="26"/>
  <c r="H42" i="26"/>
  <c r="H36" i="26"/>
  <c r="I36" i="26" s="1"/>
  <c r="H30" i="26"/>
  <c r="H26" i="26"/>
  <c r="H65" i="26"/>
  <c r="H51" i="26"/>
  <c r="I51" i="26" s="1"/>
  <c r="H41" i="26"/>
  <c r="H29" i="26"/>
  <c r="H930" i="26"/>
  <c r="H943" i="26"/>
  <c r="I943" i="26" s="1"/>
  <c r="P943" i="26" s="1"/>
  <c r="H504" i="26"/>
  <c r="H167" i="26"/>
  <c r="H104" i="26"/>
  <c r="H495" i="26"/>
  <c r="I495" i="26" s="1"/>
  <c r="H169" i="26"/>
  <c r="H94" i="26"/>
  <c r="I94" i="26" s="1"/>
  <c r="H168" i="26"/>
  <c r="I168" i="26" s="1"/>
  <c r="H143" i="26"/>
  <c r="I143" i="26" s="1"/>
  <c r="H93" i="26"/>
  <c r="H967" i="26"/>
  <c r="I967" i="26" s="1"/>
  <c r="P967" i="26" s="1"/>
  <c r="H960" i="26"/>
  <c r="I960" i="26" s="1"/>
  <c r="P960" i="26" s="1"/>
  <c r="H923" i="26"/>
  <c r="I923" i="26" s="1"/>
  <c r="P923" i="26" s="1"/>
  <c r="H897" i="26"/>
  <c r="H888" i="26"/>
  <c r="I888" i="26" s="1"/>
  <c r="P888" i="26" s="1"/>
  <c r="H1000" i="26"/>
  <c r="I1000" i="26" s="1"/>
  <c r="P1000" i="26" s="1"/>
  <c r="H928" i="26"/>
  <c r="I928" i="26" s="1"/>
  <c r="P928" i="26" s="1"/>
  <c r="H887" i="26"/>
  <c r="H880" i="26"/>
  <c r="I880" i="26" s="1"/>
  <c r="P880" i="26" s="1"/>
  <c r="H876" i="26"/>
  <c r="H870" i="26"/>
  <c r="I870" i="26" s="1"/>
  <c r="P870" i="26" s="1"/>
  <c r="H863" i="26"/>
  <c r="H853" i="26"/>
  <c r="I853" i="26" s="1"/>
  <c r="P853" i="26" s="1"/>
  <c r="H845" i="26"/>
  <c r="H837" i="26"/>
  <c r="I837" i="26" s="1"/>
  <c r="L837" i="26" s="1"/>
  <c r="N837" i="26" s="1"/>
  <c r="H942" i="26"/>
  <c r="H903" i="26"/>
  <c r="H890" i="26"/>
  <c r="I890" i="26" s="1"/>
  <c r="P890" i="26" s="1"/>
  <c r="H886" i="26"/>
  <c r="I886" i="26" s="1"/>
  <c r="P886" i="26" s="1"/>
  <c r="H879" i="26"/>
  <c r="H873" i="26"/>
  <c r="I873" i="26" s="1"/>
  <c r="P873" i="26" s="1"/>
  <c r="H869" i="26"/>
  <c r="I869" i="26" s="1"/>
  <c r="P869" i="26" s="1"/>
  <c r="H860" i="26"/>
  <c r="I860" i="26" s="1"/>
  <c r="P860" i="26" s="1"/>
  <c r="H842" i="26"/>
  <c r="H835" i="26"/>
  <c r="H926" i="26"/>
  <c r="I926" i="26" s="1"/>
  <c r="P926" i="26" s="1"/>
  <c r="H889" i="26"/>
  <c r="I889" i="26" s="1"/>
  <c r="P889" i="26" s="1"/>
  <c r="H877" i="26"/>
  <c r="H865" i="26"/>
  <c r="I865" i="26" s="1"/>
  <c r="P865" i="26" s="1"/>
  <c r="H846" i="26"/>
  <c r="I846" i="26" s="1"/>
  <c r="H947" i="26"/>
  <c r="I947" i="26" s="1"/>
  <c r="P947" i="26" s="1"/>
  <c r="H885" i="26"/>
  <c r="H872" i="26"/>
  <c r="I872" i="26" s="1"/>
  <c r="P872" i="26" s="1"/>
  <c r="H858" i="26"/>
  <c r="I858" i="26" s="1"/>
  <c r="P858" i="26" s="1"/>
  <c r="H841" i="26"/>
  <c r="I841" i="26" s="1"/>
  <c r="H968" i="26"/>
  <c r="I968" i="26" s="1"/>
  <c r="P968" i="26" s="1"/>
  <c r="H881" i="26"/>
  <c r="I881" i="26" s="1"/>
  <c r="P881" i="26" s="1"/>
  <c r="H871" i="26"/>
  <c r="I871" i="26" s="1"/>
  <c r="P871" i="26" s="1"/>
  <c r="H855" i="26"/>
  <c r="I855" i="26" s="1"/>
  <c r="P855" i="26" s="1"/>
  <c r="H840" i="26"/>
  <c r="H878" i="26"/>
  <c r="I878" i="26" s="1"/>
  <c r="P878" i="26" s="1"/>
  <c r="H92" i="26"/>
  <c r="H868" i="26"/>
  <c r="I868" i="26" s="1"/>
  <c r="P868" i="26" s="1"/>
  <c r="H103" i="26"/>
  <c r="H97" i="26"/>
  <c r="H87" i="26"/>
  <c r="I87" i="26" s="1"/>
  <c r="H99" i="26"/>
  <c r="I99" i="26" s="1"/>
  <c r="H847" i="26"/>
  <c r="I847" i="26" s="1"/>
  <c r="H159" i="26"/>
  <c r="H899" i="26"/>
  <c r="I899" i="26" s="1"/>
  <c r="P899" i="26" s="1"/>
  <c r="H105" i="26"/>
  <c r="I105" i="26" s="1"/>
  <c r="L105" i="26" s="1"/>
  <c r="I126" i="26"/>
  <c r="I840" i="26"/>
  <c r="I842" i="26"/>
  <c r="I845" i="26"/>
  <c r="I172" i="26"/>
  <c r="I173" i="26"/>
  <c r="I245" i="26"/>
  <c r="L245" i="26" s="1"/>
  <c r="N245" i="26" s="1"/>
  <c r="I252" i="26"/>
  <c r="I831" i="26"/>
  <c r="I521" i="26"/>
  <c r="I277" i="26"/>
  <c r="P277" i="26" s="1"/>
  <c r="I541" i="26"/>
  <c r="L541" i="26" s="1"/>
  <c r="N541" i="26" s="1"/>
  <c r="I590" i="26"/>
  <c r="I596" i="26"/>
  <c r="I912" i="26"/>
  <c r="P912" i="26" s="1"/>
  <c r="I492" i="26"/>
  <c r="L492" i="26" s="1"/>
  <c r="N492" i="26" s="1"/>
  <c r="I490" i="26"/>
  <c r="L490" i="26" s="1"/>
  <c r="N490" i="26" s="1"/>
  <c r="I835" i="26"/>
  <c r="P835" i="26" s="1"/>
  <c r="I508" i="26"/>
  <c r="I992" i="26"/>
  <c r="I995" i="26"/>
  <c r="I994" i="26"/>
  <c r="I993" i="26"/>
  <c r="I169" i="26"/>
  <c r="I742" i="26"/>
  <c r="I724" i="26"/>
  <c r="I739" i="26"/>
  <c r="I735" i="26"/>
  <c r="I733" i="26"/>
  <c r="I716" i="26"/>
  <c r="I1013" i="26"/>
  <c r="P1013" i="26" s="1"/>
  <c r="I691" i="26"/>
  <c r="I708" i="26"/>
  <c r="I696" i="26"/>
  <c r="I692" i="26"/>
  <c r="I697" i="26"/>
  <c r="I690" i="26"/>
  <c r="I693" i="26"/>
  <c r="I756" i="26"/>
  <c r="I689" i="26"/>
  <c r="I688" i="26"/>
  <c r="I701" i="26"/>
  <c r="I698" i="26"/>
  <c r="I694" i="26"/>
  <c r="I695" i="26"/>
  <c r="I710" i="26"/>
  <c r="I729" i="26"/>
  <c r="I725" i="26"/>
  <c r="I722" i="26"/>
  <c r="I718" i="26"/>
  <c r="I728" i="26"/>
  <c r="I719" i="26"/>
  <c r="I243" i="26"/>
  <c r="I244" i="26"/>
  <c r="I248" i="26"/>
  <c r="I256" i="26"/>
  <c r="I249" i="26"/>
  <c r="I258" i="26"/>
  <c r="I255" i="26"/>
  <c r="I260" i="26"/>
  <c r="I504" i="26"/>
  <c r="I877" i="26"/>
  <c r="P877" i="26" s="1"/>
  <c r="I887" i="26"/>
  <c r="P887" i="26" s="1"/>
  <c r="I897" i="26"/>
  <c r="P897" i="26" s="1"/>
  <c r="I876" i="26"/>
  <c r="P876" i="26" s="1"/>
  <c r="I863" i="26"/>
  <c r="P863" i="26" s="1"/>
  <c r="I879" i="26"/>
  <c r="P879" i="26" s="1"/>
  <c r="I885" i="26"/>
  <c r="P885" i="26" s="1"/>
  <c r="I903" i="26"/>
  <c r="P903" i="26" s="1"/>
  <c r="I850" i="26"/>
  <c r="P850" i="26" s="1"/>
  <c r="I942" i="26"/>
  <c r="P942" i="26" s="1"/>
  <c r="I295" i="26"/>
  <c r="I299" i="26"/>
  <c r="I313" i="26"/>
  <c r="I216" i="26"/>
  <c r="I298" i="26"/>
  <c r="I305" i="26"/>
  <c r="I312" i="26"/>
  <c r="I321" i="26"/>
  <c r="I325" i="26"/>
  <c r="I328" i="26"/>
  <c r="I339" i="26"/>
  <c r="I341" i="26"/>
  <c r="I348" i="26"/>
  <c r="I211" i="26"/>
  <c r="I219" i="26"/>
  <c r="I301" i="26"/>
  <c r="I304" i="26"/>
  <c r="I314" i="26"/>
  <c r="I315" i="26"/>
  <c r="I316" i="26"/>
  <c r="I324" i="26"/>
  <c r="I327" i="26"/>
  <c r="I331" i="26"/>
  <c r="I384" i="26"/>
  <c r="I210" i="26"/>
  <c r="I297" i="26"/>
  <c r="I300" i="26"/>
  <c r="I303" i="26"/>
  <c r="I307" i="26"/>
  <c r="I319" i="26"/>
  <c r="I330" i="26"/>
  <c r="I358" i="26"/>
  <c r="I366" i="26"/>
  <c r="I367" i="26"/>
  <c r="I373" i="26"/>
  <c r="I375" i="26"/>
  <c r="I383" i="26"/>
  <c r="I399" i="26"/>
  <c r="I409" i="26"/>
  <c r="I392" i="26"/>
  <c r="I427" i="26"/>
  <c r="I474" i="26"/>
  <c r="I485" i="26"/>
  <c r="I551" i="26"/>
  <c r="I559" i="26"/>
  <c r="I569" i="26"/>
  <c r="I582" i="26"/>
  <c r="I593" i="26"/>
  <c r="I628" i="26"/>
  <c r="I381" i="26"/>
  <c r="I407" i="26"/>
  <c r="I410" i="26"/>
  <c r="I436" i="26"/>
  <c r="I437" i="26"/>
  <c r="I445" i="26"/>
  <c r="I453" i="26"/>
  <c r="I473" i="26"/>
  <c r="I550" i="26"/>
  <c r="I554" i="26"/>
  <c r="I390" i="26"/>
  <c r="I434" i="26"/>
  <c r="I460" i="26"/>
  <c r="I557" i="26"/>
  <c r="I561" i="26"/>
  <c r="I572" i="26"/>
  <c r="I573" i="26"/>
  <c r="I579" i="26"/>
  <c r="I580" i="26"/>
  <c r="I365" i="26"/>
  <c r="I393" i="26"/>
  <c r="I418" i="26"/>
  <c r="I468" i="26"/>
  <c r="I479" i="26"/>
  <c r="I480" i="26"/>
  <c r="I500" i="26"/>
  <c r="I501" i="26"/>
  <c r="I505" i="26"/>
  <c r="I552" i="26"/>
  <c r="I578" i="26"/>
  <c r="I594" i="26"/>
  <c r="I595" i="26"/>
  <c r="I627" i="26"/>
  <c r="I671" i="26"/>
  <c r="I672" i="26"/>
  <c r="I673" i="26"/>
  <c r="I765" i="26"/>
  <c r="I770" i="26"/>
  <c r="I773" i="26"/>
  <c r="I783" i="26"/>
  <c r="I803" i="26"/>
  <c r="I824" i="26"/>
  <c r="I825" i="26"/>
  <c r="I558" i="26"/>
  <c r="I775" i="26"/>
  <c r="I792" i="26"/>
  <c r="I793" i="26"/>
  <c r="I581" i="26"/>
  <c r="I669" i="26"/>
  <c r="I674" i="26"/>
  <c r="I678" i="26"/>
  <c r="I751" i="26"/>
  <c r="I761" i="26"/>
  <c r="I774" i="26"/>
  <c r="I779" i="26"/>
  <c r="I805" i="26"/>
  <c r="I808" i="26"/>
  <c r="I668" i="26"/>
  <c r="I746" i="26"/>
  <c r="I754" i="26"/>
  <c r="I768" i="26"/>
  <c r="I771" i="26"/>
  <c r="I781" i="26"/>
  <c r="I795" i="26"/>
  <c r="I798" i="26"/>
  <c r="I964" i="26"/>
  <c r="P964" i="26" s="1"/>
  <c r="I963" i="26"/>
  <c r="P963" i="26" s="1"/>
  <c r="I286" i="26"/>
  <c r="I338" i="26"/>
  <c r="I355" i="26"/>
  <c r="I213" i="26"/>
  <c r="I288" i="26"/>
  <c r="I343" i="26"/>
  <c r="I224" i="26"/>
  <c r="I228" i="26"/>
  <c r="I347" i="26"/>
  <c r="I352" i="26"/>
  <c r="I363" i="26"/>
  <c r="I368" i="26"/>
  <c r="I337" i="26"/>
  <c r="I346" i="26"/>
  <c r="I360" i="26"/>
  <c r="I371" i="26"/>
  <c r="I397" i="26"/>
  <c r="I398" i="26"/>
  <c r="I388" i="26"/>
  <c r="I429" i="26"/>
  <c r="I466" i="26"/>
  <c r="I472" i="26"/>
  <c r="I484" i="26"/>
  <c r="I503" i="26"/>
  <c r="I528" i="26"/>
  <c r="I533" i="26"/>
  <c r="I564" i="26"/>
  <c r="I589" i="26"/>
  <c r="I614" i="26"/>
  <c r="I622" i="26"/>
  <c r="I634" i="26"/>
  <c r="I376" i="26"/>
  <c r="I380" i="26"/>
  <c r="I402" i="26"/>
  <c r="I411" i="26"/>
  <c r="I441" i="26"/>
  <c r="I454" i="26"/>
  <c r="I465" i="26"/>
  <c r="I471" i="26"/>
  <c r="I494" i="26"/>
  <c r="I379" i="26"/>
  <c r="I394" i="26"/>
  <c r="I405" i="26"/>
  <c r="I420" i="26"/>
  <c r="I424" i="26"/>
  <c r="I442" i="26"/>
  <c r="I458" i="26"/>
  <c r="I462" i="26"/>
  <c r="I525" i="26"/>
  <c r="I526" i="26"/>
  <c r="I531" i="26"/>
  <c r="I532" i="26"/>
  <c r="I587" i="26"/>
  <c r="I612" i="26"/>
  <c r="I629" i="26"/>
  <c r="I414" i="26"/>
  <c r="I415" i="26"/>
  <c r="I423" i="26"/>
  <c r="I432" i="26"/>
  <c r="I449" i="26"/>
  <c r="I477" i="26"/>
  <c r="I524" i="26"/>
  <c r="I611" i="26"/>
  <c r="I618" i="26"/>
  <c r="I619" i="26"/>
  <c r="I646" i="26"/>
  <c r="I650" i="26"/>
  <c r="I654" i="26"/>
  <c r="I655" i="26"/>
  <c r="I812" i="26"/>
  <c r="I816" i="26"/>
  <c r="I829" i="26"/>
  <c r="I921" i="26"/>
  <c r="P921" i="26" s="1"/>
  <c r="I934" i="26"/>
  <c r="P934" i="26" s="1"/>
  <c r="I958" i="26"/>
  <c r="P958" i="26" s="1"/>
  <c r="I969" i="26"/>
  <c r="P969" i="26" s="1"/>
  <c r="I975" i="26"/>
  <c r="P975" i="26" s="1"/>
  <c r="I985" i="26"/>
  <c r="P985" i="26" s="1"/>
  <c r="I989" i="26"/>
  <c r="P989" i="26" s="1"/>
  <c r="I999" i="26"/>
  <c r="P999" i="26" s="1"/>
  <c r="I644" i="26"/>
  <c r="I645" i="26"/>
  <c r="I815" i="26"/>
  <c r="I828" i="26"/>
  <c r="I651" i="26"/>
  <c r="I920" i="26"/>
  <c r="P920" i="26" s="1"/>
  <c r="I982" i="26"/>
  <c r="P982" i="26" s="1"/>
  <c r="I635" i="26"/>
  <c r="I637" i="26"/>
  <c r="I653" i="26"/>
  <c r="I660" i="26"/>
  <c r="I974" i="26"/>
  <c r="P974" i="26" s="1"/>
  <c r="I977" i="26"/>
  <c r="P977" i="26" s="1"/>
  <c r="I988" i="26"/>
  <c r="P988" i="26" s="1"/>
  <c r="I1009" i="26"/>
  <c r="P1009" i="26" s="1"/>
  <c r="I930" i="26"/>
  <c r="P930" i="26" s="1"/>
  <c r="I979" i="26"/>
  <c r="P979" i="26" s="1"/>
  <c r="I998" i="26"/>
  <c r="P998" i="26" s="1"/>
  <c r="I1008" i="26"/>
  <c r="P1008" i="26" s="1"/>
  <c r="I978" i="26"/>
  <c r="P978" i="26" s="1"/>
  <c r="I263" i="26"/>
  <c r="I206" i="26"/>
  <c r="I270" i="26"/>
  <c r="I271" i="26"/>
  <c r="L271" i="26" s="1"/>
  <c r="N271" i="26" s="1"/>
  <c r="I264" i="26"/>
  <c r="I197" i="26"/>
  <c r="I349" i="26"/>
  <c r="I203" i="26"/>
  <c r="I267" i="26"/>
  <c r="I281" i="26"/>
  <c r="I282" i="26"/>
  <c r="I382" i="26"/>
  <c r="I408" i="26"/>
  <c r="I417" i="26"/>
  <c r="I623" i="26"/>
  <c r="I426" i="26"/>
  <c r="I435" i="26"/>
  <c r="I517" i="26"/>
  <c r="I518" i="26"/>
  <c r="I516" i="26"/>
  <c r="I520" i="26"/>
  <c r="I615" i="26"/>
  <c r="I681" i="26"/>
  <c r="I915" i="26"/>
  <c r="P915" i="26" s="1"/>
  <c r="I946" i="26"/>
  <c r="P946" i="26" s="1"/>
  <c r="I954" i="26"/>
  <c r="P954" i="26" s="1"/>
  <c r="I908" i="26"/>
  <c r="P908" i="26" s="1"/>
  <c r="I927" i="26"/>
  <c r="P927" i="26" s="1"/>
  <c r="I894" i="26"/>
  <c r="P894" i="26" s="1"/>
  <c r="I911" i="26"/>
  <c r="P911" i="26" s="1"/>
  <c r="I913" i="26"/>
  <c r="P913" i="26" s="1"/>
  <c r="I937" i="26"/>
  <c r="P937" i="26" s="1"/>
  <c r="I950" i="26"/>
  <c r="P950" i="26" s="1"/>
  <c r="I186" i="26"/>
  <c r="I184" i="26"/>
  <c r="I195" i="26"/>
  <c r="I182" i="26"/>
  <c r="I194" i="26"/>
  <c r="I191" i="26"/>
  <c r="I188" i="26"/>
  <c r="I167" i="26"/>
  <c r="I177" i="26"/>
  <c r="I140" i="26"/>
  <c r="I146" i="26"/>
  <c r="I129" i="26"/>
  <c r="I125" i="26"/>
  <c r="I123" i="26"/>
  <c r="I119" i="26"/>
  <c r="L119" i="26" s="1"/>
  <c r="I118" i="26"/>
  <c r="I115" i="26"/>
  <c r="I104" i="26"/>
  <c r="I103" i="26"/>
  <c r="I100" i="26"/>
  <c r="I98" i="26"/>
  <c r="I97" i="26"/>
  <c r="I93" i="26"/>
  <c r="I92" i="26"/>
  <c r="I73" i="26"/>
  <c r="I54" i="26"/>
  <c r="I48" i="26"/>
  <c r="I42" i="26"/>
  <c r="I30" i="26"/>
  <c r="I26" i="26"/>
  <c r="H22" i="26"/>
  <c r="I22" i="26" s="1"/>
  <c r="I62" i="26"/>
  <c r="I50" i="26"/>
  <c r="I44" i="26"/>
  <c r="I40" i="26"/>
  <c r="I28" i="26"/>
  <c r="H24" i="26"/>
  <c r="I24" i="26" s="1"/>
  <c r="I55" i="26"/>
  <c r="I43" i="26"/>
  <c r="I31" i="26"/>
  <c r="H23" i="26"/>
  <c r="I23" i="26" s="1"/>
  <c r="I47" i="26"/>
  <c r="H25" i="26"/>
  <c r="I25" i="26" s="1"/>
  <c r="I65" i="26"/>
  <c r="I41" i="26"/>
  <c r="I29" i="26"/>
  <c r="I57" i="26"/>
  <c r="I35" i="26"/>
  <c r="I85" i="26"/>
  <c r="I74" i="26"/>
  <c r="I70" i="26"/>
  <c r="I82" i="26"/>
  <c r="I152" i="26"/>
  <c r="I154" i="26"/>
  <c r="I171" i="26"/>
  <c r="I155" i="26"/>
  <c r="I151" i="26"/>
  <c r="I72" i="26"/>
  <c r="I80" i="26"/>
  <c r="I161" i="26"/>
  <c r="I77" i="26"/>
  <c r="I83" i="26"/>
  <c r="I159" i="26"/>
  <c r="I109" i="26"/>
  <c r="L109" i="26" s="1"/>
  <c r="H97" i="12"/>
  <c r="H21" i="26"/>
  <c r="P131" i="26" l="1"/>
  <c r="L131" i="26"/>
  <c r="N131" i="26" s="1"/>
  <c r="P721" i="26"/>
  <c r="L721" i="26"/>
  <c r="N721" i="26" s="1"/>
  <c r="P961" i="26"/>
  <c r="L961" i="26"/>
  <c r="N961" i="26" s="1"/>
  <c r="P148" i="26"/>
  <c r="Q148" i="26" s="1"/>
  <c r="L148" i="26"/>
  <c r="L831" i="26"/>
  <c r="N831" i="26" s="1"/>
  <c r="P126" i="26"/>
  <c r="L126" i="26"/>
  <c r="N126" i="26" s="1"/>
  <c r="E38" i="12"/>
  <c r="P489" i="26"/>
  <c r="L521" i="26"/>
  <c r="N521" i="26" s="1"/>
  <c r="P521" i="26"/>
  <c r="P491" i="26"/>
  <c r="P492" i="26"/>
  <c r="P490" i="26"/>
  <c r="P541" i="26"/>
  <c r="Q131" i="26"/>
  <c r="L112" i="26"/>
  <c r="N112" i="26" s="1"/>
  <c r="P112" i="26"/>
  <c r="P842" i="26"/>
  <c r="L842" i="26"/>
  <c r="N842" i="26" s="1"/>
  <c r="L845" i="26"/>
  <c r="N845" i="26" s="1"/>
  <c r="P845" i="26"/>
  <c r="L847" i="26"/>
  <c r="N847" i="26" s="1"/>
  <c r="P847" i="26"/>
  <c r="P846" i="26"/>
  <c r="L846" i="26"/>
  <c r="N846" i="26" s="1"/>
  <c r="P841" i="26"/>
  <c r="L841" i="26"/>
  <c r="N841" i="26" s="1"/>
  <c r="P840" i="26"/>
  <c r="L840" i="26"/>
  <c r="N840" i="26" s="1"/>
  <c r="D31" i="12"/>
  <c r="P605" i="26"/>
  <c r="E31" i="12" s="1"/>
  <c r="L173" i="26"/>
  <c r="N173" i="26" s="1"/>
  <c r="P173" i="26"/>
  <c r="L172" i="26"/>
  <c r="N172" i="26" s="1"/>
  <c r="P172" i="26"/>
  <c r="P245" i="26"/>
  <c r="Q245" i="26" s="1"/>
  <c r="P831" i="26"/>
  <c r="L712" i="26"/>
  <c r="N712" i="26" s="1"/>
  <c r="P712" i="26"/>
  <c r="L252" i="26"/>
  <c r="N252" i="26" s="1"/>
  <c r="P252" i="26"/>
  <c r="L253" i="26"/>
  <c r="N253" i="26" s="1"/>
  <c r="P253" i="26"/>
  <c r="L277" i="26"/>
  <c r="N277" i="26" s="1"/>
  <c r="Q277" i="26" s="1"/>
  <c r="L199" i="26"/>
  <c r="N199" i="26" s="1"/>
  <c r="P199" i="26"/>
  <c r="L200" i="26"/>
  <c r="N200" i="26" s="1"/>
  <c r="P200" i="26"/>
  <c r="P837" i="26"/>
  <c r="Q837" i="26" s="1"/>
  <c r="P111" i="26"/>
  <c r="P110" i="26"/>
  <c r="P591" i="26"/>
  <c r="L591" i="26"/>
  <c r="N591" i="26" s="1"/>
  <c r="P590" i="26"/>
  <c r="L590" i="26"/>
  <c r="N590" i="26" s="1"/>
  <c r="L597" i="26"/>
  <c r="N597" i="26" s="1"/>
  <c r="P597" i="26"/>
  <c r="L596" i="26"/>
  <c r="N596" i="26" s="1"/>
  <c r="P596" i="26"/>
  <c r="L912" i="26"/>
  <c r="N912" i="26" s="1"/>
  <c r="Q912" i="26" s="1"/>
  <c r="L835" i="26"/>
  <c r="N835" i="26" s="1"/>
  <c r="L508" i="26"/>
  <c r="N508" i="26" s="1"/>
  <c r="P508" i="26"/>
  <c r="L995" i="26"/>
  <c r="N995" i="26" s="1"/>
  <c r="P995" i="26"/>
  <c r="L993" i="26"/>
  <c r="N993" i="26" s="1"/>
  <c r="P993" i="26"/>
  <c r="L992" i="26"/>
  <c r="N992" i="26" s="1"/>
  <c r="P992" i="26"/>
  <c r="L994" i="26"/>
  <c r="N994" i="26" s="1"/>
  <c r="P994" i="26"/>
  <c r="P161" i="26"/>
  <c r="L161" i="26"/>
  <c r="N161" i="26" s="1"/>
  <c r="P169" i="26"/>
  <c r="L169" i="26"/>
  <c r="N169" i="26" s="1"/>
  <c r="P154" i="26"/>
  <c r="L154" i="26"/>
  <c r="N154" i="26" s="1"/>
  <c r="P177" i="26"/>
  <c r="L177" i="26"/>
  <c r="P155" i="26"/>
  <c r="L155" i="26"/>
  <c r="N155" i="26" s="1"/>
  <c r="P146" i="26"/>
  <c r="L146" i="26"/>
  <c r="N146" i="26" s="1"/>
  <c r="P143" i="26"/>
  <c r="L143" i="26"/>
  <c r="N143" i="26" s="1"/>
  <c r="P167" i="26"/>
  <c r="L167" i="26"/>
  <c r="N167" i="26" s="1"/>
  <c r="P168" i="26"/>
  <c r="L168" i="26"/>
  <c r="N168" i="26" s="1"/>
  <c r="P159" i="26"/>
  <c r="L159" i="26"/>
  <c r="N159" i="26" s="1"/>
  <c r="P153" i="26"/>
  <c r="L153" i="26"/>
  <c r="N153" i="26" s="1"/>
  <c r="P139" i="26"/>
  <c r="L139" i="26"/>
  <c r="N139" i="26" s="1"/>
  <c r="P158" i="26"/>
  <c r="L158" i="26"/>
  <c r="N158" i="26" s="1"/>
  <c r="P152" i="26"/>
  <c r="L152" i="26"/>
  <c r="N152" i="26" s="1"/>
  <c r="P140" i="26"/>
  <c r="L140" i="26"/>
  <c r="N140" i="26" s="1"/>
  <c r="P151" i="26"/>
  <c r="L151" i="26"/>
  <c r="N151" i="26" s="1"/>
  <c r="P141" i="26"/>
  <c r="L141" i="26"/>
  <c r="N141" i="26" s="1"/>
  <c r="P194" i="26"/>
  <c r="L194" i="26"/>
  <c r="N194" i="26" s="1"/>
  <c r="L950" i="26"/>
  <c r="N950" i="26" s="1"/>
  <c r="Q950" i="26" s="1"/>
  <c r="L967" i="26"/>
  <c r="N967" i="26" s="1"/>
  <c r="Q967" i="26" s="1"/>
  <c r="P515" i="26"/>
  <c r="L515" i="26"/>
  <c r="N515" i="26" s="1"/>
  <c r="P349" i="26"/>
  <c r="L349" i="26"/>
  <c r="N349" i="26" s="1"/>
  <c r="L1007" i="26"/>
  <c r="N1007" i="26" s="1"/>
  <c r="Q1007" i="26" s="1"/>
  <c r="L1010" i="26"/>
  <c r="N1010" i="26" s="1"/>
  <c r="Q1010" i="26" s="1"/>
  <c r="L952" i="26"/>
  <c r="N952" i="26" s="1"/>
  <c r="Q952" i="26" s="1"/>
  <c r="L921" i="26"/>
  <c r="N921" i="26" s="1"/>
  <c r="Q921" i="26" s="1"/>
  <c r="P423" i="26"/>
  <c r="L423" i="26"/>
  <c r="N423" i="26" s="1"/>
  <c r="P462" i="26"/>
  <c r="L462" i="26"/>
  <c r="N462" i="26" s="1"/>
  <c r="P465" i="26"/>
  <c r="L465" i="26"/>
  <c r="N465" i="26" s="1"/>
  <c r="P588" i="26"/>
  <c r="L588" i="26"/>
  <c r="N588" i="26" s="1"/>
  <c r="P472" i="26"/>
  <c r="L472" i="26"/>
  <c r="N472" i="26" s="1"/>
  <c r="P371" i="26"/>
  <c r="L371" i="26"/>
  <c r="N371" i="26" s="1"/>
  <c r="P224" i="26"/>
  <c r="L224" i="26"/>
  <c r="N224" i="26" s="1"/>
  <c r="L940" i="26"/>
  <c r="N940" i="26" s="1"/>
  <c r="Q940" i="26" s="1"/>
  <c r="P581" i="26"/>
  <c r="L581" i="26"/>
  <c r="N581" i="26" s="1"/>
  <c r="P501" i="26"/>
  <c r="L501" i="26"/>
  <c r="N501" i="26" s="1"/>
  <c r="P374" i="26"/>
  <c r="L374" i="26"/>
  <c r="N374" i="26" s="1"/>
  <c r="P460" i="26"/>
  <c r="L460" i="26"/>
  <c r="N460" i="26" s="1"/>
  <c r="P473" i="26"/>
  <c r="L473" i="26"/>
  <c r="N473" i="26" s="1"/>
  <c r="P410" i="26"/>
  <c r="L410" i="26"/>
  <c r="N410" i="26" s="1"/>
  <c r="P486" i="26"/>
  <c r="L486" i="26"/>
  <c r="N486" i="26" s="1"/>
  <c r="P375" i="26"/>
  <c r="L375" i="26"/>
  <c r="N375" i="26" s="1"/>
  <c r="P210" i="26"/>
  <c r="L210" i="26"/>
  <c r="N210" i="26" s="1"/>
  <c r="P301" i="26"/>
  <c r="L301" i="26"/>
  <c r="N301" i="26" s="1"/>
  <c r="P339" i="26"/>
  <c r="L339" i="26"/>
  <c r="N339" i="26" s="1"/>
  <c r="P305" i="26"/>
  <c r="L305" i="26"/>
  <c r="N305" i="26" s="1"/>
  <c r="L928" i="26"/>
  <c r="N928" i="26" s="1"/>
  <c r="Q928" i="26" s="1"/>
  <c r="L879" i="26"/>
  <c r="N879" i="26" s="1"/>
  <c r="Q879" i="26" s="1"/>
  <c r="L947" i="26"/>
  <c r="N947" i="26" s="1"/>
  <c r="Q947" i="26" s="1"/>
  <c r="P504" i="26"/>
  <c r="L504" i="26"/>
  <c r="N504" i="26" s="1"/>
  <c r="P249" i="26"/>
  <c r="L249" i="26"/>
  <c r="N249" i="26" s="1"/>
  <c r="P243" i="26"/>
  <c r="L243" i="26"/>
  <c r="N243" i="26" s="1"/>
  <c r="L1013" i="26"/>
  <c r="N1013" i="26" s="1"/>
  <c r="Q1013" i="26" s="1"/>
  <c r="P182" i="26"/>
  <c r="L182" i="26"/>
  <c r="N182" i="26" s="1"/>
  <c r="P195" i="26"/>
  <c r="L195" i="26"/>
  <c r="N195" i="26" s="1"/>
  <c r="P183" i="26"/>
  <c r="L183" i="26"/>
  <c r="N183" i="26" s="1"/>
  <c r="P186" i="26"/>
  <c r="L186" i="26"/>
  <c r="N186" i="26" s="1"/>
  <c r="L937" i="26"/>
  <c r="N937" i="26" s="1"/>
  <c r="Q937" i="26" s="1"/>
  <c r="L926" i="26"/>
  <c r="N926" i="26" s="1"/>
  <c r="Q926" i="26" s="1"/>
  <c r="L906" i="26"/>
  <c r="N906" i="26" s="1"/>
  <c r="Q906" i="26" s="1"/>
  <c r="L927" i="26"/>
  <c r="N927" i="26" s="1"/>
  <c r="Q927" i="26" s="1"/>
  <c r="L946" i="26"/>
  <c r="N946" i="26" s="1"/>
  <c r="Q946" i="26" s="1"/>
  <c r="P520" i="26"/>
  <c r="L520" i="26"/>
  <c r="N520" i="26" s="1"/>
  <c r="P512" i="26"/>
  <c r="L512" i="26"/>
  <c r="N512" i="26" s="1"/>
  <c r="P517" i="26"/>
  <c r="L517" i="26"/>
  <c r="N517" i="26" s="1"/>
  <c r="P435" i="26"/>
  <c r="L435" i="26"/>
  <c r="N435" i="26" s="1"/>
  <c r="P417" i="26"/>
  <c r="L417" i="26"/>
  <c r="N417" i="26" s="1"/>
  <c r="P223" i="26"/>
  <c r="L223" i="26"/>
  <c r="N223" i="26" s="1"/>
  <c r="P340" i="26"/>
  <c r="L340" i="26"/>
  <c r="N340" i="26" s="1"/>
  <c r="P264" i="26"/>
  <c r="L264" i="26"/>
  <c r="N264" i="26" s="1"/>
  <c r="L978" i="26"/>
  <c r="N978" i="26" s="1"/>
  <c r="Q978" i="26" s="1"/>
  <c r="L979" i="26"/>
  <c r="N979" i="26" s="1"/>
  <c r="Q979" i="26" s="1"/>
  <c r="L1003" i="26"/>
  <c r="N1003" i="26" s="1"/>
  <c r="Q1003" i="26" s="1"/>
  <c r="L1006" i="26"/>
  <c r="N1006" i="26" s="1"/>
  <c r="Q1006" i="26" s="1"/>
  <c r="L920" i="26"/>
  <c r="N920" i="26" s="1"/>
  <c r="L989" i="26"/>
  <c r="N989" i="26" s="1"/>
  <c r="Q989" i="26" s="1"/>
  <c r="L958" i="26"/>
  <c r="N958" i="26" s="1"/>
  <c r="Q958" i="26" s="1"/>
  <c r="P524" i="26"/>
  <c r="L524" i="26"/>
  <c r="N524" i="26" s="1"/>
  <c r="P449" i="26"/>
  <c r="L449" i="26"/>
  <c r="N449" i="26" s="1"/>
  <c r="P415" i="26"/>
  <c r="L415" i="26"/>
  <c r="N415" i="26" s="1"/>
  <c r="P531" i="26"/>
  <c r="L531" i="26"/>
  <c r="N531" i="26" s="1"/>
  <c r="P458" i="26"/>
  <c r="L458" i="26"/>
  <c r="N458" i="26" s="1"/>
  <c r="P420" i="26"/>
  <c r="L420" i="26"/>
  <c r="N420" i="26" s="1"/>
  <c r="P494" i="26"/>
  <c r="L494" i="26"/>
  <c r="N494" i="26" s="1"/>
  <c r="P454" i="26"/>
  <c r="L454" i="26"/>
  <c r="N454" i="26" s="1"/>
  <c r="P380" i="26"/>
  <c r="L380" i="26"/>
  <c r="N380" i="26" s="1"/>
  <c r="P564" i="26"/>
  <c r="L564" i="26"/>
  <c r="N564" i="26" s="1"/>
  <c r="P503" i="26"/>
  <c r="L503" i="26"/>
  <c r="N503" i="26" s="1"/>
  <c r="P466" i="26"/>
  <c r="L466" i="26"/>
  <c r="N466" i="26" s="1"/>
  <c r="P406" i="26"/>
  <c r="L406" i="26"/>
  <c r="N406" i="26" s="1"/>
  <c r="P360" i="26"/>
  <c r="L360" i="26"/>
  <c r="N360" i="26" s="1"/>
  <c r="P385" i="26"/>
  <c r="L385" i="26"/>
  <c r="N385" i="26" s="1"/>
  <c r="P347" i="26"/>
  <c r="L347" i="26"/>
  <c r="N347" i="26" s="1"/>
  <c r="P364" i="26"/>
  <c r="L364" i="26"/>
  <c r="N364" i="26" s="1"/>
  <c r="P355" i="26"/>
  <c r="L355" i="26"/>
  <c r="N355" i="26" s="1"/>
  <c r="P285" i="26"/>
  <c r="L285" i="26"/>
  <c r="N285" i="26" s="1"/>
  <c r="P601" i="26"/>
  <c r="E30" i="12" s="1"/>
  <c r="L601" i="26"/>
  <c r="N601" i="26" s="1"/>
  <c r="D30" i="12" s="1"/>
  <c r="P578" i="26"/>
  <c r="L578" i="26"/>
  <c r="N578" i="26" s="1"/>
  <c r="P552" i="26"/>
  <c r="L552" i="26"/>
  <c r="N552" i="26" s="1"/>
  <c r="P500" i="26"/>
  <c r="L500" i="26"/>
  <c r="N500" i="26" s="1"/>
  <c r="P467" i="26"/>
  <c r="L467" i="26"/>
  <c r="N467" i="26" s="1"/>
  <c r="P419" i="26"/>
  <c r="L419" i="26"/>
  <c r="N419" i="26" s="1"/>
  <c r="P365" i="26"/>
  <c r="L365" i="26"/>
  <c r="N365" i="26" s="1"/>
  <c r="P557" i="26"/>
  <c r="L557" i="26"/>
  <c r="N557" i="26" s="1"/>
  <c r="P452" i="26"/>
  <c r="L452" i="26"/>
  <c r="N452" i="26" s="1"/>
  <c r="P554" i="26"/>
  <c r="L554" i="26"/>
  <c r="N554" i="26" s="1"/>
  <c r="P453" i="26"/>
  <c r="L453" i="26"/>
  <c r="N453" i="26" s="1"/>
  <c r="P436" i="26"/>
  <c r="L436" i="26"/>
  <c r="N436" i="26" s="1"/>
  <c r="P407" i="26"/>
  <c r="L407" i="26"/>
  <c r="N407" i="26" s="1"/>
  <c r="P582" i="26"/>
  <c r="L582" i="26"/>
  <c r="N582" i="26" s="1"/>
  <c r="P555" i="26"/>
  <c r="L555" i="26"/>
  <c r="N555" i="26" s="1"/>
  <c r="P485" i="26"/>
  <c r="L485" i="26"/>
  <c r="N485" i="26" s="1"/>
  <c r="P392" i="26"/>
  <c r="L392" i="26"/>
  <c r="N392" i="26" s="1"/>
  <c r="P373" i="26"/>
  <c r="L373" i="26"/>
  <c r="N373" i="26" s="1"/>
  <c r="P351" i="26"/>
  <c r="L351" i="26"/>
  <c r="N351" i="26" s="1"/>
  <c r="P319" i="26"/>
  <c r="L319" i="26"/>
  <c r="N319" i="26" s="1"/>
  <c r="P300" i="26"/>
  <c r="L300" i="26"/>
  <c r="N300" i="26" s="1"/>
  <c r="P327" i="26"/>
  <c r="L327" i="26"/>
  <c r="N327" i="26" s="1"/>
  <c r="P314" i="26"/>
  <c r="L314" i="26"/>
  <c r="N314" i="26" s="1"/>
  <c r="P227" i="26"/>
  <c r="L227" i="26"/>
  <c r="N227" i="26" s="1"/>
  <c r="P348" i="26"/>
  <c r="L348" i="26"/>
  <c r="N348" i="26" s="1"/>
  <c r="P329" i="26"/>
  <c r="L329" i="26"/>
  <c r="N329" i="26" s="1"/>
  <c r="P320" i="26"/>
  <c r="L320" i="26"/>
  <c r="N320" i="26" s="1"/>
  <c r="P298" i="26"/>
  <c r="L298" i="26"/>
  <c r="N298" i="26" s="1"/>
  <c r="P322" i="26"/>
  <c r="L322" i="26"/>
  <c r="N322" i="26" s="1"/>
  <c r="P295" i="26"/>
  <c r="L295" i="26"/>
  <c r="N295" i="26" s="1"/>
  <c r="L870" i="26"/>
  <c r="N870" i="26" s="1"/>
  <c r="Q870" i="26" s="1"/>
  <c r="L903" i="26"/>
  <c r="N903" i="26" s="1"/>
  <c r="Q903" i="26" s="1"/>
  <c r="L871" i="26"/>
  <c r="N871" i="26" s="1"/>
  <c r="Q871" i="26" s="1"/>
  <c r="L876" i="26"/>
  <c r="N876" i="26" s="1"/>
  <c r="Q876" i="26" s="1"/>
  <c r="L899" i="26"/>
  <c r="N899" i="26" s="1"/>
  <c r="Q899" i="26" s="1"/>
  <c r="L877" i="26"/>
  <c r="N877" i="26" s="1"/>
  <c r="Q877" i="26" s="1"/>
  <c r="L860" i="26"/>
  <c r="N860" i="26" s="1"/>
  <c r="Q860" i="26" s="1"/>
  <c r="P495" i="26"/>
  <c r="L495" i="26"/>
  <c r="N495" i="26" s="1"/>
  <c r="P255" i="26"/>
  <c r="L255" i="26"/>
  <c r="N255" i="26" s="1"/>
  <c r="P256" i="26"/>
  <c r="L256" i="26"/>
  <c r="N256" i="26" s="1"/>
  <c r="P244" i="26"/>
  <c r="L244" i="26"/>
  <c r="N244" i="26" s="1"/>
  <c r="P238" i="26"/>
  <c r="L238" i="26"/>
  <c r="N238" i="26" s="1"/>
  <c r="P278" i="26"/>
  <c r="L278" i="26"/>
  <c r="N278" i="26" s="1"/>
  <c r="L932" i="26"/>
  <c r="N932" i="26" s="1"/>
  <c r="Q932" i="26" s="1"/>
  <c r="L954" i="26"/>
  <c r="N954" i="26" s="1"/>
  <c r="Q954" i="26" s="1"/>
  <c r="P518" i="26"/>
  <c r="L518" i="26"/>
  <c r="N518" i="26" s="1"/>
  <c r="P382" i="26"/>
  <c r="L382" i="26"/>
  <c r="N382" i="26" s="1"/>
  <c r="P197" i="26"/>
  <c r="L197" i="26"/>
  <c r="N197" i="26" s="1"/>
  <c r="L998" i="26"/>
  <c r="N998" i="26" s="1"/>
  <c r="Q998" i="26" s="1"/>
  <c r="L999" i="26"/>
  <c r="N999" i="26" s="1"/>
  <c r="Q999" i="26" s="1"/>
  <c r="P529" i="26"/>
  <c r="L529" i="26"/>
  <c r="N529" i="26" s="1"/>
  <c r="P424" i="26"/>
  <c r="L424" i="26"/>
  <c r="N424" i="26" s="1"/>
  <c r="P402" i="26"/>
  <c r="L402" i="26"/>
  <c r="N402" i="26" s="1"/>
  <c r="P388" i="26"/>
  <c r="L388" i="26"/>
  <c r="N388" i="26" s="1"/>
  <c r="P352" i="26"/>
  <c r="L352" i="26"/>
  <c r="N352" i="26" s="1"/>
  <c r="P286" i="26"/>
  <c r="L286" i="26"/>
  <c r="N286" i="26" s="1"/>
  <c r="P594" i="26"/>
  <c r="L594" i="26"/>
  <c r="N594" i="26" s="1"/>
  <c r="P468" i="26"/>
  <c r="L468" i="26"/>
  <c r="N468" i="26" s="1"/>
  <c r="P561" i="26"/>
  <c r="L561" i="26"/>
  <c r="N561" i="26" s="1"/>
  <c r="P437" i="26"/>
  <c r="L437" i="26"/>
  <c r="N437" i="26" s="1"/>
  <c r="P559" i="26"/>
  <c r="L559" i="26"/>
  <c r="N559" i="26" s="1"/>
  <c r="P409" i="26"/>
  <c r="L409" i="26"/>
  <c r="N409" i="26" s="1"/>
  <c r="P323" i="26"/>
  <c r="L323" i="26"/>
  <c r="N323" i="26" s="1"/>
  <c r="P331" i="26"/>
  <c r="L331" i="26"/>
  <c r="N331" i="26" s="1"/>
  <c r="P321" i="26"/>
  <c r="L321" i="26"/>
  <c r="N321" i="26" s="1"/>
  <c r="P299" i="26"/>
  <c r="L299" i="26"/>
  <c r="N299" i="26" s="1"/>
  <c r="L923" i="26"/>
  <c r="N923" i="26" s="1"/>
  <c r="Q923" i="26" s="1"/>
  <c r="L881" i="26"/>
  <c r="N881" i="26" s="1"/>
  <c r="Q881" i="26" s="1"/>
  <c r="P188" i="26"/>
  <c r="L188" i="26"/>
  <c r="N188" i="26" s="1"/>
  <c r="P184" i="26"/>
  <c r="L184" i="26"/>
  <c r="N184" i="26" s="1"/>
  <c r="P187" i="26"/>
  <c r="L187" i="26"/>
  <c r="N187" i="26" s="1"/>
  <c r="L949" i="26"/>
  <c r="N949" i="26" s="1"/>
  <c r="Q949" i="26" s="1"/>
  <c r="L913" i="26"/>
  <c r="N913" i="26" s="1"/>
  <c r="Q913" i="26" s="1"/>
  <c r="L894" i="26"/>
  <c r="N894" i="26" s="1"/>
  <c r="Q894" i="26" s="1"/>
  <c r="L908" i="26"/>
  <c r="N908" i="26" s="1"/>
  <c r="Q908" i="26" s="1"/>
  <c r="L915" i="26"/>
  <c r="N915" i="26" s="1"/>
  <c r="Q915" i="26" s="1"/>
  <c r="P519" i="26"/>
  <c r="L519" i="26"/>
  <c r="N519" i="26" s="1"/>
  <c r="P544" i="26"/>
  <c r="L544" i="26"/>
  <c r="N544" i="26" s="1"/>
  <c r="P514" i="26"/>
  <c r="L514" i="26"/>
  <c r="N514" i="26" s="1"/>
  <c r="P426" i="26"/>
  <c r="L426" i="26"/>
  <c r="N426" i="26" s="1"/>
  <c r="P408" i="26"/>
  <c r="L408" i="26"/>
  <c r="N408" i="26" s="1"/>
  <c r="P282" i="26"/>
  <c r="L282" i="26"/>
  <c r="N282" i="26" s="1"/>
  <c r="P267" i="26"/>
  <c r="L267" i="26"/>
  <c r="N267" i="26" s="1"/>
  <c r="P290" i="26"/>
  <c r="L290" i="26"/>
  <c r="N290" i="26" s="1"/>
  <c r="P276" i="26"/>
  <c r="L276" i="26"/>
  <c r="N276" i="26" s="1"/>
  <c r="P206" i="26"/>
  <c r="L206" i="26"/>
  <c r="N206" i="26" s="1"/>
  <c r="L957" i="26"/>
  <c r="N957" i="26" s="1"/>
  <c r="Q957" i="26" s="1"/>
  <c r="L930" i="26"/>
  <c r="N930" i="26" s="1"/>
  <c r="Q930" i="26" s="1"/>
  <c r="L988" i="26"/>
  <c r="N988" i="26" s="1"/>
  <c r="Q988" i="26" s="1"/>
  <c r="L977" i="26"/>
  <c r="N977" i="26" s="1"/>
  <c r="Q977" i="26" s="1"/>
  <c r="L1004" i="26"/>
  <c r="N1004" i="26" s="1"/>
  <c r="Q1004" i="26" s="1"/>
  <c r="L985" i="26"/>
  <c r="N985" i="26" s="1"/>
  <c r="Q985" i="26" s="1"/>
  <c r="L935" i="26"/>
  <c r="N935" i="26" s="1"/>
  <c r="Q935" i="26" s="1"/>
  <c r="P477" i="26"/>
  <c r="L477" i="26"/>
  <c r="N477" i="26" s="1"/>
  <c r="P433" i="26"/>
  <c r="L433" i="26"/>
  <c r="N433" i="26" s="1"/>
  <c r="P414" i="26"/>
  <c r="L414" i="26"/>
  <c r="N414" i="26" s="1"/>
  <c r="P587" i="26"/>
  <c r="L587" i="26"/>
  <c r="N587" i="26" s="1"/>
  <c r="P526" i="26"/>
  <c r="L526" i="26"/>
  <c r="N526" i="26" s="1"/>
  <c r="P446" i="26"/>
  <c r="L446" i="26"/>
  <c r="N446" i="26" s="1"/>
  <c r="P405" i="26"/>
  <c r="L405" i="26"/>
  <c r="N405" i="26" s="1"/>
  <c r="P483" i="26"/>
  <c r="L483" i="26"/>
  <c r="N483" i="26" s="1"/>
  <c r="P441" i="26"/>
  <c r="L441" i="26"/>
  <c r="N441" i="26" s="1"/>
  <c r="P376" i="26"/>
  <c r="L376" i="26"/>
  <c r="N376" i="26" s="1"/>
  <c r="P533" i="26"/>
  <c r="L533" i="26"/>
  <c r="N533" i="26" s="1"/>
  <c r="P484" i="26"/>
  <c r="L484" i="26"/>
  <c r="N484" i="26" s="1"/>
  <c r="P438" i="26"/>
  <c r="L438" i="26"/>
  <c r="N438" i="26" s="1"/>
  <c r="P398" i="26"/>
  <c r="L398" i="26"/>
  <c r="N398" i="26" s="1"/>
  <c r="P356" i="26"/>
  <c r="L356" i="26"/>
  <c r="N356" i="26" s="1"/>
  <c r="P368" i="26"/>
  <c r="L368" i="26"/>
  <c r="N368" i="26" s="1"/>
  <c r="P343" i="26"/>
  <c r="L343" i="26"/>
  <c r="N343" i="26" s="1"/>
  <c r="P338" i="26"/>
  <c r="L338" i="26"/>
  <c r="N338" i="26" s="1"/>
  <c r="L963" i="26"/>
  <c r="N963" i="26" s="1"/>
  <c r="Q963" i="26" s="1"/>
  <c r="P548" i="26"/>
  <c r="L548" i="26"/>
  <c r="N548" i="26" s="1"/>
  <c r="P480" i="26"/>
  <c r="L480" i="26"/>
  <c r="N480" i="26" s="1"/>
  <c r="P461" i="26"/>
  <c r="L461" i="26"/>
  <c r="N461" i="26" s="1"/>
  <c r="P418" i="26"/>
  <c r="L418" i="26"/>
  <c r="N418" i="26" s="1"/>
  <c r="P357" i="26"/>
  <c r="L357" i="26"/>
  <c r="N357" i="26" s="1"/>
  <c r="P553" i="26"/>
  <c r="L553" i="26"/>
  <c r="N553" i="26" s="1"/>
  <c r="P444" i="26"/>
  <c r="L444" i="26"/>
  <c r="N444" i="26" s="1"/>
  <c r="P550" i="26"/>
  <c r="L550" i="26"/>
  <c r="N550" i="26" s="1"/>
  <c r="P445" i="26"/>
  <c r="L445" i="26"/>
  <c r="N445" i="26" s="1"/>
  <c r="P428" i="26"/>
  <c r="L428" i="26"/>
  <c r="N428" i="26" s="1"/>
  <c r="P381" i="26"/>
  <c r="L381" i="26"/>
  <c r="N381" i="26" s="1"/>
  <c r="P577" i="26"/>
  <c r="L577" i="26"/>
  <c r="N577" i="26" s="1"/>
  <c r="P551" i="26"/>
  <c r="L551" i="26"/>
  <c r="N551" i="26" s="1"/>
  <c r="P474" i="26"/>
  <c r="L474" i="26"/>
  <c r="N474" i="26" s="1"/>
  <c r="P359" i="26"/>
  <c r="L359" i="26"/>
  <c r="N359" i="26" s="1"/>
  <c r="P399" i="26"/>
  <c r="L399" i="26"/>
  <c r="N399" i="26" s="1"/>
  <c r="P367" i="26"/>
  <c r="L367" i="26"/>
  <c r="N367" i="26" s="1"/>
  <c r="P330" i="26"/>
  <c r="L330" i="26"/>
  <c r="N330" i="26" s="1"/>
  <c r="P307" i="26"/>
  <c r="L307" i="26"/>
  <c r="N307" i="26" s="1"/>
  <c r="P297" i="26"/>
  <c r="L297" i="26"/>
  <c r="N297" i="26" s="1"/>
  <c r="P324" i="26"/>
  <c r="L324" i="26"/>
  <c r="N324" i="26" s="1"/>
  <c r="P308" i="26"/>
  <c r="L308" i="26"/>
  <c r="N308" i="26" s="1"/>
  <c r="P220" i="26"/>
  <c r="L220" i="26"/>
  <c r="N220" i="26" s="1"/>
  <c r="P342" i="26"/>
  <c r="L342" i="26"/>
  <c r="N342" i="26" s="1"/>
  <c r="P328" i="26"/>
  <c r="L328" i="26"/>
  <c r="N328" i="26" s="1"/>
  <c r="P312" i="26"/>
  <c r="L312" i="26"/>
  <c r="N312" i="26" s="1"/>
  <c r="P216" i="26"/>
  <c r="L216" i="26"/>
  <c r="N216" i="26" s="1"/>
  <c r="P313" i="26"/>
  <c r="L313" i="26"/>
  <c r="N313" i="26" s="1"/>
  <c r="P209" i="26"/>
  <c r="L209" i="26"/>
  <c r="N209" i="26" s="1"/>
  <c r="L888" i="26"/>
  <c r="N888" i="26" s="1"/>
  <c r="Q888" i="26" s="1"/>
  <c r="L890" i="26"/>
  <c r="N890" i="26" s="1"/>
  <c r="Q890" i="26" s="1"/>
  <c r="L855" i="26"/>
  <c r="N855" i="26" s="1"/>
  <c r="Q855" i="26" s="1"/>
  <c r="L889" i="26"/>
  <c r="N889" i="26" s="1"/>
  <c r="Q889" i="26" s="1"/>
  <c r="L863" i="26"/>
  <c r="N863" i="26" s="1"/>
  <c r="Q863" i="26" s="1"/>
  <c r="L872" i="26"/>
  <c r="N872" i="26" s="1"/>
  <c r="Q872" i="26" s="1"/>
  <c r="L897" i="26"/>
  <c r="N897" i="26" s="1"/>
  <c r="Q897" i="26" s="1"/>
  <c r="L873" i="26"/>
  <c r="N873" i="26" s="1"/>
  <c r="Q873" i="26" s="1"/>
  <c r="L858" i="26"/>
  <c r="N858" i="26" s="1"/>
  <c r="Q858" i="26" s="1"/>
  <c r="P260" i="26"/>
  <c r="L260" i="26"/>
  <c r="N260" i="26" s="1"/>
  <c r="P250" i="26"/>
  <c r="L250" i="26"/>
  <c r="N250" i="26" s="1"/>
  <c r="P257" i="26"/>
  <c r="L257" i="26"/>
  <c r="N257" i="26" s="1"/>
  <c r="P233" i="26"/>
  <c r="L233" i="26"/>
  <c r="N233" i="26" s="1"/>
  <c r="P242" i="26"/>
  <c r="L242" i="26"/>
  <c r="N242" i="26" s="1"/>
  <c r="L907" i="26"/>
  <c r="N907" i="26" s="1"/>
  <c r="Q907" i="26" s="1"/>
  <c r="P511" i="26"/>
  <c r="L511" i="26"/>
  <c r="N511" i="26" s="1"/>
  <c r="P275" i="26"/>
  <c r="L275" i="26"/>
  <c r="N275" i="26" s="1"/>
  <c r="P270" i="26"/>
  <c r="L270" i="26"/>
  <c r="N270" i="26" s="1"/>
  <c r="L1005" i="26"/>
  <c r="N1005" i="26" s="1"/>
  <c r="Q1005" i="26" s="1"/>
  <c r="L969" i="26"/>
  <c r="N969" i="26" s="1"/>
  <c r="Q969" i="26" s="1"/>
  <c r="P450" i="26"/>
  <c r="L450" i="26"/>
  <c r="N450" i="26" s="1"/>
  <c r="P532" i="26"/>
  <c r="L532" i="26"/>
  <c r="N532" i="26" s="1"/>
  <c r="P379" i="26"/>
  <c r="L379" i="26"/>
  <c r="N379" i="26" s="1"/>
  <c r="P527" i="26"/>
  <c r="L527" i="26"/>
  <c r="N527" i="26" s="1"/>
  <c r="P337" i="26"/>
  <c r="L337" i="26"/>
  <c r="N337" i="26" s="1"/>
  <c r="P213" i="26"/>
  <c r="L213" i="26"/>
  <c r="N213" i="26" s="1"/>
  <c r="P556" i="26"/>
  <c r="L556" i="26"/>
  <c r="N556" i="26" s="1"/>
  <c r="P451" i="26"/>
  <c r="L451" i="26"/>
  <c r="N451" i="26" s="1"/>
  <c r="P579" i="26"/>
  <c r="L579" i="26"/>
  <c r="N579" i="26" s="1"/>
  <c r="P390" i="26"/>
  <c r="L390" i="26"/>
  <c r="N390" i="26" s="1"/>
  <c r="P593" i="26"/>
  <c r="L593" i="26"/>
  <c r="N593" i="26" s="1"/>
  <c r="P401" i="26"/>
  <c r="P358" i="26"/>
  <c r="L358" i="26"/>
  <c r="N358" i="26" s="1"/>
  <c r="P303" i="26"/>
  <c r="L303" i="26"/>
  <c r="N303" i="26" s="1"/>
  <c r="P315" i="26"/>
  <c r="L315" i="26"/>
  <c r="N315" i="26" s="1"/>
  <c r="P211" i="26"/>
  <c r="L211" i="26"/>
  <c r="N211" i="26" s="1"/>
  <c r="P350" i="26"/>
  <c r="L350" i="26"/>
  <c r="N350" i="26" s="1"/>
  <c r="L878" i="26"/>
  <c r="N878" i="26" s="1"/>
  <c r="Q878" i="26" s="1"/>
  <c r="L880" i="26"/>
  <c r="N880" i="26" s="1"/>
  <c r="Q880" i="26" s="1"/>
  <c r="L865" i="26"/>
  <c r="N865" i="26" s="1"/>
  <c r="Q865" i="26" s="1"/>
  <c r="P251" i="26"/>
  <c r="L251" i="26"/>
  <c r="N251" i="26" s="1"/>
  <c r="P234" i="26"/>
  <c r="L234" i="26"/>
  <c r="N234" i="26" s="1"/>
  <c r="P191" i="26"/>
  <c r="L191" i="26"/>
  <c r="N191" i="26" s="1"/>
  <c r="L968" i="26"/>
  <c r="N968" i="26" s="1"/>
  <c r="Q968" i="26" s="1"/>
  <c r="L960" i="26"/>
  <c r="N960" i="26" s="1"/>
  <c r="Q960" i="26" s="1"/>
  <c r="L911" i="26"/>
  <c r="N911" i="26" s="1"/>
  <c r="Q911" i="26" s="1"/>
  <c r="P516" i="26"/>
  <c r="L516" i="26"/>
  <c r="N516" i="26" s="1"/>
  <c r="P540" i="26"/>
  <c r="L540" i="26"/>
  <c r="N540" i="26" s="1"/>
  <c r="P513" i="26"/>
  <c r="L513" i="26"/>
  <c r="N513" i="26" s="1"/>
  <c r="P391" i="26"/>
  <c r="L391" i="26"/>
  <c r="N391" i="26" s="1"/>
  <c r="P400" i="26"/>
  <c r="L400" i="26"/>
  <c r="N400" i="26" s="1"/>
  <c r="P281" i="26"/>
  <c r="L281" i="26"/>
  <c r="N281" i="26" s="1"/>
  <c r="P203" i="26"/>
  <c r="L203" i="26"/>
  <c r="N203" i="26" s="1"/>
  <c r="P205" i="26"/>
  <c r="L205" i="26"/>
  <c r="N205" i="26" s="1"/>
  <c r="P271" i="26"/>
  <c r="P263" i="26"/>
  <c r="L263" i="26"/>
  <c r="N263" i="26" s="1"/>
  <c r="L1008" i="26"/>
  <c r="N1008" i="26" s="1"/>
  <c r="Q1008" i="26" s="1"/>
  <c r="L1009" i="26"/>
  <c r="N1009" i="26" s="1"/>
  <c r="Q1009" i="26" s="1"/>
  <c r="L976" i="26"/>
  <c r="N976" i="26" s="1"/>
  <c r="Q976" i="26" s="1"/>
  <c r="L974" i="26"/>
  <c r="N974" i="26" s="1"/>
  <c r="L982" i="26"/>
  <c r="N982" i="26" s="1"/>
  <c r="Q982" i="26" s="1"/>
  <c r="L1000" i="26"/>
  <c r="N1000" i="26" s="1"/>
  <c r="Q1000" i="26" s="1"/>
  <c r="L975" i="26"/>
  <c r="N975" i="26" s="1"/>
  <c r="Q975" i="26" s="1"/>
  <c r="L934" i="26"/>
  <c r="N934" i="26" s="1"/>
  <c r="Q934" i="26" s="1"/>
  <c r="P530" i="26"/>
  <c r="L530" i="26"/>
  <c r="N530" i="26" s="1"/>
  <c r="P457" i="26"/>
  <c r="L457" i="26"/>
  <c r="N457" i="26" s="1"/>
  <c r="P432" i="26"/>
  <c r="L432" i="26"/>
  <c r="N432" i="26" s="1"/>
  <c r="P389" i="26"/>
  <c r="L389" i="26"/>
  <c r="N389" i="26" s="1"/>
  <c r="P525" i="26"/>
  <c r="L525" i="26"/>
  <c r="N525" i="26" s="1"/>
  <c r="P442" i="26"/>
  <c r="L442" i="26"/>
  <c r="N442" i="26" s="1"/>
  <c r="P394" i="26"/>
  <c r="L394" i="26"/>
  <c r="N394" i="26" s="1"/>
  <c r="P471" i="26"/>
  <c r="L471" i="26"/>
  <c r="N471" i="26" s="1"/>
  <c r="P411" i="26"/>
  <c r="L411" i="26"/>
  <c r="N411" i="26" s="1"/>
  <c r="P372" i="26"/>
  <c r="L372" i="26"/>
  <c r="N372" i="26" s="1"/>
  <c r="P589" i="26"/>
  <c r="L589" i="26"/>
  <c r="N589" i="26" s="1"/>
  <c r="P528" i="26"/>
  <c r="L528" i="26"/>
  <c r="N528" i="26" s="1"/>
  <c r="P478" i="26"/>
  <c r="L478" i="26"/>
  <c r="N478" i="26" s="1"/>
  <c r="P429" i="26"/>
  <c r="L429" i="26"/>
  <c r="N429" i="26" s="1"/>
  <c r="P397" i="26"/>
  <c r="L397" i="26"/>
  <c r="N397" i="26" s="1"/>
  <c r="P346" i="26"/>
  <c r="L346" i="26"/>
  <c r="N346" i="26" s="1"/>
  <c r="P363" i="26"/>
  <c r="L363" i="26"/>
  <c r="N363" i="26" s="1"/>
  <c r="P228" i="26"/>
  <c r="L228" i="26"/>
  <c r="N228" i="26" s="1"/>
  <c r="P288" i="26"/>
  <c r="L288" i="26"/>
  <c r="N288" i="26" s="1"/>
  <c r="P287" i="26"/>
  <c r="L287" i="26"/>
  <c r="N287" i="26" s="1"/>
  <c r="L964" i="26"/>
  <c r="N964" i="26" s="1"/>
  <c r="Q964" i="26" s="1"/>
  <c r="P558" i="26"/>
  <c r="L558" i="26"/>
  <c r="N558" i="26" s="1"/>
  <c r="P595" i="26"/>
  <c r="L595" i="26"/>
  <c r="N595" i="26" s="1"/>
  <c r="P560" i="26"/>
  <c r="L560" i="26"/>
  <c r="N560" i="26" s="1"/>
  <c r="P505" i="26"/>
  <c r="L505" i="26"/>
  <c r="N505" i="26" s="1"/>
  <c r="P479" i="26"/>
  <c r="L479" i="26"/>
  <c r="N479" i="26" s="1"/>
  <c r="P459" i="26"/>
  <c r="L459" i="26"/>
  <c r="N459" i="26" s="1"/>
  <c r="P393" i="26"/>
  <c r="L393" i="26"/>
  <c r="N393" i="26" s="1"/>
  <c r="P580" i="26"/>
  <c r="L580" i="26"/>
  <c r="N580" i="26" s="1"/>
  <c r="P549" i="26"/>
  <c r="L549" i="26"/>
  <c r="N549" i="26" s="1"/>
  <c r="P434" i="26"/>
  <c r="L434" i="26"/>
  <c r="N434" i="26" s="1"/>
  <c r="P496" i="26"/>
  <c r="L496" i="26"/>
  <c r="N496" i="26" s="1"/>
  <c r="P443" i="26"/>
  <c r="L443" i="26"/>
  <c r="N443" i="26" s="1"/>
  <c r="P425" i="26"/>
  <c r="L425" i="26"/>
  <c r="N425" i="26" s="1"/>
  <c r="P547" i="26"/>
  <c r="L547" i="26"/>
  <c r="N547" i="26" s="1"/>
  <c r="P427" i="26"/>
  <c r="L427" i="26"/>
  <c r="N427" i="26" s="1"/>
  <c r="P416" i="26"/>
  <c r="L416" i="26"/>
  <c r="N416" i="26" s="1"/>
  <c r="P383" i="26"/>
  <c r="L383" i="26"/>
  <c r="N383" i="26" s="1"/>
  <c r="P366" i="26"/>
  <c r="L366" i="26"/>
  <c r="N366" i="26" s="1"/>
  <c r="P326" i="26"/>
  <c r="L326" i="26"/>
  <c r="N326" i="26" s="1"/>
  <c r="P306" i="26"/>
  <c r="L306" i="26"/>
  <c r="N306" i="26" s="1"/>
  <c r="P296" i="26"/>
  <c r="L296" i="26"/>
  <c r="N296" i="26" s="1"/>
  <c r="P384" i="26"/>
  <c r="L384" i="26"/>
  <c r="N384" i="26" s="1"/>
  <c r="P316" i="26"/>
  <c r="L316" i="26"/>
  <c r="N316" i="26" s="1"/>
  <c r="P304" i="26"/>
  <c r="L304" i="26"/>
  <c r="N304" i="26" s="1"/>
  <c r="P219" i="26"/>
  <c r="L219" i="26"/>
  <c r="N219" i="26" s="1"/>
  <c r="P341" i="26"/>
  <c r="L341" i="26"/>
  <c r="N341" i="26" s="1"/>
  <c r="P325" i="26"/>
  <c r="L325" i="26"/>
  <c r="N325" i="26" s="1"/>
  <c r="P309" i="26"/>
  <c r="L309" i="26"/>
  <c r="N309" i="26" s="1"/>
  <c r="P302" i="26"/>
  <c r="L302" i="26"/>
  <c r="N302" i="26" s="1"/>
  <c r="L942" i="26"/>
  <c r="N942" i="26" s="1"/>
  <c r="Q942" i="26" s="1"/>
  <c r="L886" i="26"/>
  <c r="N886" i="26" s="1"/>
  <c r="Q886" i="26" s="1"/>
  <c r="L850" i="26"/>
  <c r="N850" i="26" s="1"/>
  <c r="Q850" i="26" s="1"/>
  <c r="L885" i="26"/>
  <c r="N885" i="26" s="1"/>
  <c r="Q885" i="26" s="1"/>
  <c r="L853" i="26"/>
  <c r="N853" i="26" s="1"/>
  <c r="Q853" i="26" s="1"/>
  <c r="L868" i="26"/>
  <c r="N868" i="26" s="1"/>
  <c r="Q868" i="26" s="1"/>
  <c r="L887" i="26"/>
  <c r="N887" i="26" s="1"/>
  <c r="Q887" i="26" s="1"/>
  <c r="L869" i="26"/>
  <c r="N869" i="26" s="1"/>
  <c r="Q869" i="26" s="1"/>
  <c r="L943" i="26"/>
  <c r="N943" i="26" s="1"/>
  <c r="Q943" i="26" s="1"/>
  <c r="P259" i="26"/>
  <c r="L259" i="26"/>
  <c r="N259" i="26" s="1"/>
  <c r="P258" i="26"/>
  <c r="L258" i="26"/>
  <c r="N258" i="26" s="1"/>
  <c r="P248" i="26"/>
  <c r="L248" i="26"/>
  <c r="N248" i="26" s="1"/>
  <c r="P239" i="26"/>
  <c r="L239" i="26"/>
  <c r="N239" i="26" s="1"/>
  <c r="P660" i="26"/>
  <c r="L660" i="26"/>
  <c r="N660" i="26" s="1"/>
  <c r="P635" i="26"/>
  <c r="L635" i="26"/>
  <c r="N635" i="26" s="1"/>
  <c r="P663" i="26"/>
  <c r="L663" i="26"/>
  <c r="N663" i="26" s="1"/>
  <c r="P645" i="26"/>
  <c r="L645" i="26"/>
  <c r="N645" i="26" s="1"/>
  <c r="P816" i="26"/>
  <c r="L816" i="26"/>
  <c r="N816" i="26" s="1"/>
  <c r="P654" i="26"/>
  <c r="L654" i="26"/>
  <c r="N654" i="26" s="1"/>
  <c r="P619" i="26"/>
  <c r="L619" i="26"/>
  <c r="N619" i="26" s="1"/>
  <c r="P614" i="26"/>
  <c r="L614" i="26"/>
  <c r="N614" i="26" s="1"/>
  <c r="P798" i="26"/>
  <c r="L798" i="26"/>
  <c r="N798" i="26" s="1"/>
  <c r="P790" i="26"/>
  <c r="L790" i="26"/>
  <c r="N790" i="26" s="1"/>
  <c r="P768" i="26"/>
  <c r="L768" i="26"/>
  <c r="N768" i="26" s="1"/>
  <c r="P668" i="26"/>
  <c r="L668" i="26"/>
  <c r="N668" i="26" s="1"/>
  <c r="P808" i="26"/>
  <c r="L808" i="26"/>
  <c r="N808" i="26" s="1"/>
  <c r="P779" i="26"/>
  <c r="L779" i="26"/>
  <c r="N779" i="26" s="1"/>
  <c r="P761" i="26"/>
  <c r="L761" i="26"/>
  <c r="N761" i="26" s="1"/>
  <c r="P669" i="26"/>
  <c r="L669" i="26"/>
  <c r="N669" i="26" s="1"/>
  <c r="P792" i="26"/>
  <c r="L792" i="26"/>
  <c r="N792" i="26" s="1"/>
  <c r="P775" i="26"/>
  <c r="L775" i="26"/>
  <c r="N775" i="26" s="1"/>
  <c r="P675" i="26"/>
  <c r="L675" i="26"/>
  <c r="N675" i="26" s="1"/>
  <c r="P780" i="26"/>
  <c r="L780" i="26"/>
  <c r="N780" i="26" s="1"/>
  <c r="P679" i="26"/>
  <c r="L679" i="26"/>
  <c r="N679" i="26" s="1"/>
  <c r="P670" i="26"/>
  <c r="L670" i="26"/>
  <c r="N670" i="26" s="1"/>
  <c r="P626" i="26"/>
  <c r="L626" i="26"/>
  <c r="N626" i="26" s="1"/>
  <c r="P570" i="26"/>
  <c r="L570" i="26"/>
  <c r="N570" i="26" s="1"/>
  <c r="P572" i="26"/>
  <c r="L572" i="26"/>
  <c r="N572" i="26" s="1"/>
  <c r="P718" i="26"/>
  <c r="L718" i="26"/>
  <c r="N718" i="26" s="1"/>
  <c r="P729" i="26"/>
  <c r="L729" i="26"/>
  <c r="N729" i="26" s="1"/>
  <c r="P694" i="26"/>
  <c r="L694" i="26"/>
  <c r="N694" i="26" s="1"/>
  <c r="P732" i="26"/>
  <c r="L732" i="26"/>
  <c r="N732" i="26" s="1"/>
  <c r="P756" i="26"/>
  <c r="L756" i="26"/>
  <c r="N756" i="26" s="1"/>
  <c r="P697" i="26"/>
  <c r="L697" i="26"/>
  <c r="N697" i="26" s="1"/>
  <c r="P708" i="26"/>
  <c r="L708" i="26"/>
  <c r="N708" i="26" s="1"/>
  <c r="P735" i="26"/>
  <c r="L735" i="26"/>
  <c r="N735" i="26" s="1"/>
  <c r="P724" i="26"/>
  <c r="L724" i="26"/>
  <c r="N724" i="26" s="1"/>
  <c r="P731" i="26"/>
  <c r="L731" i="26"/>
  <c r="N731" i="26" s="1"/>
  <c r="P818" i="26"/>
  <c r="L818" i="26"/>
  <c r="N818" i="26" s="1"/>
  <c r="P681" i="26"/>
  <c r="L681" i="26"/>
  <c r="N681" i="26" s="1"/>
  <c r="P653" i="26"/>
  <c r="L653" i="26"/>
  <c r="N653" i="26" s="1"/>
  <c r="P651" i="26"/>
  <c r="L651" i="26"/>
  <c r="N651" i="26" s="1"/>
  <c r="P644" i="26"/>
  <c r="L644" i="26"/>
  <c r="N644" i="26" s="1"/>
  <c r="P813" i="26"/>
  <c r="L813" i="26"/>
  <c r="N813" i="26" s="1"/>
  <c r="P650" i="26"/>
  <c r="L650" i="26"/>
  <c r="N650" i="26" s="1"/>
  <c r="P618" i="26"/>
  <c r="L618" i="26"/>
  <c r="N618" i="26" s="1"/>
  <c r="P795" i="26"/>
  <c r="L795" i="26"/>
  <c r="N795" i="26" s="1"/>
  <c r="P787" i="26"/>
  <c r="L787" i="26"/>
  <c r="N787" i="26" s="1"/>
  <c r="P754" i="26"/>
  <c r="L754" i="26"/>
  <c r="N754" i="26" s="1"/>
  <c r="P641" i="26"/>
  <c r="L641" i="26"/>
  <c r="N641" i="26" s="1"/>
  <c r="P805" i="26"/>
  <c r="L805" i="26"/>
  <c r="N805" i="26" s="1"/>
  <c r="P774" i="26"/>
  <c r="L774" i="26"/>
  <c r="N774" i="26" s="1"/>
  <c r="P751" i="26"/>
  <c r="L751" i="26"/>
  <c r="N751" i="26" s="1"/>
  <c r="P665" i="26"/>
  <c r="L665" i="26"/>
  <c r="N665" i="26" s="1"/>
  <c r="P789" i="26"/>
  <c r="L789" i="26"/>
  <c r="N789" i="26" s="1"/>
  <c r="P772" i="26"/>
  <c r="L772" i="26"/>
  <c r="N772" i="26" s="1"/>
  <c r="P803" i="26"/>
  <c r="L803" i="26"/>
  <c r="N803" i="26" s="1"/>
  <c r="P773" i="26"/>
  <c r="L773" i="26"/>
  <c r="N773" i="26" s="1"/>
  <c r="P673" i="26"/>
  <c r="L673" i="26"/>
  <c r="N673" i="26" s="1"/>
  <c r="P640" i="26"/>
  <c r="L640" i="26"/>
  <c r="N640" i="26" s="1"/>
  <c r="P571" i="26"/>
  <c r="L571" i="26"/>
  <c r="N571" i="26" s="1"/>
  <c r="P628" i="26"/>
  <c r="L628" i="26"/>
  <c r="N628" i="26" s="1"/>
  <c r="P569" i="26"/>
  <c r="L569" i="26"/>
  <c r="N569" i="26" s="1"/>
  <c r="P722" i="26"/>
  <c r="L722" i="26"/>
  <c r="N722" i="26" s="1"/>
  <c r="P711" i="26"/>
  <c r="L711" i="26"/>
  <c r="N711" i="26" s="1"/>
  <c r="P698" i="26"/>
  <c r="L698" i="26"/>
  <c r="N698" i="26" s="1"/>
  <c r="P688" i="26"/>
  <c r="L688" i="26"/>
  <c r="N688" i="26" s="1"/>
  <c r="P693" i="26"/>
  <c r="L693" i="26"/>
  <c r="N693" i="26" s="1"/>
  <c r="P692" i="26"/>
  <c r="L692" i="26"/>
  <c r="N692" i="26" s="1"/>
  <c r="P691" i="26"/>
  <c r="L691" i="26"/>
  <c r="N691" i="26" s="1"/>
  <c r="P716" i="26"/>
  <c r="L716" i="26"/>
  <c r="N716" i="26" s="1"/>
  <c r="P739" i="26"/>
  <c r="L739" i="26"/>
  <c r="N739" i="26" s="1"/>
  <c r="P734" i="26"/>
  <c r="L734" i="26"/>
  <c r="N734" i="26" s="1"/>
  <c r="P720" i="26"/>
  <c r="L720" i="26"/>
  <c r="N720" i="26" s="1"/>
  <c r="P615" i="26"/>
  <c r="L615" i="26"/>
  <c r="N615" i="26" s="1"/>
  <c r="P623" i="26"/>
  <c r="L623" i="26"/>
  <c r="N623" i="26" s="1"/>
  <c r="P662" i="26"/>
  <c r="L662" i="26"/>
  <c r="N662" i="26" s="1"/>
  <c r="P637" i="26"/>
  <c r="L637" i="26"/>
  <c r="N637" i="26" s="1"/>
  <c r="P828" i="26"/>
  <c r="L828" i="26"/>
  <c r="N828" i="26" s="1"/>
  <c r="P621" i="26"/>
  <c r="L621" i="26"/>
  <c r="N621" i="26" s="1"/>
  <c r="P812" i="26"/>
  <c r="L812" i="26"/>
  <c r="N812" i="26" s="1"/>
  <c r="P646" i="26"/>
  <c r="L646" i="26"/>
  <c r="N646" i="26" s="1"/>
  <c r="P611" i="26"/>
  <c r="L611" i="26"/>
  <c r="N611" i="26" s="1"/>
  <c r="P629" i="26"/>
  <c r="L629" i="26"/>
  <c r="N629" i="26" s="1"/>
  <c r="P634" i="26"/>
  <c r="L634" i="26"/>
  <c r="N634" i="26" s="1"/>
  <c r="P794" i="26"/>
  <c r="L794" i="26"/>
  <c r="N794" i="26" s="1"/>
  <c r="P781" i="26"/>
  <c r="L781" i="26"/>
  <c r="N781" i="26" s="1"/>
  <c r="P746" i="26"/>
  <c r="L746" i="26"/>
  <c r="N746" i="26" s="1"/>
  <c r="P823" i="26"/>
  <c r="L823" i="26"/>
  <c r="N823" i="26" s="1"/>
  <c r="P804" i="26"/>
  <c r="L804" i="26"/>
  <c r="N804" i="26" s="1"/>
  <c r="P769" i="26"/>
  <c r="L769" i="26"/>
  <c r="N769" i="26" s="1"/>
  <c r="P678" i="26"/>
  <c r="L678" i="26"/>
  <c r="N678" i="26" s="1"/>
  <c r="P788" i="26"/>
  <c r="L788" i="26"/>
  <c r="N788" i="26" s="1"/>
  <c r="P767" i="26"/>
  <c r="L767" i="26"/>
  <c r="N767" i="26" s="1"/>
  <c r="P825" i="26"/>
  <c r="L825" i="26"/>
  <c r="N825" i="26" s="1"/>
  <c r="P786" i="26"/>
  <c r="L786" i="26"/>
  <c r="N786" i="26" s="1"/>
  <c r="P770" i="26"/>
  <c r="L770" i="26"/>
  <c r="N770" i="26" s="1"/>
  <c r="P672" i="26"/>
  <c r="L672" i="26"/>
  <c r="N672" i="26" s="1"/>
  <c r="P627" i="26"/>
  <c r="L627" i="26"/>
  <c r="N627" i="26" s="1"/>
  <c r="P719" i="26"/>
  <c r="L719" i="26"/>
  <c r="N719" i="26" s="1"/>
  <c r="P730" i="26"/>
  <c r="L730" i="26"/>
  <c r="N730" i="26" s="1"/>
  <c r="P710" i="26"/>
  <c r="L710" i="26"/>
  <c r="N710" i="26" s="1"/>
  <c r="P702" i="26"/>
  <c r="L702" i="26"/>
  <c r="N702" i="26" s="1"/>
  <c r="P687" i="26"/>
  <c r="L687" i="26"/>
  <c r="N687" i="26" s="1"/>
  <c r="P690" i="26"/>
  <c r="L690" i="26"/>
  <c r="N690" i="26" s="1"/>
  <c r="P707" i="26"/>
  <c r="L707" i="26"/>
  <c r="N707" i="26" s="1"/>
  <c r="P748" i="26"/>
  <c r="L748" i="26"/>
  <c r="N748" i="26" s="1"/>
  <c r="P723" i="26"/>
  <c r="L723" i="26"/>
  <c r="N723" i="26" s="1"/>
  <c r="P738" i="26"/>
  <c r="L738" i="26"/>
  <c r="N738" i="26" s="1"/>
  <c r="P661" i="26"/>
  <c r="L661" i="26"/>
  <c r="N661" i="26" s="1"/>
  <c r="P636" i="26"/>
  <c r="L636" i="26"/>
  <c r="N636" i="26" s="1"/>
  <c r="P815" i="26"/>
  <c r="L815" i="26"/>
  <c r="N815" i="26" s="1"/>
  <c r="P613" i="26"/>
  <c r="L613" i="26"/>
  <c r="N613" i="26" s="1"/>
  <c r="P829" i="26"/>
  <c r="L829" i="26"/>
  <c r="N829" i="26" s="1"/>
  <c r="P655" i="26"/>
  <c r="L655" i="26"/>
  <c r="N655" i="26" s="1"/>
  <c r="P620" i="26"/>
  <c r="L620" i="26"/>
  <c r="N620" i="26" s="1"/>
  <c r="P612" i="26"/>
  <c r="L612" i="26"/>
  <c r="N612" i="26" s="1"/>
  <c r="P622" i="26"/>
  <c r="L622" i="26"/>
  <c r="N622" i="26" s="1"/>
  <c r="P799" i="26"/>
  <c r="L799" i="26"/>
  <c r="N799" i="26" s="1"/>
  <c r="P791" i="26"/>
  <c r="L791" i="26"/>
  <c r="N791" i="26" s="1"/>
  <c r="P771" i="26"/>
  <c r="L771" i="26"/>
  <c r="N771" i="26" s="1"/>
  <c r="P743" i="26"/>
  <c r="L743" i="26"/>
  <c r="N743" i="26" s="1"/>
  <c r="P809" i="26"/>
  <c r="L809" i="26"/>
  <c r="N809" i="26" s="1"/>
  <c r="P800" i="26"/>
  <c r="L800" i="26"/>
  <c r="N800" i="26" s="1"/>
  <c r="P766" i="26"/>
  <c r="L766" i="26"/>
  <c r="N766" i="26" s="1"/>
  <c r="P674" i="26"/>
  <c r="L674" i="26"/>
  <c r="N674" i="26" s="1"/>
  <c r="P793" i="26"/>
  <c r="L793" i="26"/>
  <c r="N793" i="26" s="1"/>
  <c r="P782" i="26"/>
  <c r="L782" i="26"/>
  <c r="N782" i="26" s="1"/>
  <c r="P824" i="26"/>
  <c r="L824" i="26"/>
  <c r="N824" i="26" s="1"/>
  <c r="P783" i="26"/>
  <c r="L783" i="26"/>
  <c r="N783" i="26" s="1"/>
  <c r="P765" i="26"/>
  <c r="L765" i="26"/>
  <c r="N765" i="26" s="1"/>
  <c r="P671" i="26"/>
  <c r="L671" i="26"/>
  <c r="N671" i="26" s="1"/>
  <c r="P573" i="26"/>
  <c r="L573" i="26"/>
  <c r="N573" i="26" s="1"/>
  <c r="P728" i="26"/>
  <c r="L728" i="26"/>
  <c r="N728" i="26" s="1"/>
  <c r="P725" i="26"/>
  <c r="L725" i="26"/>
  <c r="N725" i="26" s="1"/>
  <c r="P695" i="26"/>
  <c r="L695" i="26"/>
  <c r="N695" i="26" s="1"/>
  <c r="P701" i="26"/>
  <c r="L701" i="26"/>
  <c r="N701" i="26" s="1"/>
  <c r="P689" i="26"/>
  <c r="L689" i="26"/>
  <c r="N689" i="26" s="1"/>
  <c r="P706" i="26"/>
  <c r="P696" i="26"/>
  <c r="L696" i="26"/>
  <c r="N696" i="26" s="1"/>
  <c r="P747" i="26"/>
  <c r="L747" i="26"/>
  <c r="N747" i="26" s="1"/>
  <c r="P733" i="26"/>
  <c r="L733" i="26"/>
  <c r="N733" i="26" s="1"/>
  <c r="P717" i="26"/>
  <c r="L717" i="26"/>
  <c r="N717" i="26" s="1"/>
  <c r="P742" i="26"/>
  <c r="L742" i="26"/>
  <c r="N742" i="26" s="1"/>
  <c r="L99" i="26"/>
  <c r="N99" i="26" s="1"/>
  <c r="P99" i="26"/>
  <c r="L103" i="26"/>
  <c r="N103" i="26" s="1"/>
  <c r="P103" i="26"/>
  <c r="L130" i="26"/>
  <c r="N130" i="26" s="1"/>
  <c r="P130" i="26"/>
  <c r="P134" i="26"/>
  <c r="L92" i="26"/>
  <c r="N92" i="26" s="1"/>
  <c r="P92" i="26"/>
  <c r="L100" i="26"/>
  <c r="N100" i="26" s="1"/>
  <c r="P100" i="26"/>
  <c r="L104" i="26"/>
  <c r="N104" i="26" s="1"/>
  <c r="P104" i="26"/>
  <c r="L118" i="26"/>
  <c r="N118" i="26" s="1"/>
  <c r="P118" i="26"/>
  <c r="L122" i="26"/>
  <c r="N122" i="26" s="1"/>
  <c r="P122" i="26"/>
  <c r="L93" i="26"/>
  <c r="N93" i="26" s="1"/>
  <c r="P93" i="26"/>
  <c r="L97" i="26"/>
  <c r="N97" i="26" s="1"/>
  <c r="P97" i="26"/>
  <c r="N105" i="26"/>
  <c r="P105" i="26"/>
  <c r="L115" i="26"/>
  <c r="N115" i="26" s="1"/>
  <c r="P115" i="26"/>
  <c r="N119" i="26"/>
  <c r="P119" i="26"/>
  <c r="L123" i="26"/>
  <c r="N123" i="26" s="1"/>
  <c r="P123" i="26"/>
  <c r="L94" i="26"/>
  <c r="N94" i="26" s="1"/>
  <c r="P94" i="26"/>
  <c r="L98" i="26"/>
  <c r="N98" i="26" s="1"/>
  <c r="P98" i="26"/>
  <c r="L106" i="26"/>
  <c r="N106" i="26" s="1"/>
  <c r="P106" i="26"/>
  <c r="L125" i="26"/>
  <c r="N125" i="26" s="1"/>
  <c r="P125" i="26"/>
  <c r="L129" i="26"/>
  <c r="N129" i="26" s="1"/>
  <c r="P129" i="26"/>
  <c r="P109" i="26"/>
  <c r="N109" i="26"/>
  <c r="L171" i="26"/>
  <c r="N171" i="26" s="1"/>
  <c r="P171" i="26"/>
  <c r="L77" i="26"/>
  <c r="N77" i="26" s="1"/>
  <c r="P77" i="26"/>
  <c r="L74" i="26"/>
  <c r="N74" i="26" s="1"/>
  <c r="P74" i="26"/>
  <c r="L83" i="26"/>
  <c r="N83" i="26" s="1"/>
  <c r="P83" i="26"/>
  <c r="L75" i="26"/>
  <c r="N75" i="26" s="1"/>
  <c r="P75" i="26"/>
  <c r="L71" i="26"/>
  <c r="N71" i="26" s="1"/>
  <c r="P71" i="26"/>
  <c r="L73" i="26"/>
  <c r="N73" i="26" s="1"/>
  <c r="P73" i="26"/>
  <c r="P80" i="26"/>
  <c r="L80" i="26"/>
  <c r="N80" i="26" s="1"/>
  <c r="P87" i="26"/>
  <c r="L87" i="26"/>
  <c r="N87" i="26" s="1"/>
  <c r="P85" i="26"/>
  <c r="L85" i="26"/>
  <c r="N85" i="26" s="1"/>
  <c r="L82" i="26"/>
  <c r="N82" i="26" s="1"/>
  <c r="P82" i="26"/>
  <c r="P76" i="26"/>
  <c r="L76" i="26"/>
  <c r="N76" i="26" s="1"/>
  <c r="P72" i="26"/>
  <c r="L72" i="26"/>
  <c r="N72" i="26" s="1"/>
  <c r="L70" i="26"/>
  <c r="N70" i="26" s="1"/>
  <c r="P70" i="26"/>
  <c r="P79" i="26"/>
  <c r="L79" i="26"/>
  <c r="N79" i="26" s="1"/>
  <c r="M21" i="26"/>
  <c r="Q961" i="26" l="1"/>
  <c r="Q721" i="26"/>
  <c r="Q126" i="26"/>
  <c r="Q831" i="26"/>
  <c r="D27" i="12"/>
  <c r="D19" i="12"/>
  <c r="D20" i="12"/>
  <c r="D35" i="12"/>
  <c r="E39" i="12"/>
  <c r="E32" i="12"/>
  <c r="E19" i="12"/>
  <c r="E20" i="12"/>
  <c r="E33" i="12"/>
  <c r="E34" i="12"/>
  <c r="D39" i="12"/>
  <c r="D26" i="12"/>
  <c r="D28" i="12"/>
  <c r="E25" i="12"/>
  <c r="D37" i="12"/>
  <c r="D32" i="12"/>
  <c r="E26" i="12"/>
  <c r="D24" i="12"/>
  <c r="E28" i="12"/>
  <c r="D29" i="12"/>
  <c r="D23" i="12"/>
  <c r="E24" i="12"/>
  <c r="E29" i="12"/>
  <c r="E23" i="12"/>
  <c r="D21" i="12"/>
  <c r="D22" i="12"/>
  <c r="E37" i="12"/>
  <c r="E35" i="12"/>
  <c r="D33" i="12"/>
  <c r="E27" i="12"/>
  <c r="D34" i="12"/>
  <c r="D25" i="12"/>
  <c r="D38" i="12"/>
  <c r="E21" i="12"/>
  <c r="E22" i="12"/>
  <c r="Q920" i="26"/>
  <c r="F38" i="12" s="1"/>
  <c r="Q974" i="26"/>
  <c r="Q835" i="26"/>
  <c r="Q491" i="26"/>
  <c r="Q541" i="26"/>
  <c r="Q492" i="26"/>
  <c r="Q521" i="26"/>
  <c r="Q489" i="26"/>
  <c r="R917" i="26"/>
  <c r="Q490" i="26"/>
  <c r="Q845" i="26"/>
  <c r="Q112" i="26"/>
  <c r="Q847" i="26"/>
  <c r="Q842" i="26"/>
  <c r="Q840" i="26"/>
  <c r="Q846" i="26"/>
  <c r="Q841" i="26"/>
  <c r="Q605" i="26"/>
  <c r="F31" i="12" s="1"/>
  <c r="Q172" i="26"/>
  <c r="Q173" i="26"/>
  <c r="Q712" i="26"/>
  <c r="Q253" i="26"/>
  <c r="Q252" i="26"/>
  <c r="Q200" i="26"/>
  <c r="Q199" i="26"/>
  <c r="Q111" i="26"/>
  <c r="Q110" i="26"/>
  <c r="Q590" i="26"/>
  <c r="Q597" i="26"/>
  <c r="Q591" i="26"/>
  <c r="Q596" i="26"/>
  <c r="Q508" i="26"/>
  <c r="Q141" i="26"/>
  <c r="Q994" i="26"/>
  <c r="Q993" i="26"/>
  <c r="Q158" i="26"/>
  <c r="Q992" i="26"/>
  <c r="Q995" i="26"/>
  <c r="Q155" i="26"/>
  <c r="Q151" i="26"/>
  <c r="Q152" i="26"/>
  <c r="Q818" i="26"/>
  <c r="Q756" i="26"/>
  <c r="Q159" i="26"/>
  <c r="Q167" i="26"/>
  <c r="Q146" i="26"/>
  <c r="Q761" i="26"/>
  <c r="Q808" i="26"/>
  <c r="Q768" i="26"/>
  <c r="Q798" i="26"/>
  <c r="Q619" i="26"/>
  <c r="Q139" i="26"/>
  <c r="Q140" i="26"/>
  <c r="Q153" i="26"/>
  <c r="Q168" i="26"/>
  <c r="Q143" i="26"/>
  <c r="Q154" i="26"/>
  <c r="Q177" i="26"/>
  <c r="Q169" i="26"/>
  <c r="Q161" i="26"/>
  <c r="J30" i="12"/>
  <c r="L30" i="12" s="1"/>
  <c r="Q697" i="26"/>
  <c r="Q248" i="26"/>
  <c r="Q259" i="26"/>
  <c r="Q325" i="26"/>
  <c r="Q219" i="26"/>
  <c r="Q316" i="26"/>
  <c r="Q296" i="26"/>
  <c r="Q326" i="26"/>
  <c r="Q733" i="26"/>
  <c r="Q696" i="26"/>
  <c r="Q612" i="26"/>
  <c r="Q829" i="26"/>
  <c r="Q615" i="26"/>
  <c r="Q569" i="26"/>
  <c r="Q571" i="26"/>
  <c r="Q803" i="26"/>
  <c r="Q789" i="26"/>
  <c r="Q751" i="26"/>
  <c r="Q805" i="26"/>
  <c r="Q754" i="26"/>
  <c r="Q795" i="26"/>
  <c r="Q618" i="26"/>
  <c r="Q681" i="26"/>
  <c r="Q731" i="26"/>
  <c r="Q735" i="26"/>
  <c r="Q708" i="26"/>
  <c r="Q239" i="26"/>
  <c r="Q258" i="26"/>
  <c r="Q302" i="26"/>
  <c r="Q309" i="26"/>
  <c r="Q341" i="26"/>
  <c r="Q304" i="26"/>
  <c r="Q384" i="26"/>
  <c r="Q306" i="26"/>
  <c r="Q366" i="26"/>
  <c r="Q383" i="26"/>
  <c r="Q427" i="26"/>
  <c r="Q425" i="26"/>
  <c r="Q496" i="26"/>
  <c r="Q549" i="26"/>
  <c r="Q393" i="26"/>
  <c r="Q479" i="26"/>
  <c r="Q560" i="26"/>
  <c r="Q558" i="26"/>
  <c r="Q287" i="26"/>
  <c r="Q228" i="26"/>
  <c r="Q346" i="26"/>
  <c r="Q429" i="26"/>
  <c r="Q528" i="26"/>
  <c r="Q372" i="26"/>
  <c r="Q471" i="26"/>
  <c r="Q442" i="26"/>
  <c r="Q389" i="26"/>
  <c r="Q457" i="26"/>
  <c r="Q263" i="26"/>
  <c r="Q205" i="26"/>
  <c r="Q281" i="26"/>
  <c r="Q391" i="26"/>
  <c r="Q540" i="26"/>
  <c r="Q191" i="26"/>
  <c r="Q251" i="26"/>
  <c r="Q350" i="26"/>
  <c r="Q315" i="26"/>
  <c r="Q358" i="26"/>
  <c r="Q593" i="26"/>
  <c r="Q579" i="26"/>
  <c r="Q556" i="26"/>
  <c r="Q337" i="26"/>
  <c r="Q379" i="26"/>
  <c r="Q450" i="26"/>
  <c r="Q275" i="26"/>
  <c r="Q233" i="26"/>
  <c r="Q250" i="26"/>
  <c r="Q313" i="26"/>
  <c r="Q312" i="26"/>
  <c r="Q342" i="26"/>
  <c r="Q308" i="26"/>
  <c r="Q307" i="26"/>
  <c r="Q367" i="26"/>
  <c r="Q359" i="26"/>
  <c r="Q551" i="26"/>
  <c r="Q381" i="26"/>
  <c r="Q445" i="26"/>
  <c r="Q444" i="26"/>
  <c r="Q357" i="26"/>
  <c r="Q461" i="26"/>
  <c r="Q548" i="26"/>
  <c r="Q338" i="26"/>
  <c r="Q356" i="26"/>
  <c r="Q438" i="26"/>
  <c r="Q533" i="26"/>
  <c r="Q441" i="26"/>
  <c r="Q405" i="26"/>
  <c r="Q526" i="26"/>
  <c r="Q414" i="26"/>
  <c r="Q477" i="26"/>
  <c r="Q276" i="26"/>
  <c r="Q267" i="26"/>
  <c r="Q408" i="26"/>
  <c r="Q514" i="26"/>
  <c r="Q519" i="26"/>
  <c r="Q187" i="26"/>
  <c r="Q188" i="26"/>
  <c r="Q299" i="26"/>
  <c r="Q331" i="26"/>
  <c r="Q409" i="26"/>
  <c r="Q437" i="26"/>
  <c r="Q468" i="26"/>
  <c r="Q286" i="26"/>
  <c r="Q388" i="26"/>
  <c r="Q424" i="26"/>
  <c r="Q197" i="26"/>
  <c r="Q518" i="26"/>
  <c r="Q238" i="26"/>
  <c r="Q256" i="26"/>
  <c r="Q495" i="26"/>
  <c r="Q295" i="26"/>
  <c r="Q298" i="26"/>
  <c r="Q329" i="26"/>
  <c r="Q227" i="26"/>
  <c r="Q327" i="26"/>
  <c r="Q300" i="26"/>
  <c r="Q351" i="26"/>
  <c r="Q485" i="26"/>
  <c r="Q582" i="26"/>
  <c r="Q436" i="26"/>
  <c r="Q554" i="26"/>
  <c r="Q557" i="26"/>
  <c r="Q419" i="26"/>
  <c r="Q500" i="26"/>
  <c r="Q578" i="26"/>
  <c r="Q285" i="26"/>
  <c r="Q364" i="26"/>
  <c r="Q385" i="26"/>
  <c r="Q406" i="26"/>
  <c r="Q503" i="26"/>
  <c r="Q380" i="26"/>
  <c r="Q494" i="26"/>
  <c r="Q458" i="26"/>
  <c r="Q415" i="26"/>
  <c r="Q524" i="26"/>
  <c r="Q340" i="26"/>
  <c r="Q223" i="26"/>
  <c r="Q435" i="26"/>
  <c r="Q512" i="26"/>
  <c r="Q183" i="26"/>
  <c r="Q182" i="26"/>
  <c r="Q249" i="26"/>
  <c r="Q339" i="26"/>
  <c r="Q210" i="26"/>
  <c r="Q486" i="26"/>
  <c r="Q473" i="26"/>
  <c r="Q374" i="26"/>
  <c r="Q581" i="26"/>
  <c r="Q224" i="26"/>
  <c r="Q472" i="26"/>
  <c r="Q465" i="26"/>
  <c r="Q423" i="26"/>
  <c r="Q515" i="26"/>
  <c r="Q416" i="26"/>
  <c r="Q547" i="26"/>
  <c r="Q443" i="26"/>
  <c r="Q434" i="26"/>
  <c r="Q580" i="26"/>
  <c r="Q459" i="26"/>
  <c r="Q505" i="26"/>
  <c r="Q595" i="26"/>
  <c r="Q288" i="26"/>
  <c r="Q363" i="26"/>
  <c r="Q397" i="26"/>
  <c r="Q478" i="26"/>
  <c r="Q589" i="26"/>
  <c r="Q411" i="26"/>
  <c r="Q394" i="26"/>
  <c r="Q525" i="26"/>
  <c r="Q432" i="26"/>
  <c r="Q530" i="26"/>
  <c r="Q271" i="26"/>
  <c r="Q203" i="26"/>
  <c r="Q400" i="26"/>
  <c r="Q513" i="26"/>
  <c r="Q516" i="26"/>
  <c r="Q234" i="26"/>
  <c r="Q211" i="26"/>
  <c r="Q303" i="26"/>
  <c r="Q401" i="26"/>
  <c r="Q390" i="26"/>
  <c r="Q451" i="26"/>
  <c r="Q213" i="26"/>
  <c r="Q527" i="26"/>
  <c r="Q532" i="26"/>
  <c r="Q270" i="26"/>
  <c r="Q511" i="26"/>
  <c r="Q242" i="26"/>
  <c r="Q257" i="26"/>
  <c r="Q260" i="26"/>
  <c r="Q209" i="26"/>
  <c r="Q216" i="26"/>
  <c r="Q328" i="26"/>
  <c r="Q220" i="26"/>
  <c r="Q324" i="26"/>
  <c r="Q297" i="26"/>
  <c r="Q330" i="26"/>
  <c r="Q399" i="26"/>
  <c r="Q474" i="26"/>
  <c r="Q577" i="26"/>
  <c r="Q428" i="26"/>
  <c r="Q550" i="26"/>
  <c r="Q553" i="26"/>
  <c r="Q418" i="26"/>
  <c r="Q480" i="26"/>
  <c r="Q343" i="26"/>
  <c r="Q368" i="26"/>
  <c r="Q398" i="26"/>
  <c r="Q484" i="26"/>
  <c r="Q376" i="26"/>
  <c r="Q483" i="26"/>
  <c r="Q446" i="26"/>
  <c r="Q587" i="26"/>
  <c r="Q433" i="26"/>
  <c r="Q206" i="26"/>
  <c r="Q290" i="26"/>
  <c r="Q282" i="26"/>
  <c r="Q426" i="26"/>
  <c r="Q544" i="26"/>
  <c r="Q184" i="26"/>
  <c r="Q321" i="26"/>
  <c r="Q323" i="26"/>
  <c r="Q559" i="26"/>
  <c r="Q561" i="26"/>
  <c r="Q594" i="26"/>
  <c r="Q352" i="26"/>
  <c r="Q402" i="26"/>
  <c r="Q529" i="26"/>
  <c r="Q382" i="26"/>
  <c r="Q278" i="26"/>
  <c r="Q244" i="26"/>
  <c r="Q255" i="26"/>
  <c r="Q322" i="26"/>
  <c r="Q320" i="26"/>
  <c r="Q348" i="26"/>
  <c r="Q314" i="26"/>
  <c r="Q319" i="26"/>
  <c r="Q373" i="26"/>
  <c r="Q392" i="26"/>
  <c r="Q555" i="26"/>
  <c r="Q407" i="26"/>
  <c r="Q453" i="26"/>
  <c r="Q452" i="26"/>
  <c r="Q365" i="26"/>
  <c r="Q467" i="26"/>
  <c r="Q552" i="26"/>
  <c r="Q601" i="26"/>
  <c r="Q355" i="26"/>
  <c r="Q347" i="26"/>
  <c r="Q360" i="26"/>
  <c r="Q466" i="26"/>
  <c r="Q564" i="26"/>
  <c r="Q454" i="26"/>
  <c r="Q420" i="26"/>
  <c r="Q531" i="26"/>
  <c r="Q449" i="26"/>
  <c r="Q264" i="26"/>
  <c r="Q417" i="26"/>
  <c r="Q517" i="26"/>
  <c r="Q520" i="26"/>
  <c r="Q186" i="26"/>
  <c r="Q195" i="26"/>
  <c r="Q243" i="26"/>
  <c r="Q504" i="26"/>
  <c r="Q305" i="26"/>
  <c r="Q301" i="26"/>
  <c r="Q375" i="26"/>
  <c r="Q410" i="26"/>
  <c r="Q460" i="26"/>
  <c r="Q501" i="26"/>
  <c r="Q371" i="26"/>
  <c r="Q588" i="26"/>
  <c r="Q462" i="26"/>
  <c r="Q349" i="26"/>
  <c r="Q194" i="26"/>
  <c r="Q828" i="26"/>
  <c r="Q662" i="26"/>
  <c r="Q734" i="26"/>
  <c r="Q716" i="26"/>
  <c r="Q692" i="26"/>
  <c r="Q688" i="26"/>
  <c r="Q711" i="26"/>
  <c r="Q673" i="26"/>
  <c r="Q815" i="26"/>
  <c r="Q663" i="26"/>
  <c r="Q661" i="26"/>
  <c r="Q723" i="26"/>
  <c r="Q707" i="26"/>
  <c r="Q687" i="26"/>
  <c r="Q710" i="26"/>
  <c r="Q719" i="26"/>
  <c r="Q672" i="26"/>
  <c r="Q786" i="26"/>
  <c r="Q767" i="26"/>
  <c r="Q678" i="26"/>
  <c r="Q804" i="26"/>
  <c r="Q746" i="26"/>
  <c r="Q794" i="26"/>
  <c r="Q629" i="26"/>
  <c r="Q646" i="26"/>
  <c r="Q813" i="26"/>
  <c r="Q651" i="26"/>
  <c r="Q717" i="26"/>
  <c r="Q747" i="26"/>
  <c r="Q706" i="26"/>
  <c r="Q701" i="26"/>
  <c r="Q725" i="26"/>
  <c r="Q573" i="26"/>
  <c r="Q765" i="26"/>
  <c r="Q824" i="26"/>
  <c r="Q782" i="26"/>
  <c r="Q674" i="26"/>
  <c r="Q800" i="26"/>
  <c r="Q743" i="26"/>
  <c r="Q791" i="26"/>
  <c r="Q622" i="26"/>
  <c r="Q655" i="26"/>
  <c r="Q613" i="26"/>
  <c r="Q621" i="26"/>
  <c r="Q637" i="26"/>
  <c r="Q623" i="26"/>
  <c r="Q720" i="26"/>
  <c r="Q739" i="26"/>
  <c r="Q691" i="26"/>
  <c r="Q693" i="26"/>
  <c r="Q698" i="26"/>
  <c r="Q722" i="26"/>
  <c r="Q628" i="26"/>
  <c r="Q640" i="26"/>
  <c r="Q773" i="26"/>
  <c r="Q772" i="26"/>
  <c r="Q665" i="26"/>
  <c r="Q774" i="26"/>
  <c r="Q641" i="26"/>
  <c r="Q787" i="26"/>
  <c r="Q650" i="26"/>
  <c r="Q724" i="26"/>
  <c r="Q742" i="26"/>
  <c r="Q689" i="26"/>
  <c r="Q695" i="26"/>
  <c r="Q728" i="26"/>
  <c r="Q671" i="26"/>
  <c r="Q783" i="26"/>
  <c r="Q793" i="26"/>
  <c r="Q766" i="26"/>
  <c r="Q809" i="26"/>
  <c r="Q771" i="26"/>
  <c r="Q799" i="26"/>
  <c r="Q620" i="26"/>
  <c r="Q812" i="26"/>
  <c r="Q732" i="26"/>
  <c r="Q729" i="26"/>
  <c r="Q572" i="26"/>
  <c r="Q626" i="26"/>
  <c r="Q679" i="26"/>
  <c r="Q775" i="26"/>
  <c r="Q669" i="26"/>
  <c r="Q779" i="26"/>
  <c r="Q668" i="26"/>
  <c r="Q790" i="26"/>
  <c r="Q614" i="26"/>
  <c r="Q654" i="26"/>
  <c r="Q645" i="26"/>
  <c r="Q635" i="26"/>
  <c r="Q636" i="26"/>
  <c r="Q738" i="26"/>
  <c r="Q748" i="26"/>
  <c r="Q690" i="26"/>
  <c r="Q702" i="26"/>
  <c r="Q730" i="26"/>
  <c r="Q627" i="26"/>
  <c r="Q770" i="26"/>
  <c r="Q825" i="26"/>
  <c r="Q788" i="26"/>
  <c r="Q769" i="26"/>
  <c r="Q823" i="26"/>
  <c r="Q781" i="26"/>
  <c r="Q634" i="26"/>
  <c r="Q611" i="26"/>
  <c r="Q644" i="26"/>
  <c r="Q653" i="26"/>
  <c r="Q694" i="26"/>
  <c r="Q718" i="26"/>
  <c r="Q570" i="26"/>
  <c r="Q670" i="26"/>
  <c r="Q780" i="26"/>
  <c r="Q675" i="26"/>
  <c r="Q792" i="26"/>
  <c r="Q816" i="26"/>
  <c r="Q660" i="26"/>
  <c r="P1015" i="26"/>
  <c r="Q92" i="26"/>
  <c r="Q122" i="26"/>
  <c r="Q130" i="26"/>
  <c r="Q94" i="26"/>
  <c r="Q100" i="26"/>
  <c r="Q125" i="26"/>
  <c r="Q99" i="26"/>
  <c r="Q123" i="26"/>
  <c r="Q115" i="26"/>
  <c r="Q93" i="26"/>
  <c r="Q119" i="26"/>
  <c r="Q105" i="26"/>
  <c r="Q97" i="26"/>
  <c r="Q118" i="26"/>
  <c r="Q104" i="26"/>
  <c r="Q134" i="26"/>
  <c r="Q103" i="26"/>
  <c r="Q129" i="26"/>
  <c r="Q106" i="26"/>
  <c r="Q98" i="26"/>
  <c r="Q79" i="26"/>
  <c r="Q72" i="26"/>
  <c r="Q82" i="26"/>
  <c r="Q73" i="26"/>
  <c r="Q75" i="26"/>
  <c r="Q74" i="26"/>
  <c r="Q171" i="26"/>
  <c r="Q109" i="26"/>
  <c r="Q70" i="26"/>
  <c r="Q76" i="26"/>
  <c r="Q87" i="26"/>
  <c r="Q85" i="26"/>
  <c r="Q80" i="26"/>
  <c r="Q71" i="26"/>
  <c r="Q83" i="26"/>
  <c r="Q77" i="26"/>
  <c r="F30" i="12" l="1"/>
  <c r="R599" i="26"/>
  <c r="F35" i="12"/>
  <c r="F32" i="12"/>
  <c r="F33" i="12"/>
  <c r="F28" i="12"/>
  <c r="F21" i="12"/>
  <c r="F22" i="12"/>
  <c r="F39" i="12"/>
  <c r="F25" i="12"/>
  <c r="F27" i="12"/>
  <c r="F24" i="12"/>
  <c r="F26" i="12"/>
  <c r="F34" i="12"/>
  <c r="F19" i="12"/>
  <c r="F20" i="12"/>
  <c r="F29" i="12"/>
  <c r="F23" i="12"/>
  <c r="F37" i="12"/>
  <c r="R603" i="26"/>
  <c r="R971" i="26"/>
  <c r="R833" i="26"/>
  <c r="R683" i="26"/>
  <c r="R292" i="26"/>
  <c r="R163" i="26"/>
  <c r="R67" i="26"/>
  <c r="R820" i="26"/>
  <c r="R584" i="26"/>
  <c r="R179" i="26"/>
  <c r="R230" i="26"/>
  <c r="R89" i="26"/>
  <c r="R607" i="26"/>
  <c r="R758" i="26"/>
  <c r="R136" i="26"/>
  <c r="R333" i="26"/>
  <c r="R566" i="26"/>
  <c r="R575" i="26"/>
  <c r="P1016" i="26"/>
  <c r="Q1016" i="26" s="1"/>
  <c r="R1016" i="26" s="1"/>
  <c r="P1017" i="26"/>
  <c r="Q1017" i="26" s="1"/>
  <c r="R1017" i="26" s="1"/>
  <c r="P1019" i="26" l="1"/>
  <c r="L41" i="26"/>
  <c r="N41" i="26" s="1"/>
  <c r="Q41" i="26" s="1"/>
  <c r="L31" i="26"/>
  <c r="N31" i="26" s="1"/>
  <c r="Q31" i="26" s="1"/>
  <c r="L28" i="26"/>
  <c r="N28" i="26" s="1"/>
  <c r="Q28" i="26" s="1"/>
  <c r="L23" i="26"/>
  <c r="N23" i="26" s="1"/>
  <c r="Q23" i="26" s="1"/>
  <c r="L54" i="26"/>
  <c r="N54" i="26" s="1"/>
  <c r="Q54" i="26" s="1"/>
  <c r="L30" i="26"/>
  <c r="N30" i="26" s="1"/>
  <c r="Q30" i="26" s="1"/>
  <c r="L65" i="26" l="1"/>
  <c r="N65" i="26" s="1"/>
  <c r="Q65" i="26" s="1"/>
  <c r="L34" i="26"/>
  <c r="N34" i="26" s="1"/>
  <c r="Q34" i="26" s="1"/>
  <c r="L44" i="26"/>
  <c r="N44" i="26" s="1"/>
  <c r="Q44" i="26" s="1"/>
  <c r="L36" i="26"/>
  <c r="N36" i="26" s="1"/>
  <c r="Q36" i="26" s="1"/>
  <c r="L35" i="26"/>
  <c r="N35" i="26" s="1"/>
  <c r="Q35" i="26" s="1"/>
  <c r="L55" i="26"/>
  <c r="N55" i="26" s="1"/>
  <c r="Q55" i="26" s="1"/>
  <c r="P1020" i="26"/>
  <c r="J19" i="12" l="1"/>
  <c r="L19" i="12" s="1"/>
  <c r="J21" i="12" l="1"/>
  <c r="L21" i="12" s="1"/>
  <c r="J23" i="12"/>
  <c r="L23" i="12" s="1"/>
  <c r="L62" i="26" l="1"/>
  <c r="N62" i="26" s="1"/>
  <c r="Q62" i="26" s="1"/>
  <c r="L60" i="26"/>
  <c r="N60" i="26" s="1"/>
  <c r="Q60" i="26" s="1"/>
  <c r="L57" i="26"/>
  <c r="N57" i="26" s="1"/>
  <c r="Q57" i="26" s="1"/>
  <c r="L50" i="26"/>
  <c r="N50" i="26" s="1"/>
  <c r="Q50" i="26" s="1"/>
  <c r="L48" i="26"/>
  <c r="N48" i="26" s="1"/>
  <c r="Q48" i="26" s="1"/>
  <c r="L43" i="26"/>
  <c r="N43" i="26" s="1"/>
  <c r="Q43" i="26" s="1"/>
  <c r="L39" i="26"/>
  <c r="N39" i="26" s="1"/>
  <c r="Q39" i="26" s="1"/>
  <c r="L26" i="26"/>
  <c r="N26" i="26" s="1"/>
  <c r="Q26" i="26" s="1"/>
  <c r="I21" i="26"/>
  <c r="L24" i="26"/>
  <c r="N24" i="26" s="1"/>
  <c r="Q24" i="26" s="1"/>
  <c r="L51" i="26"/>
  <c r="N51" i="26" s="1"/>
  <c r="Q51" i="26" s="1"/>
  <c r="L40" i="26"/>
  <c r="N40" i="26" s="1"/>
  <c r="Q40" i="26" s="1"/>
  <c r="L29" i="26"/>
  <c r="N29" i="26" s="1"/>
  <c r="Q29" i="26" s="1"/>
  <c r="L22" i="26"/>
  <c r="N22" i="26" s="1"/>
  <c r="Q22" i="26" s="1"/>
  <c r="L56" i="26"/>
  <c r="N56" i="26" s="1"/>
  <c r="Q56" i="26" s="1"/>
  <c r="L42" i="26"/>
  <c r="N42" i="26" s="1"/>
  <c r="Q42" i="26" s="1"/>
  <c r="L47" i="26"/>
  <c r="N47" i="26" s="1"/>
  <c r="Q47" i="26" s="1"/>
  <c r="L25" i="26"/>
  <c r="N25" i="26" s="1"/>
  <c r="Q25" i="26" s="1"/>
  <c r="L61" i="26"/>
  <c r="N61" i="26" s="1"/>
  <c r="Q61" i="26" s="1"/>
  <c r="L49" i="26"/>
  <c r="N49" i="26" s="1"/>
  <c r="Q49" i="26" s="1"/>
  <c r="L27" i="26"/>
  <c r="N27" i="26" s="1"/>
  <c r="Q27" i="26" s="1"/>
  <c r="L21" i="26" l="1"/>
  <c r="N21" i="26" l="1"/>
  <c r="N1015" i="26" s="1"/>
  <c r="L1015" i="26"/>
  <c r="J31" i="12"/>
  <c r="J25" i="12"/>
  <c r="J36" i="12"/>
  <c r="J24" i="12"/>
  <c r="E5" i="26"/>
  <c r="Q21" i="26" l="1"/>
  <c r="R18" i="26" s="1"/>
  <c r="R1015" i="26" s="1"/>
  <c r="D18" i="12"/>
  <c r="J18" i="12" s="1"/>
  <c r="L18" i="12" s="1"/>
  <c r="N1018" i="26"/>
  <c r="Q1018" i="26" s="1"/>
  <c r="R1018" i="26" s="1"/>
  <c r="J33" i="12"/>
  <c r="L33" i="12" s="1"/>
  <c r="J38" i="12"/>
  <c r="L38" i="12" s="1"/>
  <c r="J20" i="12"/>
  <c r="L20" i="12" s="1"/>
  <c r="J32" i="12"/>
  <c r="L32" i="12" s="1"/>
  <c r="J28" i="12"/>
  <c r="L28" i="12" s="1"/>
  <c r="J35" i="12"/>
  <c r="L35" i="12" s="1"/>
  <c r="J27" i="12"/>
  <c r="L27" i="12" s="1"/>
  <c r="J29" i="12"/>
  <c r="L29" i="12" s="1"/>
  <c r="J37" i="12"/>
  <c r="L37" i="12" s="1"/>
  <c r="J22" i="12"/>
  <c r="L22" i="12" s="1"/>
  <c r="J34" i="12"/>
  <c r="L34" i="12" s="1"/>
  <c r="J39" i="12"/>
  <c r="L39" i="12" s="1"/>
  <c r="J26" i="12"/>
  <c r="L26" i="12" s="1"/>
  <c r="L25" i="12"/>
  <c r="L24" i="12"/>
  <c r="L36" i="12"/>
  <c r="L31" i="12"/>
  <c r="E7" i="26"/>
  <c r="E6" i="26"/>
  <c r="F18" i="12" l="1"/>
  <c r="Q1015" i="26"/>
  <c r="E4" i="26" s="1"/>
  <c r="N1019" i="26"/>
  <c r="N1020" i="26" s="1"/>
  <c r="Q1020" i="26" s="1"/>
  <c r="J40" i="12"/>
  <c r="L40" i="12" s="1"/>
  <c r="Q1019" i="26" l="1"/>
  <c r="R1019" i="26" s="1"/>
  <c r="R1020" i="26" s="1"/>
  <c r="E8" i="26"/>
  <c r="E9" i="26" l="1"/>
  <c r="D10" i="12" s="1"/>
  <c r="K6" i="12" s="1"/>
  <c r="F65" i="12"/>
  <c r="D65" i="12"/>
  <c r="E65" i="12"/>
  <c r="D89" i="12"/>
  <c r="D55" i="12"/>
  <c r="D95" i="12"/>
  <c r="E74" i="12"/>
  <c r="D61" i="12"/>
  <c r="F85" i="12"/>
  <c r="D64" i="12"/>
  <c r="F64" i="12"/>
  <c r="E81" i="12"/>
  <c r="D92" i="12"/>
  <c r="D60" i="12"/>
  <c r="D73" i="12"/>
  <c r="D84" i="12"/>
  <c r="F78" i="12"/>
  <c r="D90" i="12"/>
  <c r="F63" i="12"/>
  <c r="D71" i="12"/>
  <c r="D70" i="12"/>
  <c r="E94" i="12"/>
  <c r="D72" i="12"/>
  <c r="F80" i="12"/>
  <c r="D86" i="12"/>
  <c r="E88" i="12"/>
  <c r="F86" i="12"/>
  <c r="E90" i="12"/>
  <c r="E89" i="12"/>
  <c r="D57" i="12"/>
  <c r="E69" i="12"/>
  <c r="D91" i="12"/>
  <c r="E76" i="12"/>
  <c r="E95" i="12"/>
  <c r="D67" i="12"/>
  <c r="E93" i="12"/>
  <c r="F92" i="12"/>
  <c r="F77" i="12"/>
  <c r="E73" i="12"/>
  <c r="E78" i="12"/>
  <c r="F61" i="12"/>
  <c r="D62" i="12"/>
  <c r="D78" i="12"/>
  <c r="E85" i="12"/>
  <c r="E86" i="12"/>
  <c r="E79" i="12"/>
  <c r="D93" i="12"/>
  <c r="D56" i="12"/>
  <c r="F54" i="12"/>
  <c r="F72" i="12"/>
  <c r="D75" i="12"/>
  <c r="E58" i="12"/>
  <c r="F55" i="12"/>
  <c r="F89" i="12"/>
  <c r="D88" i="12"/>
  <c r="E84" i="12"/>
  <c r="F94" i="12"/>
  <c r="F69" i="12"/>
  <c r="D81" i="12"/>
  <c r="E68" i="12"/>
  <c r="F76" i="12"/>
  <c r="F87" i="12"/>
  <c r="E55" i="12"/>
  <c r="D68" i="12"/>
  <c r="E66" i="12"/>
  <c r="D76" i="12"/>
  <c r="E57" i="12"/>
  <c r="E72" i="12"/>
  <c r="F81" i="12"/>
  <c r="D69" i="12"/>
  <c r="D94" i="12"/>
  <c r="F88" i="12"/>
  <c r="F71" i="12"/>
  <c r="E83" i="12"/>
  <c r="F58" i="12"/>
  <c r="F95" i="12"/>
  <c r="E56" i="12"/>
  <c r="D63" i="12"/>
  <c r="E82" i="12"/>
  <c r="F91" i="12"/>
  <c r="F62" i="12"/>
  <c r="D54" i="12"/>
  <c r="D82" i="12"/>
  <c r="E63" i="12"/>
  <c r="F74" i="12"/>
  <c r="F56" i="12"/>
  <c r="E77" i="12"/>
  <c r="E71" i="12"/>
  <c r="E80" i="12"/>
  <c r="F57" i="12"/>
  <c r="D85" i="12"/>
  <c r="E87" i="12"/>
  <c r="F70" i="12"/>
  <c r="F68" i="12"/>
  <c r="D77" i="12"/>
  <c r="F79" i="12"/>
  <c r="F84" i="12"/>
  <c r="D74" i="12"/>
  <c r="F59" i="12"/>
  <c r="E91" i="12"/>
  <c r="E62" i="12"/>
  <c r="E67" i="12"/>
  <c r="F60" i="12"/>
  <c r="E64" i="12"/>
  <c r="D58" i="12"/>
  <c r="E70" i="12"/>
  <c r="E61" i="12"/>
  <c r="E54" i="12"/>
  <c r="F75" i="12"/>
  <c r="D80" i="12"/>
  <c r="F83" i="12"/>
  <c r="E75" i="12"/>
  <c r="D59" i="12"/>
  <c r="F67" i="12"/>
  <c r="F93" i="12"/>
  <c r="D87" i="12"/>
  <c r="E59" i="12"/>
  <c r="F90" i="12"/>
  <c r="E60" i="12"/>
  <c r="D66" i="12"/>
  <c r="D83" i="12"/>
  <c r="F73" i="12"/>
  <c r="D79" i="12"/>
  <c r="E92" i="12"/>
  <c r="F66" i="12"/>
  <c r="F82" i="12"/>
  <c r="J65" i="12" l="1"/>
  <c r="L65" i="12" s="1"/>
  <c r="E40" i="12"/>
  <c r="E41" i="12" s="1"/>
  <c r="F41" i="12" s="1"/>
  <c r="D40" i="12"/>
  <c r="D43" i="12" s="1"/>
  <c r="F43" i="12" s="1"/>
  <c r="F40" i="12"/>
  <c r="G18" i="12" l="1"/>
  <c r="G65" i="12"/>
  <c r="G20" i="12"/>
  <c r="G33" i="12"/>
  <c r="E42" i="12"/>
  <c r="F42" i="12" s="1"/>
  <c r="G25" i="12"/>
  <c r="G34" i="12"/>
  <c r="G37" i="12"/>
  <c r="G28" i="12"/>
  <c r="G35" i="12"/>
  <c r="G31" i="12"/>
  <c r="G39" i="12"/>
  <c r="G21" i="12"/>
  <c r="G30" i="12"/>
  <c r="G24" i="12"/>
  <c r="G23" i="12"/>
  <c r="G36" i="12"/>
  <c r="G27" i="12"/>
  <c r="G32" i="12"/>
  <c r="G38" i="12"/>
  <c r="G22" i="12"/>
  <c r="G29" i="12"/>
  <c r="G19" i="12"/>
  <c r="G26" i="12"/>
  <c r="G79" i="12" l="1"/>
  <c r="G88" i="12"/>
  <c r="F44" i="12"/>
  <c r="J54" i="12" l="1"/>
  <c r="L54" i="12" s="1"/>
  <c r="J88" i="12"/>
  <c r="L88" i="12" s="1"/>
  <c r="J63" i="12"/>
  <c r="L63" i="12" s="1"/>
  <c r="J91" i="12"/>
  <c r="L91" i="12" s="1"/>
  <c r="J73" i="12"/>
  <c r="L73" i="12" s="1"/>
  <c r="J67" i="12"/>
  <c r="L67" i="12" s="1"/>
  <c r="J75" i="12"/>
  <c r="L75" i="12" s="1"/>
  <c r="J70" i="12"/>
  <c r="L70" i="12" s="1"/>
  <c r="J79" i="12"/>
  <c r="L79" i="12" s="1"/>
  <c r="J81" i="12"/>
  <c r="L81" i="12" s="1"/>
  <c r="J90" i="12"/>
  <c r="L90" i="12" s="1"/>
  <c r="J78" i="12"/>
  <c r="L78" i="12" s="1"/>
  <c r="J87" i="12"/>
  <c r="L87" i="12" s="1"/>
  <c r="J84" i="12"/>
  <c r="L84" i="12" s="1"/>
  <c r="J83" i="12"/>
  <c r="L83" i="12" s="1"/>
  <c r="J59" i="12"/>
  <c r="L59" i="12" s="1"/>
  <c r="J64" i="12"/>
  <c r="L64" i="12" s="1"/>
  <c r="J68" i="12"/>
  <c r="L68" i="12" s="1"/>
  <c r="J57" i="12"/>
  <c r="L57" i="12" s="1"/>
  <c r="J95" i="12"/>
  <c r="L95" i="12" s="1"/>
  <c r="J82" i="12"/>
  <c r="L82" i="12" s="1"/>
  <c r="J55" i="12"/>
  <c r="L55" i="12" s="1"/>
  <c r="J62" i="12"/>
  <c r="L62" i="12" s="1"/>
  <c r="J93" i="12"/>
  <c r="L93" i="12" s="1"/>
  <c r="J86" i="12"/>
  <c r="L86" i="12" s="1"/>
  <c r="J72" i="12"/>
  <c r="L72" i="12" s="1"/>
  <c r="J66" i="12"/>
  <c r="L66" i="12" s="1"/>
  <c r="J77" i="12"/>
  <c r="L77" i="12" s="1"/>
  <c r="J89" i="12"/>
  <c r="L89" i="12" s="1"/>
  <c r="J74" i="12"/>
  <c r="L74" i="12" s="1"/>
  <c r="J60" i="12"/>
  <c r="L60" i="12" s="1"/>
  <c r="J69" i="12"/>
  <c r="L69" i="12" s="1"/>
  <c r="J80" i="12"/>
  <c r="L80" i="12" s="1"/>
  <c r="J85" i="12"/>
  <c r="L85" i="12" s="1"/>
  <c r="J71" i="12"/>
  <c r="L71" i="12" s="1"/>
  <c r="J76" i="12"/>
  <c r="L76" i="12" s="1"/>
  <c r="J92" i="12"/>
  <c r="L92" i="12" s="1"/>
  <c r="J94" i="12"/>
  <c r="L94" i="12" s="1"/>
  <c r="J56" i="12"/>
  <c r="L56" i="12" s="1"/>
  <c r="J61" i="12"/>
  <c r="L61" i="12" s="1"/>
  <c r="J58" i="12"/>
  <c r="L58" i="12" s="1"/>
  <c r="G58" i="12"/>
  <c r="F45" i="12"/>
  <c r="G83" i="12"/>
  <c r="G91" i="12"/>
  <c r="G89" i="12"/>
  <c r="G82" i="12"/>
  <c r="G64" i="12"/>
  <c r="G87" i="12"/>
  <c r="G63" i="12"/>
  <c r="F96" i="12"/>
  <c r="G54" i="12"/>
  <c r="G57" i="12"/>
  <c r="G62" i="12"/>
  <c r="G90" i="12"/>
  <c r="D96" i="12"/>
  <c r="D99" i="12" s="1"/>
  <c r="F99" i="12" s="1"/>
  <c r="G78" i="12"/>
  <c r="G69" i="12"/>
  <c r="G95" i="12"/>
  <c r="G66" i="12"/>
  <c r="G85" i="12"/>
  <c r="G59" i="12"/>
  <c r="G60" i="12"/>
  <c r="G72" i="12"/>
  <c r="G94" i="12"/>
  <c r="G76" i="12"/>
  <c r="G56" i="12"/>
  <c r="E96" i="12"/>
  <c r="G67" i="12"/>
  <c r="G86" i="12"/>
  <c r="G93" i="12"/>
  <c r="G80" i="12"/>
  <c r="G74" i="12"/>
  <c r="G92" i="12"/>
  <c r="G68" i="12"/>
  <c r="G55" i="12"/>
  <c r="G73" i="12"/>
  <c r="G61" i="12"/>
  <c r="G84" i="12"/>
  <c r="G71" i="12"/>
  <c r="G77" i="12"/>
  <c r="G70" i="12"/>
  <c r="G81" i="12"/>
  <c r="G75" i="12"/>
  <c r="J96" i="12" l="1"/>
  <c r="L96" i="12" s="1"/>
  <c r="E98" i="12"/>
  <c r="F98" i="12" s="1"/>
  <c r="E97" i="12"/>
  <c r="F97" i="12" s="1"/>
  <c r="F100" i="12" l="1"/>
  <c r="F101" i="12" l="1"/>
</calcChain>
</file>

<file path=xl/sharedStrings.xml><?xml version="1.0" encoding="utf-8"?>
<sst xmlns="http://schemas.openxmlformats.org/spreadsheetml/2006/main" count="4147" uniqueCount="964">
  <si>
    <t>UNIT</t>
  </si>
  <si>
    <t>DESCRIPTION</t>
  </si>
  <si>
    <t>ITEM #</t>
  </si>
  <si>
    <t>QTY.</t>
  </si>
  <si>
    <t>SUB TOTAL</t>
  </si>
  <si>
    <t>ITEM COST</t>
  </si>
  <si>
    <t>Estimate of Materials and Cost of Construction</t>
  </si>
  <si>
    <t>Date:</t>
  </si>
  <si>
    <t>Project:</t>
  </si>
  <si>
    <t>Project Location:</t>
  </si>
  <si>
    <t>REF. SHEET</t>
  </si>
  <si>
    <t>CSI SECT</t>
  </si>
  <si>
    <t>QTY WITH
WASTAGE</t>
  </si>
  <si>
    <t>WASTAGE</t>
  </si>
  <si>
    <t>UNIT MATERIAL COST</t>
  </si>
  <si>
    <t>DETAIL</t>
  </si>
  <si>
    <t>EA</t>
  </si>
  <si>
    <t>SF</t>
  </si>
  <si>
    <t>LS</t>
  </si>
  <si>
    <t>LF</t>
  </si>
  <si>
    <t>DIV-01</t>
  </si>
  <si>
    <t>DIV-09</t>
  </si>
  <si>
    <t>TOTAL MATERIAL COST</t>
  </si>
  <si>
    <t>TOTAL LABOR COST</t>
  </si>
  <si>
    <t>Total Mat. Cost =</t>
  </si>
  <si>
    <t>Total Lab. Cost =</t>
  </si>
  <si>
    <t>DIV-08</t>
  </si>
  <si>
    <t/>
  </si>
  <si>
    <t>Openings</t>
  </si>
  <si>
    <t>Finishes</t>
  </si>
  <si>
    <t>UNIT LABOR HOURS</t>
  </si>
  <si>
    <t>TOTAL LABOR HOURS</t>
  </si>
  <si>
    <t>DIV-06</t>
  </si>
  <si>
    <t>DIV-11</t>
  </si>
  <si>
    <t>DIV-12</t>
  </si>
  <si>
    <t>Furniture</t>
  </si>
  <si>
    <t>DIV-22</t>
  </si>
  <si>
    <t>Sheathing</t>
  </si>
  <si>
    <t>DIV-02</t>
  </si>
  <si>
    <t>DIV-03</t>
  </si>
  <si>
    <t>Concrete</t>
  </si>
  <si>
    <t>CY</t>
  </si>
  <si>
    <t>DIV-07</t>
  </si>
  <si>
    <t>DIV-23</t>
  </si>
  <si>
    <t>DIV-26</t>
  </si>
  <si>
    <t>DIV-10</t>
  </si>
  <si>
    <t>DIV-31</t>
  </si>
  <si>
    <t>Fireplace</t>
  </si>
  <si>
    <t>PER HOUR LABOR RATE</t>
  </si>
  <si>
    <t>Sub Contractor</t>
  </si>
  <si>
    <t>Structural Steel</t>
  </si>
  <si>
    <t>Roof Sheathing</t>
  </si>
  <si>
    <t>Window Installer</t>
  </si>
  <si>
    <t>Siding Contractor</t>
  </si>
  <si>
    <t>Roofer</t>
  </si>
  <si>
    <t>Insulation</t>
  </si>
  <si>
    <t>Interior Painter</t>
  </si>
  <si>
    <t>Exterior Painter</t>
  </si>
  <si>
    <t>Flooring</t>
  </si>
  <si>
    <t>Cabinetry</t>
  </si>
  <si>
    <t>Tiler</t>
  </si>
  <si>
    <t>Storefront</t>
  </si>
  <si>
    <t>Project Type:</t>
  </si>
  <si>
    <t>Framer Lumber</t>
  </si>
  <si>
    <t>Framer Rough Carpenter</t>
  </si>
  <si>
    <t>Paving</t>
  </si>
  <si>
    <t>Site Paint</t>
  </si>
  <si>
    <t>Finish Carpenter</t>
  </si>
  <si>
    <t>Wall Covering</t>
  </si>
  <si>
    <t>Irrigation</t>
  </si>
  <si>
    <t>Erosion Control</t>
  </si>
  <si>
    <t>Final Cleaning</t>
  </si>
  <si>
    <t>Truss</t>
  </si>
  <si>
    <t>Curtain Wall</t>
  </si>
  <si>
    <t>DIV-04</t>
  </si>
  <si>
    <t>DIV-05</t>
  </si>
  <si>
    <t>DIV-32</t>
  </si>
  <si>
    <t>No. of Units</t>
  </si>
  <si>
    <t>No. of Floors</t>
  </si>
  <si>
    <t>Material Wastage 1</t>
  </si>
  <si>
    <t>Material Wastage 2</t>
  </si>
  <si>
    <t>Total Bid</t>
  </si>
  <si>
    <t>Pergolas</t>
  </si>
  <si>
    <t>Trellis</t>
  </si>
  <si>
    <t>(Adjust the percentage for Overhead &amp; Profit as required)</t>
  </si>
  <si>
    <t xml:space="preserve">Sub-Total    </t>
  </si>
  <si>
    <t>Material Tax</t>
  </si>
  <si>
    <t>TOTAL BASE BID</t>
  </si>
  <si>
    <t>TRADE COST</t>
  </si>
  <si>
    <t>Surveying</t>
  </si>
  <si>
    <t>Concrete Testing</t>
  </si>
  <si>
    <t>Plan Coordination</t>
  </si>
  <si>
    <t>Plan Design and Permitting</t>
  </si>
  <si>
    <t>Tool Rentals</t>
  </si>
  <si>
    <t>Tool Shed</t>
  </si>
  <si>
    <t>Dust Control</t>
  </si>
  <si>
    <t>Ice, Water, Beverages</t>
  </si>
  <si>
    <t>Equipment and Tools</t>
  </si>
  <si>
    <t>Signage and Promotion</t>
  </si>
  <si>
    <t>Job Signs</t>
  </si>
  <si>
    <t>Job Photos</t>
  </si>
  <si>
    <t>Promotion/entertainment</t>
  </si>
  <si>
    <t>Misc.</t>
  </si>
  <si>
    <t>Trash</t>
  </si>
  <si>
    <t>Punch List Items</t>
  </si>
  <si>
    <t>Cleaning and Final</t>
  </si>
  <si>
    <t>Casualty Insurance</t>
  </si>
  <si>
    <t>Medical Insurance</t>
  </si>
  <si>
    <t>General Liability Insurance</t>
  </si>
  <si>
    <t>Bonds, Insurance, Legal</t>
  </si>
  <si>
    <t>Wastage</t>
  </si>
  <si>
    <t>Unit</t>
  </si>
  <si>
    <t>LBS</t>
  </si>
  <si>
    <t xml:space="preserve"> ( for Quantities in Each &amp; LS)</t>
  </si>
  <si>
    <t>DIV-33</t>
  </si>
  <si>
    <t>DIV-13</t>
  </si>
  <si>
    <t>Special Construction</t>
  </si>
  <si>
    <t>DIV-14</t>
  </si>
  <si>
    <t>Conveying Equipment</t>
  </si>
  <si>
    <t>DIV-21</t>
  </si>
  <si>
    <t>Fire Suppression</t>
  </si>
  <si>
    <t>DIV-27</t>
  </si>
  <si>
    <t>Utilities</t>
  </si>
  <si>
    <t>Plumber</t>
  </si>
  <si>
    <t>Dry Waller</t>
  </si>
  <si>
    <t>Earth worker</t>
  </si>
  <si>
    <t>Appliances</t>
  </si>
  <si>
    <t>Total Lab. Hours =</t>
  </si>
  <si>
    <t>Carpenter Millwork</t>
  </si>
  <si>
    <t>Div-28</t>
  </si>
  <si>
    <t>Electronic Safety and Security (FA)</t>
  </si>
  <si>
    <t>Permits (Based on interior finish area)</t>
  </si>
  <si>
    <t>Communication</t>
  </si>
  <si>
    <t>Utilities during construction (Based on interior finish area)</t>
  </si>
  <si>
    <t>Port-o-Potty (Based on interior finish area)</t>
  </si>
  <si>
    <t>Temporary Power (Based on interior finish area)</t>
  </si>
  <si>
    <t xml:space="preserve">Signage  </t>
  </si>
  <si>
    <t>Framer Light Gauge</t>
  </si>
  <si>
    <t>Framer Cold Form</t>
  </si>
  <si>
    <t>Doors &amp; Hardware</t>
  </si>
  <si>
    <t>Pool</t>
  </si>
  <si>
    <t>Awnings / Canopies</t>
  </si>
  <si>
    <t>Millwork</t>
  </si>
  <si>
    <t>Countertops</t>
  </si>
  <si>
    <t>Site Signage</t>
  </si>
  <si>
    <t>Site Concrete</t>
  </si>
  <si>
    <t>Interior Signage</t>
  </si>
  <si>
    <t>Electrician</t>
  </si>
  <si>
    <r>
      <t xml:space="preserve">Engineering </t>
    </r>
    <r>
      <rPr>
        <sz val="12"/>
        <color rgb="FFFF0000"/>
        <rFont val="Calibri"/>
        <family val="2"/>
        <scheme val="minor"/>
      </rPr>
      <t xml:space="preserve"> (Assumed By Owner)</t>
    </r>
  </si>
  <si>
    <r>
      <t xml:space="preserve">Soils Report </t>
    </r>
    <r>
      <rPr>
        <sz val="12"/>
        <color rgb="FFFF0000"/>
        <rFont val="Calibri"/>
        <family val="2"/>
        <scheme val="minor"/>
      </rPr>
      <t xml:space="preserve"> (Assumed By Owner)</t>
    </r>
  </si>
  <si>
    <t>Roof Inspection</t>
  </si>
  <si>
    <t>Gross Internal Area of Structure (SF)</t>
  </si>
  <si>
    <t>Covered Area of Structure (SF)</t>
  </si>
  <si>
    <t>General</t>
  </si>
  <si>
    <t>Hardscaping Area (SF)</t>
  </si>
  <si>
    <t>Soft scaping Area (SF)</t>
  </si>
  <si>
    <t>Landscaper</t>
  </si>
  <si>
    <t>Shoring/SOE</t>
  </si>
  <si>
    <t>TONS</t>
  </si>
  <si>
    <t>Pre-Engineered Metal Building</t>
  </si>
  <si>
    <t>MATERIAL TAX</t>
  </si>
  <si>
    <t>Earthwork</t>
  </si>
  <si>
    <t>Exterior Improvements</t>
  </si>
  <si>
    <t>Plumbing</t>
  </si>
  <si>
    <t>Electrical</t>
  </si>
  <si>
    <t>Communications</t>
  </si>
  <si>
    <t>DIV-28</t>
  </si>
  <si>
    <t>Asbestos Worker</t>
  </si>
  <si>
    <t>Glazier</t>
  </si>
  <si>
    <t>Ornamental Steel</t>
  </si>
  <si>
    <t>Metals</t>
  </si>
  <si>
    <t>Equipment</t>
  </si>
  <si>
    <t>Specialties</t>
  </si>
  <si>
    <t>Hazardous Material Handler</t>
  </si>
  <si>
    <t>TOTAL COSTS</t>
  </si>
  <si>
    <t>Scope of Work:</t>
  </si>
  <si>
    <t>COST SUMMARY</t>
  </si>
  <si>
    <t>Bond Fee</t>
  </si>
  <si>
    <t>(Adjust the percentage for Bond Fee as required)</t>
  </si>
  <si>
    <t>Window washing (rough # of windows )</t>
  </si>
  <si>
    <t>Total Base Bid:</t>
  </si>
  <si>
    <t xml:space="preserve">Project Type: </t>
  </si>
  <si>
    <t>Labor Cost</t>
  </si>
  <si>
    <t>Material Cost</t>
  </si>
  <si>
    <t>Total Cost</t>
  </si>
  <si>
    <t>General Requirements</t>
  </si>
  <si>
    <t>Existing conditions</t>
  </si>
  <si>
    <t>Masonry</t>
  </si>
  <si>
    <t>Wood, Plastics &amp; Composites</t>
  </si>
  <si>
    <t>Thermal &amp; Moisture Protection</t>
  </si>
  <si>
    <t>Furnishings</t>
  </si>
  <si>
    <t>Heating, Ventilating, &amp; Air conditioning</t>
  </si>
  <si>
    <t>Electronic Safety &amp; Security</t>
  </si>
  <si>
    <t>CSI Division</t>
  </si>
  <si>
    <t>% of sub-total</t>
  </si>
  <si>
    <t>Comparison with Sub-Quotes</t>
  </si>
  <si>
    <t>Div. No.</t>
  </si>
  <si>
    <t>% of sub-total cost</t>
  </si>
  <si>
    <t>For Client's Use Only</t>
  </si>
  <si>
    <t>Staircases and Railings - Wood</t>
  </si>
  <si>
    <t>Staircases and Railings - Metal</t>
  </si>
  <si>
    <t>Dewatering</t>
  </si>
  <si>
    <t>Exterior  improvements</t>
  </si>
  <si>
    <t>Exterior Signage</t>
  </si>
  <si>
    <t>Site Electrical</t>
  </si>
  <si>
    <t>Demo - Site</t>
  </si>
  <si>
    <t>Site Furnishing</t>
  </si>
  <si>
    <t>Z</t>
  </si>
  <si>
    <t>CSI Div.</t>
  </si>
  <si>
    <t>Hourly Rates</t>
  </si>
  <si>
    <r>
      <t xml:space="preserve">Note: </t>
    </r>
    <r>
      <rPr>
        <b/>
        <sz val="12"/>
        <rFont val="Calibri"/>
        <family val="2"/>
        <scheme val="minor"/>
      </rPr>
      <t xml:space="preserve">Adjusting the per hour labor rate in the table below will automatically update the labor pricing for whole project. To bypass the per hour labor rate for a single item, please put the per hour labor rate against that item in column M of relative tab.
</t>
    </r>
  </si>
  <si>
    <t>DIV-00</t>
  </si>
  <si>
    <r>
      <rPr>
        <b/>
        <sz val="16"/>
        <color rgb="FFFF0000"/>
        <rFont val="Times New Roman"/>
        <family val="1"/>
      </rPr>
      <t>Note:</t>
    </r>
    <r>
      <rPr>
        <b/>
        <sz val="16"/>
        <rFont val="Times New Roman"/>
        <family val="1"/>
      </rPr>
      <t xml:space="preserve"> </t>
    </r>
    <r>
      <rPr>
        <sz val="16"/>
        <rFont val="Times New Roman"/>
        <family val="1"/>
      </rPr>
      <t>To change hourly rates for any trade please go to "Hourly Rates" Tab</t>
    </r>
  </si>
  <si>
    <t>Sub-Contractor/Trade List</t>
  </si>
  <si>
    <t>DIV-1</t>
  </si>
  <si>
    <t>Please read the pdf file 'Guidelines to use Excel'  sent with the estimate in the drop box link.</t>
  </si>
  <si>
    <t>Precast Concrete</t>
  </si>
  <si>
    <t>Playground Equipment</t>
  </si>
  <si>
    <t>Demo - Building</t>
  </si>
  <si>
    <t>GC</t>
  </si>
  <si>
    <t>Joint Sealants</t>
  </si>
  <si>
    <t>Mailboxes</t>
  </si>
  <si>
    <t>Concrete - Building</t>
  </si>
  <si>
    <t>Fencing and Gates - Wood</t>
  </si>
  <si>
    <t>Fencing and Gates - Metal</t>
  </si>
  <si>
    <t>Stucco - EIFS</t>
  </si>
  <si>
    <t>Mason - CMU</t>
  </si>
  <si>
    <t>(Adjust the percentage for Material tax as required)</t>
  </si>
  <si>
    <t xml:space="preserve">                                  (Changing the wastage percentage here will update the wastage for whole tab)</t>
  </si>
  <si>
    <t>Garbage Dumpster / Trash Containers</t>
  </si>
  <si>
    <t>BASE BID /ALTERNATES/ALLOWANCES</t>
  </si>
  <si>
    <t>SY</t>
  </si>
  <si>
    <t xml:space="preserve"> ( for Quantities in LF, SF, SY, CY, LBS, TONS)</t>
  </si>
  <si>
    <r>
      <t xml:space="preserve">Geological Report  </t>
    </r>
    <r>
      <rPr>
        <sz val="12"/>
        <color rgb="FFFF0000"/>
        <rFont val="Calibri"/>
        <family val="2"/>
        <scheme val="minor"/>
      </rPr>
      <t>(Assumed By Owner)</t>
    </r>
  </si>
  <si>
    <t>CSI Summary for Base Bid</t>
  </si>
  <si>
    <t>Fencing and Gates - Other</t>
  </si>
  <si>
    <t>Sub-Contractor/Trade Summary for Base Bid</t>
  </si>
  <si>
    <t>Mechanical</t>
  </si>
  <si>
    <t>Mason - Cast Stone</t>
  </si>
  <si>
    <t>Mason - Brick Veneer</t>
  </si>
  <si>
    <t>Paneling - Metal</t>
  </si>
  <si>
    <t>Paneling - Wood</t>
  </si>
  <si>
    <t>Paneling - Other</t>
  </si>
  <si>
    <t>Water Proofing &amp; Damp Proofing</t>
  </si>
  <si>
    <t>Cladding - Metal</t>
  </si>
  <si>
    <t>Cladding - Wood</t>
  </si>
  <si>
    <t>Cladding - Other</t>
  </si>
  <si>
    <t>Wire Shelving</t>
  </si>
  <si>
    <t>Accessories</t>
  </si>
  <si>
    <t>Acoustical and Metal Ceiling</t>
  </si>
  <si>
    <t>Elevator</t>
  </si>
  <si>
    <r>
      <t>Architecture</t>
    </r>
    <r>
      <rPr>
        <sz val="12"/>
        <color rgb="FFFF0000"/>
        <rFont val="Calibri"/>
        <family val="2"/>
        <scheme val="minor"/>
      </rPr>
      <t xml:space="preserve"> (Assumed By Owner)</t>
    </r>
  </si>
  <si>
    <t xml:space="preserve">Toilet Partitions </t>
  </si>
  <si>
    <t>DIV-34</t>
  </si>
  <si>
    <t>CLICK HERE TO GO BACK TO COST SUMMARY</t>
  </si>
  <si>
    <t>Hourly Rates Tab</t>
  </si>
  <si>
    <t>Permit Fee</t>
  </si>
  <si>
    <t>Mobilization/Demobilization (Temporary Control &amp; Facilities)</t>
  </si>
  <si>
    <t>Project Management &amp; Supervision</t>
  </si>
  <si>
    <t>Ceiling - Others</t>
  </si>
  <si>
    <t>Clean - Power Wash</t>
  </si>
  <si>
    <t>Clearing &amp; Grubbing</t>
  </si>
  <si>
    <t>Fire Proofing</t>
  </si>
  <si>
    <t>Folding/Moveable Partition</t>
  </si>
  <si>
    <t>Skylight</t>
  </si>
  <si>
    <t>Traffic Control</t>
  </si>
  <si>
    <r>
      <t>Note:</t>
    </r>
    <r>
      <rPr>
        <b/>
        <sz val="16"/>
        <rFont val="Calibri"/>
        <family val="2"/>
        <scheme val="minor"/>
      </rPr>
      <t xml:space="preserve"> Click on any of the above text to go to the relevant Tab</t>
    </r>
  </si>
  <si>
    <t>Piling</t>
  </si>
  <si>
    <t>BOND FEE</t>
  </si>
  <si>
    <r>
      <t xml:space="preserve">Overhead &amp; Profit </t>
    </r>
    <r>
      <rPr>
        <b/>
        <sz val="13"/>
        <color rgb="FFFF0000"/>
        <rFont val="Calibri"/>
        <family val="2"/>
        <scheme val="minor"/>
      </rPr>
      <t>(Labor)</t>
    </r>
  </si>
  <si>
    <r>
      <t xml:space="preserve">Overhead &amp; Profit / Inflation </t>
    </r>
    <r>
      <rPr>
        <b/>
        <sz val="13"/>
        <color rgb="FFFF0000"/>
        <rFont val="Calibri"/>
        <family val="2"/>
        <scheme val="minor"/>
      </rPr>
      <t>(Material)</t>
    </r>
  </si>
  <si>
    <r>
      <t>OVERHEAD &amp; PROFIT / INFLATION</t>
    </r>
    <r>
      <rPr>
        <b/>
        <sz val="12"/>
        <color rgb="FFFF0000"/>
        <rFont val="Calibri"/>
        <family val="2"/>
        <scheme val="minor"/>
      </rPr>
      <t xml:space="preserve"> (Material)</t>
    </r>
  </si>
  <si>
    <r>
      <t>OVERHEAD &amp; PROF</t>
    </r>
    <r>
      <rPr>
        <b/>
        <sz val="12"/>
        <rFont val="Calibri"/>
        <family val="2"/>
      </rPr>
      <t>IT / INFLATION</t>
    </r>
    <r>
      <rPr>
        <b/>
        <sz val="12"/>
        <color rgb="FFFF0000"/>
        <rFont val="Calibri"/>
        <family val="2"/>
      </rPr>
      <t xml:space="preserve"> (Material)</t>
    </r>
  </si>
  <si>
    <r>
      <t>OVERHEAD &amp; PROFIT</t>
    </r>
    <r>
      <rPr>
        <b/>
        <sz val="12"/>
        <color rgb="FFFF0000"/>
        <rFont val="Calibri"/>
        <family val="2"/>
      </rPr>
      <t xml:space="preserve"> (Labor)</t>
    </r>
  </si>
  <si>
    <t>Division Cost with OH&amp;P &amp; Material Tax</t>
  </si>
  <si>
    <t>Enter Sub-Quotes Below</t>
  </si>
  <si>
    <t>Difference</t>
  </si>
  <si>
    <t>Finalized Bid amount</t>
  </si>
  <si>
    <t>Remarks</t>
  </si>
  <si>
    <r>
      <t xml:space="preserve">OVERHEAD &amp; PROFIT </t>
    </r>
    <r>
      <rPr>
        <b/>
        <sz val="12"/>
        <color rgb="FFFF0000"/>
        <rFont val="Calibri"/>
        <family val="2"/>
        <scheme val="minor"/>
      </rPr>
      <t>(Labor)</t>
    </r>
  </si>
  <si>
    <t>Sub Contractor Cost with OH&amp;P &amp; Material Tax</t>
  </si>
  <si>
    <t>Please don’t edit anything below, without the approval of the Manager (Estimating Department)</t>
  </si>
  <si>
    <t>Heating, Ventilation &amp; Air Conditioning</t>
  </si>
  <si>
    <t>Base bid</t>
  </si>
  <si>
    <t>Existing Conditions</t>
  </si>
  <si>
    <t xml:space="preserve">Hauling of Demo Material offsite </t>
  </si>
  <si>
    <t>Lighting Fixtures</t>
  </si>
  <si>
    <t>Single Pole Switch</t>
  </si>
  <si>
    <t>Switches</t>
  </si>
  <si>
    <t>Power Items</t>
  </si>
  <si>
    <t>Receptacles</t>
  </si>
  <si>
    <t>Outlets</t>
  </si>
  <si>
    <t>Lighting Items</t>
  </si>
  <si>
    <t>Doors</t>
  </si>
  <si>
    <t>Door Hardware</t>
  </si>
  <si>
    <t>A-103,A104</t>
  </si>
  <si>
    <t>Stud Walls</t>
  </si>
  <si>
    <t>Taping</t>
  </si>
  <si>
    <t xml:space="preserve">Mudding Compound </t>
  </si>
  <si>
    <t>Screws</t>
  </si>
  <si>
    <t>Ceiling Finishes</t>
  </si>
  <si>
    <t>Floor Finishes</t>
  </si>
  <si>
    <t>Paint</t>
  </si>
  <si>
    <t>Wall Paint</t>
  </si>
  <si>
    <t>Door Trim</t>
  </si>
  <si>
    <t>Door Paint</t>
  </si>
  <si>
    <t>Trim Paint</t>
  </si>
  <si>
    <t>Paint on Door Trim</t>
  </si>
  <si>
    <t>Furnishing</t>
  </si>
  <si>
    <t>Millwork &amp; Countertop</t>
  </si>
  <si>
    <t xml:space="preserve">Additional Cost Based on Electrical work  Area </t>
  </si>
  <si>
    <t>Surface Mounted Chandler-B3</t>
  </si>
  <si>
    <r>
      <t>Wall Mounted Sconce-Interior-</t>
    </r>
    <r>
      <rPr>
        <b/>
        <sz val="11"/>
        <color theme="1"/>
        <rFont val="Calibri"/>
        <family val="2"/>
        <scheme val="minor"/>
      </rPr>
      <t>C2</t>
    </r>
  </si>
  <si>
    <r>
      <t>Vanity Fixture-</t>
    </r>
    <r>
      <rPr>
        <b/>
        <sz val="11"/>
        <color theme="1"/>
        <rFont val="Calibri"/>
        <family val="2"/>
        <scheme val="minor"/>
      </rPr>
      <t>C1</t>
    </r>
  </si>
  <si>
    <r>
      <t>Recessed Downlight Fixture Wet Locations-</t>
    </r>
    <r>
      <rPr>
        <b/>
        <sz val="11"/>
        <color theme="1"/>
        <rFont val="Calibri"/>
        <family val="2"/>
        <scheme val="minor"/>
      </rPr>
      <t>A2</t>
    </r>
  </si>
  <si>
    <r>
      <t>Pendant Light Fixture On A Fan Rated Junction Box-</t>
    </r>
    <r>
      <rPr>
        <b/>
        <sz val="11"/>
        <color theme="1"/>
        <rFont val="Calibri"/>
        <family val="2"/>
        <scheme val="minor"/>
      </rPr>
      <t>B4</t>
    </r>
  </si>
  <si>
    <r>
      <t>Surface Mounted Fixture-</t>
    </r>
    <r>
      <rPr>
        <b/>
        <sz val="11"/>
        <color theme="1"/>
        <rFont val="Calibri"/>
        <family val="2"/>
        <scheme val="minor"/>
      </rPr>
      <t>B</t>
    </r>
  </si>
  <si>
    <r>
      <t>Pendant Fixture-</t>
    </r>
    <r>
      <rPr>
        <b/>
        <sz val="11"/>
        <color theme="1"/>
        <rFont val="Calibri"/>
        <family val="2"/>
        <scheme val="minor"/>
      </rPr>
      <t>B1</t>
    </r>
  </si>
  <si>
    <r>
      <t>Surface Mounted Fixture-</t>
    </r>
    <r>
      <rPr>
        <b/>
        <sz val="11"/>
        <color theme="1"/>
        <rFont val="Calibri"/>
        <family val="2"/>
        <scheme val="minor"/>
      </rPr>
      <t>B2</t>
    </r>
  </si>
  <si>
    <r>
      <t>Wall Mounted Sconce-Exterior-</t>
    </r>
    <r>
      <rPr>
        <b/>
        <sz val="11"/>
        <color theme="1"/>
        <rFont val="Calibri"/>
        <family val="2"/>
        <scheme val="minor"/>
      </rPr>
      <t>C3</t>
    </r>
  </si>
  <si>
    <r>
      <t>Recessed Downlight Fixture-</t>
    </r>
    <r>
      <rPr>
        <b/>
        <sz val="11"/>
        <color theme="1"/>
        <rFont val="Calibri"/>
        <family val="2"/>
        <scheme val="minor"/>
      </rPr>
      <t>A1</t>
    </r>
  </si>
  <si>
    <t>E0001</t>
  </si>
  <si>
    <t>E0000</t>
  </si>
  <si>
    <t>Duplex Outlet</t>
  </si>
  <si>
    <t>Duplex Receptacle GFCI</t>
  </si>
  <si>
    <t xml:space="preserve">Duplex Receptacle GFCI WP </t>
  </si>
  <si>
    <t>Special Receptacle</t>
  </si>
  <si>
    <t>Special Receptacle GFCI</t>
  </si>
  <si>
    <t>E0002</t>
  </si>
  <si>
    <t>PC:Photoelectric Control Switch</t>
  </si>
  <si>
    <t>120V,1/3 HP,Manual Motor Starter Switch</t>
  </si>
  <si>
    <t>Three-Way Switch</t>
  </si>
  <si>
    <t>240V,1Ph,60A Disconnect Switch</t>
  </si>
  <si>
    <t>30A/2P/240V NEMA 3R Disconnect Switch(WP)</t>
  </si>
  <si>
    <t>Disconnect Switch</t>
  </si>
  <si>
    <t>Four-Way Switch</t>
  </si>
  <si>
    <t>Pit Emergency Stop Switch(WP)</t>
  </si>
  <si>
    <t>Motion Sensor Switch Control</t>
  </si>
  <si>
    <t>Meter</t>
  </si>
  <si>
    <t>Panels</t>
  </si>
  <si>
    <t>200A,120V/240V,1 Phase,3 Wire Panel RP-1</t>
  </si>
  <si>
    <t>200A,12V/240V,1 Phase,3 Wire Panel RP-2</t>
  </si>
  <si>
    <t>100A,120V/240V,1 Phase,3 Wire Panel HP</t>
  </si>
  <si>
    <t>E0003</t>
  </si>
  <si>
    <t>Telephone Jack</t>
  </si>
  <si>
    <t>Data Network Jack</t>
  </si>
  <si>
    <t>Coax Signal jack</t>
  </si>
  <si>
    <t>Exterior Door Bell</t>
  </si>
  <si>
    <t>Sensors</t>
  </si>
  <si>
    <t>Smoke Detector</t>
  </si>
  <si>
    <t>Time Clock</t>
  </si>
  <si>
    <t>Wiring &amp; Conduits</t>
  </si>
  <si>
    <t>Conduits for Lightning Items</t>
  </si>
  <si>
    <t>Wiring for Lightning Items</t>
  </si>
  <si>
    <t>Conduits for Power Items</t>
  </si>
  <si>
    <t>Wiring for Power Items</t>
  </si>
  <si>
    <t>Conduits</t>
  </si>
  <si>
    <t xml:space="preserve">Wiring </t>
  </si>
  <si>
    <t>Kitchen Sink</t>
  </si>
  <si>
    <t>Water Closet</t>
  </si>
  <si>
    <t>Lavatory</t>
  </si>
  <si>
    <t>Shower</t>
  </si>
  <si>
    <t>Bath Tub</t>
  </si>
  <si>
    <t>Floor Drain</t>
  </si>
  <si>
    <t>Hose Bib</t>
  </si>
  <si>
    <t>Water Meter</t>
  </si>
  <si>
    <t>Cold Water Pipe</t>
  </si>
  <si>
    <t>Hot Water Pipe</t>
  </si>
  <si>
    <t>1/2" Dia Hot Water</t>
  </si>
  <si>
    <t xml:space="preserve">3/4" Dia Hot Water </t>
  </si>
  <si>
    <t>1/2" Dia Hot Water Return</t>
  </si>
  <si>
    <t>3/4" Dia Hot Water Return</t>
  </si>
  <si>
    <t xml:space="preserve">1" Dia Hot Water </t>
  </si>
  <si>
    <t xml:space="preserve">1-1/2" Cold Water </t>
  </si>
  <si>
    <t xml:space="preserve">1/2" Cold Water </t>
  </si>
  <si>
    <t xml:space="preserve">1" Dia Cold Water </t>
  </si>
  <si>
    <t>3/4" Dia Cold Water</t>
  </si>
  <si>
    <t>Sanitary pipe</t>
  </si>
  <si>
    <t>4" Dia Sanitary Service</t>
  </si>
  <si>
    <t>3" Dia Sanitary Pipe</t>
  </si>
  <si>
    <t>2" Sanitary Pipe</t>
  </si>
  <si>
    <t xml:space="preserve">Sanitary </t>
  </si>
  <si>
    <t>1-1/2" Dia Vent Pipe</t>
  </si>
  <si>
    <t>2" Dia Vent Pipe</t>
  </si>
  <si>
    <t>3" Dia Vent Pipe</t>
  </si>
  <si>
    <t xml:space="preserve">Gas </t>
  </si>
  <si>
    <t xml:space="preserve">Water </t>
  </si>
  <si>
    <t>Vent pipe</t>
  </si>
  <si>
    <t>Gas Pipe</t>
  </si>
  <si>
    <t>1-1/4" Dia Gas Pipe</t>
  </si>
  <si>
    <t>1-1/2" Gas Pipe</t>
  </si>
  <si>
    <t>3/4" Dia Gas Pipe</t>
  </si>
  <si>
    <t>1" Dia Gas Pipe</t>
  </si>
  <si>
    <t>P0001,P0002</t>
  </si>
  <si>
    <t>P0003</t>
  </si>
  <si>
    <t>P0004</t>
  </si>
  <si>
    <t>Storm</t>
  </si>
  <si>
    <t>Storm Pipe</t>
  </si>
  <si>
    <t>3" Storm Service</t>
  </si>
  <si>
    <t>4" Storm Service</t>
  </si>
  <si>
    <t>1.5" Water Service</t>
  </si>
  <si>
    <t>1.5" Fire Service</t>
  </si>
  <si>
    <t>1-1/4" Dia Fire Pipe</t>
  </si>
  <si>
    <t>Ball Valve</t>
  </si>
  <si>
    <t>Check Valve</t>
  </si>
  <si>
    <t>Backflow Preventer WATTS(ASSE 1015)</t>
  </si>
  <si>
    <t>Cleanout</t>
  </si>
  <si>
    <t>Gas Cock</t>
  </si>
  <si>
    <t>Back Water Valve</t>
  </si>
  <si>
    <t>Valves</t>
  </si>
  <si>
    <t>Plumbing Fixtures</t>
  </si>
  <si>
    <r>
      <t>Tankless Water Heater</t>
    </r>
    <r>
      <rPr>
        <b/>
        <sz val="12"/>
        <color theme="1"/>
        <rFont val="Calibri"/>
        <family val="2"/>
        <scheme val="minor"/>
      </rPr>
      <t>-TWH-1
MFR:AO Smith
Model No:ATI-540P-N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>(200000 BTU)</t>
    </r>
  </si>
  <si>
    <r>
      <t>Tankless Water Heater</t>
    </r>
    <r>
      <rPr>
        <b/>
        <sz val="12"/>
        <color theme="1"/>
        <rFont val="Calibri"/>
        <family val="2"/>
        <scheme val="minor"/>
      </rPr>
      <t>-TWH-2
MFR:AO Smith
Model No:ATI-240H-N
(160000 BTU)</t>
    </r>
  </si>
  <si>
    <t xml:space="preserve">Additional Cost Based on Plumbing work Area </t>
  </si>
  <si>
    <t>Washer</t>
  </si>
  <si>
    <t>Dryer</t>
  </si>
  <si>
    <t>Washer/Dryer</t>
  </si>
  <si>
    <t>Dishwasher</t>
  </si>
  <si>
    <t>Cooking Range</t>
  </si>
  <si>
    <t>Refrigerator</t>
  </si>
  <si>
    <t>A1100</t>
  </si>
  <si>
    <t>2'W Countertop</t>
  </si>
  <si>
    <t>2'W Base Cabinets</t>
  </si>
  <si>
    <t>1'-10"W Countertop</t>
  </si>
  <si>
    <t>(4'-8"Lx3'-6"W)Walk In Closet</t>
  </si>
  <si>
    <t>(6'-6"X5'-5")Walk in Closet</t>
  </si>
  <si>
    <t>(7'-2"x3'-0")Walk In Closet</t>
  </si>
  <si>
    <t>A1100,A1101</t>
  </si>
  <si>
    <t>Symmetry Residence Elevator(H=30')
Model:90-RR-LH-RH-Model Inline Gear Drive w/MRL Controller
Size:36"x48"</t>
  </si>
  <si>
    <t>Partition Wall Type 14A(10'-0"H)</t>
  </si>
  <si>
    <t>Partition Wall Type 07-1R(10'-0"H)</t>
  </si>
  <si>
    <t>Partition Wall Type 01(9'-1"H)</t>
  </si>
  <si>
    <t>Partition Wall Type 01A(9'-1"H)</t>
  </si>
  <si>
    <t>Partition Wall Type 03(9'-1"H)</t>
  </si>
  <si>
    <t>Partition Wall Type 08-1R(10'-0"H)</t>
  </si>
  <si>
    <t>Partition Wall Type 07-1R(10'-8"H)</t>
  </si>
  <si>
    <t>Partition Wall Type 07-1R(7'-10"H)</t>
  </si>
  <si>
    <t>Partition Wall Type 07-1R(9'-6"H)</t>
  </si>
  <si>
    <t>Partition Wall Type 07-1R(10'-2"H)</t>
  </si>
  <si>
    <t>Partition Wall Type 01A(9'-10"H)</t>
  </si>
  <si>
    <t>Partition Wall Type 01(9'-10"H)</t>
  </si>
  <si>
    <t>Partition Wall Type 03(9'-10"H)</t>
  </si>
  <si>
    <t>Parapet Wall(2'-6"H)</t>
  </si>
  <si>
    <t>Parapet Wall (2'H)</t>
  </si>
  <si>
    <t>Parapet Wall(2'-4"H)</t>
  </si>
  <si>
    <t xml:space="preserve">2x6x10 Top plate </t>
  </si>
  <si>
    <t>2x6x10 Top plate</t>
  </si>
  <si>
    <t xml:space="preserve">2x6x10 Sole plate </t>
  </si>
  <si>
    <t xml:space="preserve">2x6x10 Pressure Treated Sole plate </t>
  </si>
  <si>
    <t>2x6 Wood Studs @16"O.C.</t>
  </si>
  <si>
    <t>R-21 Insulation</t>
  </si>
  <si>
    <t>1/2" Wood Sheathing</t>
  </si>
  <si>
    <t>Acoustical Sealant at top and bottom of walls on each side</t>
  </si>
  <si>
    <t>2x4x10 Top plate</t>
  </si>
  <si>
    <t xml:space="preserve">2x4x10 Pressure Treated Sole plate </t>
  </si>
  <si>
    <t>2x4x10 Wood Studs @16"O.C.</t>
  </si>
  <si>
    <t>2x6x10 Wood Studs @16"O.C.</t>
  </si>
  <si>
    <t>2x6x12 Top plate</t>
  </si>
  <si>
    <t>2x6x12 Wood Studs @16"O.C.</t>
  </si>
  <si>
    <t>2x6x8 Top plate</t>
  </si>
  <si>
    <t>2x6x8 Wood Studs @16"O.C.</t>
  </si>
  <si>
    <t>1/2" Gypsum Board</t>
  </si>
  <si>
    <t>R-15 Insulation</t>
  </si>
  <si>
    <t>2x6x8 Bottom plate</t>
  </si>
  <si>
    <t>1/2" Sheathing</t>
  </si>
  <si>
    <t>Parapet Wall(4'H)</t>
  </si>
  <si>
    <t xml:space="preserve">2x4x10  Sole plate </t>
  </si>
  <si>
    <t xml:space="preserve">2x4x10 Sole plate </t>
  </si>
  <si>
    <t xml:space="preserve">2x6x12 Sole plate </t>
  </si>
  <si>
    <t xml:space="preserve">2x6x8 Sole plate </t>
  </si>
  <si>
    <t>A6101</t>
  </si>
  <si>
    <t>S2201</t>
  </si>
  <si>
    <t>Toilet Accessories</t>
  </si>
  <si>
    <t>36" Horizontal Grab bar</t>
  </si>
  <si>
    <t>Mirror</t>
  </si>
  <si>
    <t>Soap Dispenser</t>
  </si>
  <si>
    <t>Tissue Paper Holder</t>
  </si>
  <si>
    <t>Foyer Flooring</t>
  </si>
  <si>
    <t>Living Room Flooring</t>
  </si>
  <si>
    <t>Bedroom Flooring</t>
  </si>
  <si>
    <t>Closet Flooring</t>
  </si>
  <si>
    <t>Laundry Flooring</t>
  </si>
  <si>
    <t>Landing Flooring</t>
  </si>
  <si>
    <t>Closet Wall Base</t>
  </si>
  <si>
    <t>Landing Wall base</t>
  </si>
  <si>
    <t>Bedroom Wall Base</t>
  </si>
  <si>
    <t>Foyer Wall Base</t>
  </si>
  <si>
    <t>Kitchen Flooring</t>
  </si>
  <si>
    <r>
      <t>1/2" Gypsum Board Ceiling</t>
    </r>
    <r>
      <rPr>
        <sz val="12"/>
        <color rgb="FFFF0000"/>
        <rFont val="Calibri"/>
        <family val="2"/>
        <scheme val="minor"/>
      </rPr>
      <t>(9'-1" AFF)</t>
    </r>
  </si>
  <si>
    <r>
      <t>1/2" Gypsum Board Ceiling</t>
    </r>
    <r>
      <rPr>
        <sz val="12"/>
        <color rgb="FFFF0000"/>
        <rFont val="Calibri"/>
        <family val="2"/>
        <scheme val="minor"/>
      </rPr>
      <t>(9'-6" AFF)</t>
    </r>
  </si>
  <si>
    <t>Hall Wall Base</t>
  </si>
  <si>
    <t>Hall Flooring</t>
  </si>
  <si>
    <t>Kitchen Wall Base</t>
  </si>
  <si>
    <t>Living Room Wall Base</t>
  </si>
  <si>
    <t>Laundry Wall Base</t>
  </si>
  <si>
    <t>Paint on Partition Walls</t>
  </si>
  <si>
    <t>Wood, Plastic &amp; Composite</t>
  </si>
  <si>
    <t>Stairs</t>
  </si>
  <si>
    <t>36"H Handrail with (1-1/2") Dia Top Rail</t>
  </si>
  <si>
    <t>2x12 Wood Stringer</t>
  </si>
  <si>
    <t>A4201,A4202</t>
  </si>
  <si>
    <t>(3'-0"x7'-0")Composite/Glass Door with Comp Frame</t>
  </si>
  <si>
    <t>(2'-10"x7'-6")Composite/Glass Door with Comp Frame</t>
  </si>
  <si>
    <t>(4'-6-1/2"x7'-6")Composite/Glass Door with Comp Frame</t>
  </si>
  <si>
    <t>(3'-0"x7'-6")Composite/Glass Door with Comp Frame</t>
  </si>
  <si>
    <t>(7'-6"x7'-6")Composite/Glass Door with Comp Frame</t>
  </si>
  <si>
    <t>(12'-8-1/2"x7'-6")Composite/Glass Door with Comp Frame</t>
  </si>
  <si>
    <t>(2'-6"x5'-10")Masonite Door with Comp Frame</t>
  </si>
  <si>
    <t>(2'-10"x7'-6")Masonite Door with Wood Frame</t>
  </si>
  <si>
    <t>(2'-6"x7'-6")Masonite Door with Wood Frame</t>
  </si>
  <si>
    <t>(3'-0"x7'-6")Masonite Door with Wood Frame</t>
  </si>
  <si>
    <t>(2'-0"x7'-6")Masonite Door with Wood Frame</t>
  </si>
  <si>
    <t>(4'-0"x7'-6")Masonite Door with Wood Frame</t>
  </si>
  <si>
    <t>(5'-0"x7'-6")Masonite Door with Wood Frame</t>
  </si>
  <si>
    <t>(2'-6"x5'-6")Masonite Door with Wood Frame</t>
  </si>
  <si>
    <t>(2'-0"x4'-6")Masonite Door with Wood Frame</t>
  </si>
  <si>
    <t>A7101</t>
  </si>
  <si>
    <t>Windows</t>
  </si>
  <si>
    <r>
      <t>(7'-6"x2'-5-3/4")Window-</t>
    </r>
    <r>
      <rPr>
        <b/>
        <sz val="12"/>
        <rFont val="Calibri"/>
        <family val="2"/>
        <scheme val="minor"/>
      </rPr>
      <t>09</t>
    </r>
  </si>
  <si>
    <r>
      <t>(7'-6"x1'-7-3/4")Window-</t>
    </r>
    <r>
      <rPr>
        <b/>
        <sz val="12"/>
        <rFont val="Calibri"/>
        <family val="2"/>
        <scheme val="minor"/>
      </rPr>
      <t>08</t>
    </r>
  </si>
  <si>
    <r>
      <t>(2'-6"x6'-3")Window-</t>
    </r>
    <r>
      <rPr>
        <b/>
        <sz val="12"/>
        <rFont val="Calibri"/>
        <family val="2"/>
        <scheme val="minor"/>
      </rPr>
      <t>01</t>
    </r>
  </si>
  <si>
    <r>
      <t>(2'-0"x5'-0")Window-</t>
    </r>
    <r>
      <rPr>
        <b/>
        <sz val="12"/>
        <rFont val="Calibri"/>
        <family val="2"/>
        <scheme val="minor"/>
      </rPr>
      <t>02</t>
    </r>
  </si>
  <si>
    <r>
      <t>(7'-9"x1'-6")Window-</t>
    </r>
    <r>
      <rPr>
        <b/>
        <sz val="12"/>
        <rFont val="Calibri"/>
        <family val="2"/>
        <scheme val="minor"/>
      </rPr>
      <t>04</t>
    </r>
  </si>
  <si>
    <r>
      <t>(2'-6"x5'-2")Window-</t>
    </r>
    <r>
      <rPr>
        <b/>
        <sz val="12"/>
        <rFont val="Calibri"/>
        <family val="2"/>
        <scheme val="minor"/>
      </rPr>
      <t>05</t>
    </r>
  </si>
  <si>
    <r>
      <t>(2'-0"x5'-0")Window-</t>
    </r>
    <r>
      <rPr>
        <b/>
        <sz val="12"/>
        <rFont val="Calibri"/>
        <family val="2"/>
        <scheme val="minor"/>
      </rPr>
      <t>06</t>
    </r>
  </si>
  <si>
    <r>
      <t>(7'-6"x5'-0")Window-</t>
    </r>
    <r>
      <rPr>
        <b/>
        <sz val="12"/>
        <rFont val="Calibri"/>
        <family val="2"/>
        <scheme val="minor"/>
      </rPr>
      <t>07</t>
    </r>
  </si>
  <si>
    <t>A7201</t>
  </si>
  <si>
    <t>Domestic water Pipe Shall Be Type "L" Hard-Drawn Temper</t>
  </si>
  <si>
    <t>Exterior Paint</t>
  </si>
  <si>
    <t>Hydrostatic paint on CMU, color to match siding</t>
  </si>
  <si>
    <t>A2103</t>
  </si>
  <si>
    <t>3/A5001</t>
  </si>
  <si>
    <t>Site Grading</t>
  </si>
  <si>
    <t>Stone Stoop</t>
  </si>
  <si>
    <t>Excavation</t>
  </si>
  <si>
    <t>Backfill</t>
  </si>
  <si>
    <t>Wood Fence</t>
  </si>
  <si>
    <t>Drainage Basin</t>
  </si>
  <si>
    <t>Utility Piping</t>
  </si>
  <si>
    <t>Excavation for (4" Dia.) SCH40 PVC Sanitary sewer service</t>
  </si>
  <si>
    <t xml:space="preserve">Excavation for (1.5" Dia.) Type 'K' Copper domestic service lateral </t>
  </si>
  <si>
    <t>Excavation for (1.5" Dia.) Type 'K' Copper fire service lateral</t>
  </si>
  <si>
    <t>Excavation for (1.5" Dia.) Type 'K' DC water combined copper service lateral</t>
  </si>
  <si>
    <t>Excavation for (6" Dia.) SCH40 PVC Storm sewer lateral</t>
  </si>
  <si>
    <t>Excavation for (4" Dia.) SCH40 PVC Sanitary sewer lateral</t>
  </si>
  <si>
    <t xml:space="preserve">Backfill/ Bedding: </t>
  </si>
  <si>
    <t>Backfill for (4" Dia.) SCH40 PVC Sanitary sewer service</t>
  </si>
  <si>
    <t>Backfill for (1.5" Dia.) Type 'K' Copper domestic service lateral</t>
  </si>
  <si>
    <t>Backfill for (1.5" Dia.) Type 'K' Copper fire service lateral</t>
  </si>
  <si>
    <t>Backfill for (1.5" Dia.) Type 'K' DC water combined copper service lateral</t>
  </si>
  <si>
    <t>Backfill for (6" Dia.) SCH40 PVC Storm sewer lateral</t>
  </si>
  <si>
    <t>Backfill for (4" Dia.) SCH40 PVC Sanitary sewer lateral</t>
  </si>
  <si>
    <t>Bedding for (4" Dia.) SCH40 PVC Sanitary sewer service</t>
  </si>
  <si>
    <t xml:space="preserve">Bedding for (1.5" Dia.) Type 'K' Copper domestic service lateral </t>
  </si>
  <si>
    <t>Bedding for (1.5" Dia.) Type 'K' Copper fire service lateral</t>
  </si>
  <si>
    <t>Bedding for (1.5" Dia.) Type 'K' DC water combined copper service lateral</t>
  </si>
  <si>
    <t>Bedding for (6" Dia.) SCH40 PVC Storm sewer lateral</t>
  </si>
  <si>
    <t>Bedding for (4" Dia.) SCH40 PVC Sanitary sewer lateral</t>
  </si>
  <si>
    <t>Sheeting/ shoring for pipe trenching</t>
  </si>
  <si>
    <t>Sump Pit</t>
  </si>
  <si>
    <t xml:space="preserve">Excavation </t>
  </si>
  <si>
    <t>Stone backfill</t>
  </si>
  <si>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Pipe diameter for suction line is assumed to be 4"</t>
    </r>
  </si>
  <si>
    <t>Soil export (Fluff Factor Applied)</t>
  </si>
  <si>
    <t>Utility Trench Compaction</t>
  </si>
  <si>
    <t>Land Clearing and Grubbing</t>
  </si>
  <si>
    <t>CIV-110</t>
  </si>
  <si>
    <t xml:space="preserve">Keynote 3 </t>
  </si>
  <si>
    <t>CIV-210</t>
  </si>
  <si>
    <t>CIV-220</t>
  </si>
  <si>
    <t>CIV-300</t>
  </si>
  <si>
    <t>CIV-200, CIV-210</t>
  </si>
  <si>
    <t>Fences and Gates</t>
  </si>
  <si>
    <t>(6'H) Wood slat fence w/
- Wood posts = 16 EA</t>
  </si>
  <si>
    <r>
      <t xml:space="preserve">Wood fence around proposed AC unit location w/
- Wood posts = 3 EA
</t>
    </r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Assumed.</t>
    </r>
  </si>
  <si>
    <r>
      <t xml:space="preserve">(1'x1'x2'Thk.) Concrete footing for wood posts </t>
    </r>
    <r>
      <rPr>
        <sz val="12"/>
        <color rgb="FFFF0000"/>
        <rFont val="Calibri"/>
        <family val="2"/>
        <scheme val="minor"/>
      </rPr>
      <t>(Assumed)</t>
    </r>
  </si>
  <si>
    <t>Pavements</t>
  </si>
  <si>
    <t>(5" Thk.) Class 'F' concrete pavement, 3500 PSI</t>
  </si>
  <si>
    <t xml:space="preserve">(6"x6") W2.9xW2.9 Steel WWF </t>
  </si>
  <si>
    <t>(4" Thk.) Compacted aggregate base</t>
  </si>
  <si>
    <t>Light broom finish on concrete pavement</t>
  </si>
  <si>
    <t>(Min. 1/4"x1/4") Control joint @ 6' apart</t>
  </si>
  <si>
    <t>(1/2"W) Sealed cork expansion joint</t>
  </si>
  <si>
    <t>Mill and overlay asphalt pavement top layer</t>
  </si>
  <si>
    <t>(4'Wx1' Thk.) Stone stoop tread w/
- (6"H) Risers = 2 EA</t>
  </si>
  <si>
    <t>(1'Wx2'D) Concrete footing</t>
  </si>
  <si>
    <t>#4 Rebar</t>
  </si>
  <si>
    <t>Landscaping</t>
  </si>
  <si>
    <r>
      <t xml:space="preserve">Mulch for planting bed </t>
    </r>
    <r>
      <rPr>
        <sz val="12"/>
        <color rgb="FFFF0000"/>
        <rFont val="Calibri"/>
        <family val="2"/>
        <scheme val="minor"/>
      </rPr>
      <t>(Assumed)</t>
    </r>
  </si>
  <si>
    <r>
      <t xml:space="preserve">(1' Thk.) Top soil for planting bed </t>
    </r>
    <r>
      <rPr>
        <sz val="12"/>
        <color rgb="FFFF0000"/>
        <rFont val="Calibri"/>
        <family val="2"/>
        <scheme val="minor"/>
      </rPr>
      <t>(Assumed)</t>
    </r>
  </si>
  <si>
    <r>
      <t xml:space="preserve">(2'H) Planter wall in shared court
</t>
    </r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rFont val="Calibri"/>
        <family val="2"/>
        <scheme val="minor"/>
      </rPr>
      <t>Wall height is assumed.</t>
    </r>
  </si>
  <si>
    <r>
      <t xml:space="preserve">(1'6"H) Planter wall in public space
</t>
    </r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rFont val="Calibri"/>
        <family val="2"/>
        <scheme val="minor"/>
      </rPr>
      <t>Wall height is assumed.</t>
    </r>
  </si>
  <si>
    <t>Tree protection fence</t>
  </si>
  <si>
    <t>Temporary seeding/ stabilization for disturbed site area</t>
  </si>
  <si>
    <t>Sediment Control</t>
  </si>
  <si>
    <t>(12") Filter sock</t>
  </si>
  <si>
    <t>(1'10"H) Silt fence, (Min. 1'4") embedded in ground w/
- Filter cloth</t>
  </si>
  <si>
    <t>(4'D) Sump pit for suction line</t>
  </si>
  <si>
    <t>Portable sediment tank w/
- Steel drum support</t>
  </si>
  <si>
    <t>Pavement Restoration</t>
  </si>
  <si>
    <t>Restore (Approx. 9" Thk.) concrete pavement</t>
  </si>
  <si>
    <t>Restore (Approx. 11" Thk.) asphalt pavement</t>
  </si>
  <si>
    <t>Restore (1'6"W) curb and gutter</t>
  </si>
  <si>
    <t>Keynote 32.KB/A1100</t>
  </si>
  <si>
    <t>Legend</t>
  </si>
  <si>
    <t>CIV-200</t>
  </si>
  <si>
    <t>CIV-000</t>
  </si>
  <si>
    <t>Pavement note 5/CIV-000</t>
  </si>
  <si>
    <t>Keynote 2</t>
  </si>
  <si>
    <t>CIV-500</t>
  </si>
  <si>
    <t>CIV-510</t>
  </si>
  <si>
    <t>CIV-512</t>
  </si>
  <si>
    <t>CIV-511</t>
  </si>
  <si>
    <t>Piping</t>
  </si>
  <si>
    <t>(4" Dia.) SCH40 PVC Sanitary sewer service</t>
  </si>
  <si>
    <t>(1.5" Dia.) Type 'K' Copper domestic service lateral w/ curb stop</t>
  </si>
  <si>
    <t>(1.5" Dia.) Type 'K' Copper fire service lateral</t>
  </si>
  <si>
    <t>(1.5" Dia.) Type 'K' DC water combined copper service lateral</t>
  </si>
  <si>
    <t>(6" Dia.) SCH40 PVC Storm sewer lateral</t>
  </si>
  <si>
    <t>(4" Dia.) SCH40 PVC Sanitary sewer lateral</t>
  </si>
  <si>
    <r>
      <t xml:space="preserve">(8" Dia.x5'D) Nyloplast drainage basin w/ grate inlet 
</t>
    </r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Depth is assumed.</t>
    </r>
  </si>
  <si>
    <t>Trench Drain</t>
  </si>
  <si>
    <r>
      <t xml:space="preserve">(6"W) Trench drain 
</t>
    </r>
    <r>
      <rPr>
        <b/>
        <sz val="12"/>
        <rFont val="Calibri"/>
        <family val="2"/>
        <scheme val="minor"/>
      </rPr>
      <t xml:space="preserve">Manuf.: </t>
    </r>
    <r>
      <rPr>
        <sz val="12"/>
        <rFont val="Calibri"/>
        <family val="2"/>
        <scheme val="minor"/>
      </rPr>
      <t xml:space="preserve">'KLASSIKDRAIN' K100 </t>
    </r>
  </si>
  <si>
    <t>(4") Storm sewer cleanout</t>
  </si>
  <si>
    <t>(4") Sanitary sewer cleanout</t>
  </si>
  <si>
    <t>Meters</t>
  </si>
  <si>
    <t>Gas meter</t>
  </si>
  <si>
    <t>(Min. 8") Borrow aggregate ASTM C33 at bottom of water meter assembly</t>
  </si>
  <si>
    <t>Tee/ Connections/ Valves</t>
  </si>
  <si>
    <t>(1.5"x1.5") Tee for (1.5" Dia.) Type 'K' Copper fire service lateral</t>
  </si>
  <si>
    <t>Connect (1.5" Dia.) Type 'K' DC water combined copper service lateral to (6" Dia.) Main water line w/ corporation stop</t>
  </si>
  <si>
    <t>Tie (6" Dia.) SCH40 PVC storm sewer lateral to existing (12" Dia.) CS main w/ 
- 45 Deg. Bend 
- (6"x12") Eccentric wye branch connection</t>
  </si>
  <si>
    <t>Tie (4" Dia.) SCH40 PVC sanitary sewer lateral to existing (12" Dia.) CS main w/ 
- 45 Deg. Bend 
- (4"x12") Eccentric wye branch connection</t>
  </si>
  <si>
    <t>Tie (4" Dia.) PVC sanitary sewer to building</t>
  </si>
  <si>
    <t>Tie (4" Dia.) PVC sanitary sewer to trench drain</t>
  </si>
  <si>
    <t>Elbow for (4" Dia.) SCH40 PVC Sanitary sewer lateral</t>
  </si>
  <si>
    <t>Elbow for (6" Dia.) SCH40 PVC Storm sewer lateral</t>
  </si>
  <si>
    <t>Keynote 1</t>
  </si>
  <si>
    <t>Keynote 3</t>
  </si>
  <si>
    <t>Keynote 4</t>
  </si>
  <si>
    <t>Keynote 5</t>
  </si>
  <si>
    <t>CIV-320</t>
  </si>
  <si>
    <t>A0101</t>
  </si>
  <si>
    <t>Keynote 4 &amp; 5</t>
  </si>
  <si>
    <r>
      <t>(5'-0"x2'-5-3/4")Window-</t>
    </r>
    <r>
      <rPr>
        <b/>
        <sz val="12"/>
        <rFont val="Calibri"/>
        <family val="2"/>
        <scheme val="minor"/>
      </rPr>
      <t>10</t>
    </r>
  </si>
  <si>
    <r>
      <t>(5'-0"x6'-0")Window-</t>
    </r>
    <r>
      <rPr>
        <b/>
        <sz val="12"/>
        <rFont val="Calibri"/>
        <family val="2"/>
        <scheme val="minor"/>
      </rPr>
      <t>15</t>
    </r>
  </si>
  <si>
    <r>
      <t>(2'-0"x2'-11-3/4")Window With Frosted Safety Glass-</t>
    </r>
    <r>
      <rPr>
        <b/>
        <sz val="12"/>
        <rFont val="Calibri"/>
        <family val="2"/>
        <scheme val="minor"/>
      </rPr>
      <t>14</t>
    </r>
  </si>
  <si>
    <r>
      <t>(5'-0"x6'-0")Window-</t>
    </r>
    <r>
      <rPr>
        <b/>
        <sz val="12"/>
        <rFont val="Calibri"/>
        <family val="2"/>
        <scheme val="minor"/>
      </rPr>
      <t>13</t>
    </r>
  </si>
  <si>
    <r>
      <t>(2'-6"x2'-11-3/4")Window-</t>
    </r>
    <r>
      <rPr>
        <b/>
        <sz val="12"/>
        <rFont val="Calibri"/>
        <family val="2"/>
        <scheme val="minor"/>
      </rPr>
      <t>10</t>
    </r>
  </si>
  <si>
    <t>Thermal And Moisture Protection</t>
  </si>
  <si>
    <t>Exterior Finishes</t>
  </si>
  <si>
    <t>Furring Strips</t>
  </si>
  <si>
    <t>(1" Thk.) Rigid insulation</t>
  </si>
  <si>
    <t>Moisture Barrier</t>
  </si>
  <si>
    <t>(1/8" Thk.) Moisture barrier, Tyvek house wrap</t>
  </si>
  <si>
    <t>(1/4" Thk.) Moisture barrier, Tyvek house wrap</t>
  </si>
  <si>
    <t>Foundation Wall Perimeter</t>
  </si>
  <si>
    <t>S.S. Thru wall flashing</t>
  </si>
  <si>
    <r>
      <t xml:space="preserve">(2-5/8"H) Termination bar w/ (1-1/4") shot pin Hilti 
</t>
    </r>
    <r>
      <rPr>
        <b/>
        <sz val="12"/>
        <rFont val="Calibri"/>
        <family val="2"/>
        <scheme val="minor"/>
      </rPr>
      <t>Termination Bar Manuf.:</t>
    </r>
    <r>
      <rPr>
        <sz val="12"/>
        <rFont val="Calibri"/>
        <family val="2"/>
        <scheme val="minor"/>
      </rPr>
      <t xml:space="preserve"> Sureterm</t>
    </r>
  </si>
  <si>
    <t>(8"L) Metal termite shield</t>
  </si>
  <si>
    <t>Caulking around termite shield</t>
  </si>
  <si>
    <t>Scaffolding/Lifts Exterior For James Hardie Paneling (Avg. Height = 20')</t>
  </si>
  <si>
    <t>A2101-A2103</t>
  </si>
  <si>
    <t>Keynotes</t>
  </si>
  <si>
    <t>1/A5001</t>
  </si>
  <si>
    <t>2/A5001</t>
  </si>
  <si>
    <t>Brick Veneer</t>
  </si>
  <si>
    <t>(3-5/8" Thk.) Brick work</t>
  </si>
  <si>
    <t>(1"H) Soldier course brick</t>
  </si>
  <si>
    <t>(4"H) Brick opening sill</t>
  </si>
  <si>
    <t>(8"H) Soldier course opening header</t>
  </si>
  <si>
    <t>Masonry wall anchors @ 16" O.C.</t>
  </si>
  <si>
    <t>Masonry weep @ 24" O.C.</t>
  </si>
  <si>
    <t>Mortar net</t>
  </si>
  <si>
    <t>Scaffolding/lift for Exterior Brick Work (Avg. Height = 16'6")</t>
  </si>
  <si>
    <t>Site Demolition</t>
  </si>
  <si>
    <t>Remove wood fence</t>
  </si>
  <si>
    <r>
      <t xml:space="preserve">Remove (8" Thk.) retaining block wall
</t>
    </r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4' Height is assumed.</t>
    </r>
  </si>
  <si>
    <t>Remove trees 
- Coordinate removal with Trudy Scott</t>
  </si>
  <si>
    <r>
      <t xml:space="preserve">Sawcut concrete paver pavement
</t>
    </r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Pavement is assumed to be concrete pavers.</t>
    </r>
  </si>
  <si>
    <r>
      <t xml:space="preserve">Demolish (Approx. 9" Thk.) concrete paver pavement
</t>
    </r>
    <r>
      <rPr>
        <b/>
        <sz val="12"/>
        <color rgb="FFFF0000"/>
        <rFont val="Calibri"/>
        <family val="2"/>
        <scheme val="minor"/>
      </rPr>
      <t>Note: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Pavement is assumed to be concrete pavers.</t>
    </r>
  </si>
  <si>
    <t>Remove gravel pavement/ area</t>
  </si>
  <si>
    <t>Remove planter area</t>
  </si>
  <si>
    <t>Sawcut concrete sidewalk</t>
  </si>
  <si>
    <t>Remove (Approx. 9" Thk.) concrete sidewalk</t>
  </si>
  <si>
    <t>Sawcut asphalt pavement</t>
  </si>
  <si>
    <t>Remove (Approx. 11" Thk.) asphalt pavement</t>
  </si>
  <si>
    <t>Remove (1'6"W) curb and gutter</t>
  </si>
  <si>
    <t xml:space="preserve">Demo. Keynote 1 </t>
  </si>
  <si>
    <t xml:space="preserve">Demo. Keynote 2 </t>
  </si>
  <si>
    <t xml:space="preserve">Demo. Keynote 4 </t>
  </si>
  <si>
    <t xml:space="preserve">Demo. Keynote 5 </t>
  </si>
  <si>
    <t xml:space="preserve">Demo. Keynote 6 </t>
  </si>
  <si>
    <t>Ramp</t>
  </si>
  <si>
    <t>3'H Handrail</t>
  </si>
  <si>
    <t>A4301</t>
  </si>
  <si>
    <t>Concrete Cont. Footing</t>
  </si>
  <si>
    <r>
      <t xml:space="preserve">(24" Wide X 10" Deep) Concrete Cont. Footing </t>
    </r>
    <r>
      <rPr>
        <b/>
        <sz val="12"/>
        <rFont val="Calibri"/>
        <family val="2"/>
        <scheme val="minor"/>
      </rPr>
      <t>(287 LF)</t>
    </r>
  </si>
  <si>
    <t>(3) #4 Cont. Bars.</t>
  </si>
  <si>
    <r>
      <t>#4 Dowel Bar @48" O.C</t>
    </r>
    <r>
      <rPr>
        <b/>
        <sz val="12"/>
        <rFont val="Calibri"/>
        <family val="2"/>
        <scheme val="minor"/>
      </rPr>
      <t xml:space="preserve"> (3.58 LF)</t>
    </r>
  </si>
  <si>
    <t>Concrete Slab</t>
  </si>
  <si>
    <t>(6x6)  W2.0 XW 2.0  WWF</t>
  </si>
  <si>
    <t>4" Gravel Fill on Stable Soil</t>
  </si>
  <si>
    <r>
      <t xml:space="preserve">(6") Thick Concrete Slab </t>
    </r>
    <r>
      <rPr>
        <b/>
        <sz val="12"/>
        <rFont val="Calibri"/>
        <family val="2"/>
        <scheme val="minor"/>
      </rPr>
      <t>(20 SF)</t>
    </r>
  </si>
  <si>
    <t>6 Mil Poly Vapor Barrier</t>
  </si>
  <si>
    <t>Misc. Items</t>
  </si>
  <si>
    <t>Expansion joint Between New Building &amp; Neighboring Building</t>
  </si>
  <si>
    <t>Caulking the Joint B/W The Slab and The Wall</t>
  </si>
  <si>
    <t>Moisture Barrier:</t>
  </si>
  <si>
    <t>Drainage Board  for Concrete Cont. footing</t>
  </si>
  <si>
    <t>Rigid Insulation(R-10) for Concrete Cont. Footing</t>
  </si>
  <si>
    <t>Formwork:</t>
  </si>
  <si>
    <t>Formwork for cont. footing</t>
  </si>
  <si>
    <t>Formwork for concrete slab</t>
  </si>
  <si>
    <t>Mobilization</t>
  </si>
  <si>
    <t>Mobilization For Steel/Reinforcement</t>
  </si>
  <si>
    <t>S1100</t>
  </si>
  <si>
    <t>S2200</t>
  </si>
  <si>
    <t>Note F3</t>
  </si>
  <si>
    <t>S1101,S1101,S1102</t>
  </si>
  <si>
    <t>Note F1,S1.T1</t>
  </si>
  <si>
    <t>S1101</t>
  </si>
  <si>
    <t>Note F4</t>
  </si>
  <si>
    <t>A5001</t>
  </si>
  <si>
    <t>CMU Footing Wall</t>
  </si>
  <si>
    <t>2" Dia Weep Holes at 48"O.C in CMU Wall</t>
  </si>
  <si>
    <t>Note 4</t>
  </si>
  <si>
    <t>Note 8</t>
  </si>
  <si>
    <t>S10</t>
  </si>
  <si>
    <t>S2200, A5001</t>
  </si>
  <si>
    <t>S8</t>
  </si>
  <si>
    <t>S1102</t>
  </si>
  <si>
    <t>T9</t>
  </si>
  <si>
    <t>Header Beams</t>
  </si>
  <si>
    <t>1 3/4" x 9 1/2" LVL Header Beam</t>
  </si>
  <si>
    <t>1 3/4"x14" LVL Beam</t>
  </si>
  <si>
    <t>1 3/4"x 11 1/4" LVL Flush</t>
  </si>
  <si>
    <t>(2x8) Beam</t>
  </si>
  <si>
    <t>(2x10) Beam</t>
  </si>
  <si>
    <t>(2x12) Flush Beam</t>
  </si>
  <si>
    <t>Blocking</t>
  </si>
  <si>
    <t>Solid Blocking b/w The Joist at 1/3 Point of The Spain</t>
  </si>
  <si>
    <t>Floor Joists</t>
  </si>
  <si>
    <t>1/4" KEENE Building System' Quiet QURL 55-025' Sub Floor</t>
  </si>
  <si>
    <t>Roof Joists</t>
  </si>
  <si>
    <t>3/4" OSB Sheathing</t>
  </si>
  <si>
    <t>11 1/4" Thick Insulation (R-30)</t>
  </si>
  <si>
    <t>Wood Post</t>
  </si>
  <si>
    <t>(6"x6") Wood Post (10'-0"H)</t>
  </si>
  <si>
    <t>PT 2X10 Ledger</t>
  </si>
  <si>
    <t>Wood Structural Studs</t>
  </si>
  <si>
    <t>(2x8) Wood Studs (10'-0"H)</t>
  </si>
  <si>
    <t>Simpson Supports</t>
  </si>
  <si>
    <t>Simpson H2.5A Hurricane Tie</t>
  </si>
  <si>
    <t>Simpson L90</t>
  </si>
  <si>
    <t>Wind Bracing</t>
  </si>
  <si>
    <t>Typical Wood Portal Frame"W3"</t>
  </si>
  <si>
    <t>S1100,S1101,S1102</t>
  </si>
  <si>
    <t>Note F7,S3,T3</t>
  </si>
  <si>
    <t>A6201</t>
  </si>
  <si>
    <t>S3300</t>
  </si>
  <si>
    <t>W2</t>
  </si>
  <si>
    <t>Crawl Space</t>
  </si>
  <si>
    <t>Roofing</t>
  </si>
  <si>
    <t>R01 Roof</t>
  </si>
  <si>
    <r>
      <t xml:space="preserve">4" Rigid Insulation-(R20) </t>
    </r>
    <r>
      <rPr>
        <b/>
        <sz val="12"/>
        <rFont val="Calibri"/>
        <family val="2"/>
        <scheme val="minor"/>
      </rPr>
      <t>" R01"</t>
    </r>
  </si>
  <si>
    <t>1/4" TPO Roofing Membrane</t>
  </si>
  <si>
    <t>R02 Roof</t>
  </si>
  <si>
    <t>Metal Standing Seam Roof</t>
  </si>
  <si>
    <t>R03 Roof</t>
  </si>
  <si>
    <t>TPO Roofing Membrane</t>
  </si>
  <si>
    <t>1/2" Roof Decking</t>
  </si>
  <si>
    <t>3.5: Rigid Insulation R-20</t>
  </si>
  <si>
    <t>Flashing</t>
  </si>
  <si>
    <t>9.5" TPO Quikseam Flashing above Gutter</t>
  </si>
  <si>
    <t>Cant strip</t>
  </si>
  <si>
    <t>Gutter</t>
  </si>
  <si>
    <t>Collector Box</t>
  </si>
  <si>
    <t>Parapet Membrane</t>
  </si>
  <si>
    <t>Ultra TPO Bonding Adhesive</t>
  </si>
  <si>
    <t>Note 2</t>
  </si>
  <si>
    <t>A1101</t>
  </si>
  <si>
    <t>A5301</t>
  </si>
  <si>
    <t>Mechanical Duct</t>
  </si>
  <si>
    <t>Rectangular Ducts</t>
  </si>
  <si>
    <t>(6"x6") Rectangular Duct</t>
  </si>
  <si>
    <t>(6"x4")Rectangular Duct</t>
  </si>
  <si>
    <t>(8x6)Rectangular Duct</t>
  </si>
  <si>
    <t>(8"x8") Rectangular Duct</t>
  </si>
  <si>
    <t>(16x6") Rectangular Duct</t>
  </si>
  <si>
    <t>(10"x8")Rectangular Duct</t>
  </si>
  <si>
    <t>(4"x4")Rectangular Duct</t>
  </si>
  <si>
    <t>(16"x8")Rectangular Duct</t>
  </si>
  <si>
    <t>(20"x8")Rectangular Duct</t>
  </si>
  <si>
    <t>(12"x8")Rectangular Duct</t>
  </si>
  <si>
    <t>(12"x6")Rectangular Duct</t>
  </si>
  <si>
    <t>(6"x3")Rectangular Duct</t>
  </si>
  <si>
    <t>Round Ducts</t>
  </si>
  <si>
    <t>6" Dia Round Duct</t>
  </si>
  <si>
    <t>4" Dia Round Duct</t>
  </si>
  <si>
    <t>All Ducts Shall be Made of Galvanized Sheet Metal</t>
  </si>
  <si>
    <t>Mechanical Piping</t>
  </si>
  <si>
    <t>(3") Dia PVC Vent Pipe For Combustion Air Exhaust</t>
  </si>
  <si>
    <t>(4") Dia PVC Vent Pipe For Combustion Air Exhaust</t>
  </si>
  <si>
    <t>(1/2" Thk) Fiberglass Insulation for HVAC Pipes</t>
  </si>
  <si>
    <t>(2" Thk) Fiberglass Duct Insulation</t>
  </si>
  <si>
    <t>Louvers/Grille/Registers</t>
  </si>
  <si>
    <t>Registers</t>
  </si>
  <si>
    <t>(12"x6") Floor Register 50CFM "FR"</t>
  </si>
  <si>
    <t>(6"X4")Top Register 25CFM</t>
  </si>
  <si>
    <t>(12"X6")Floor Register 100 CFM "FR"</t>
  </si>
  <si>
    <t>(6"X4") Bottom Register 25 CFM "BR"</t>
  </si>
  <si>
    <t>(12"x6") Ceiling Register 100 CFM</t>
  </si>
  <si>
    <t>Grille</t>
  </si>
  <si>
    <t>(14"X6") Ceiling Return Grille 240 CFM</t>
  </si>
  <si>
    <t>(10"x8")Ceiling Return Grille 230 CFM</t>
  </si>
  <si>
    <t>(6"x10")Top Return Grille 150 CFM</t>
  </si>
  <si>
    <t>(10"X8") Top Return Grille 200CFM</t>
  </si>
  <si>
    <t>(8"X6")Top Return Grille 125CFM</t>
  </si>
  <si>
    <t>(10"X8")Top Return Grille 150 CFM</t>
  </si>
  <si>
    <t>(14"X6") Top Return Grille 175 CFM</t>
  </si>
  <si>
    <t>12x12 Air Transfer Grille</t>
  </si>
  <si>
    <t>Louvers</t>
  </si>
  <si>
    <t>(8x8) Louver 120 CFM</t>
  </si>
  <si>
    <t>(8X8) Louver 90 CFM</t>
  </si>
  <si>
    <t>Dampers</t>
  </si>
  <si>
    <t>Motorized Damper</t>
  </si>
  <si>
    <t>Mechanical Equipment</t>
  </si>
  <si>
    <r>
      <rPr>
        <b/>
        <sz val="12"/>
        <rFont val="Calibri"/>
        <family val="2"/>
        <scheme val="minor"/>
      </rPr>
      <t>Air Handling Unit "AHU-1"</t>
    </r>
    <r>
      <rPr>
        <sz val="12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Daikin 
</t>
    </r>
    <r>
      <rPr>
        <b/>
        <sz val="12"/>
        <rFont val="Calibri"/>
        <family val="2"/>
        <scheme val="minor"/>
      </rPr>
      <t>Model:</t>
    </r>
    <r>
      <rPr>
        <sz val="12"/>
        <rFont val="Calibri"/>
        <family val="2"/>
        <scheme val="minor"/>
      </rPr>
      <t xml:space="preserve"> FBQ24PVJU</t>
    </r>
  </si>
  <si>
    <r>
      <rPr>
        <b/>
        <sz val="12"/>
        <rFont val="Calibri"/>
        <family val="2"/>
        <scheme val="minor"/>
      </rPr>
      <t>Air Handling Unit "AHU-2"</t>
    </r>
    <r>
      <rPr>
        <sz val="12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Daikin 
</t>
    </r>
    <r>
      <rPr>
        <b/>
        <sz val="12"/>
        <rFont val="Calibri"/>
        <family val="2"/>
        <scheme val="minor"/>
      </rPr>
      <t>Model:</t>
    </r>
    <r>
      <rPr>
        <sz val="12"/>
        <rFont val="Calibri"/>
        <family val="2"/>
        <scheme val="minor"/>
      </rPr>
      <t xml:space="preserve"> FBQ18PVJU</t>
    </r>
  </si>
  <si>
    <r>
      <rPr>
        <b/>
        <sz val="12"/>
        <rFont val="Calibri"/>
        <family val="2"/>
        <scheme val="minor"/>
      </rPr>
      <t>Condensing Unit "ACCU-1"</t>
    </r>
    <r>
      <rPr>
        <sz val="12"/>
        <rFont val="Calibri"/>
        <family val="2"/>
        <scheme val="minor"/>
      </rPr>
      <t xml:space="preserve">
</t>
    </r>
    <r>
      <rPr>
        <b/>
        <sz val="12"/>
        <rFont val="Calibri"/>
        <family val="2"/>
        <scheme val="minor"/>
      </rPr>
      <t>Manufacturer:</t>
    </r>
    <r>
      <rPr>
        <sz val="12"/>
        <rFont val="Calibri"/>
        <family val="2"/>
        <scheme val="minor"/>
      </rPr>
      <t xml:space="preserve"> Daikin 
</t>
    </r>
    <r>
      <rPr>
        <b/>
        <sz val="12"/>
        <rFont val="Calibri"/>
        <family val="2"/>
        <scheme val="minor"/>
      </rPr>
      <t>Model:</t>
    </r>
    <r>
      <rPr>
        <sz val="12"/>
        <rFont val="Calibri"/>
        <family val="2"/>
        <scheme val="minor"/>
      </rPr>
      <t xml:space="preserve"> RZQ24TAVJUA</t>
    </r>
  </si>
  <si>
    <t>Exhaust Fan</t>
  </si>
  <si>
    <r>
      <rPr>
        <b/>
        <sz val="12"/>
        <color theme="1"/>
        <rFont val="Calibri"/>
        <family val="2"/>
        <scheme val="minor"/>
      </rPr>
      <t>(80 CFM) Exhaust Fan "F-1"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2"/>
        <color theme="1"/>
        <rFont val="Calibri"/>
        <family val="2"/>
        <scheme val="minor"/>
      </rPr>
      <t xml:space="preserve">Manufacture: </t>
    </r>
    <r>
      <rPr>
        <sz val="12"/>
        <color theme="1"/>
        <rFont val="Calibri"/>
        <family val="2"/>
        <scheme val="minor"/>
      </rPr>
      <t xml:space="preserve">PANASONIC
</t>
    </r>
    <r>
      <rPr>
        <b/>
        <sz val="12"/>
        <color theme="1"/>
        <rFont val="Calibri"/>
        <family val="2"/>
        <scheme val="minor"/>
      </rPr>
      <t xml:space="preserve">Model: </t>
    </r>
    <r>
      <rPr>
        <sz val="12"/>
        <color theme="1"/>
        <rFont val="Calibri"/>
        <family val="2"/>
        <scheme val="minor"/>
      </rPr>
      <t>FV0811VFL5</t>
    </r>
  </si>
  <si>
    <t>Thermostat</t>
  </si>
  <si>
    <t xml:space="preserve">Additional Cost Based on Mechanical work  Area </t>
  </si>
  <si>
    <t>M0001</t>
  </si>
  <si>
    <t>M0000</t>
  </si>
  <si>
    <t>Note 3</t>
  </si>
  <si>
    <t>Note 11</t>
  </si>
  <si>
    <t>Specs</t>
  </si>
  <si>
    <t>Note 9</t>
  </si>
  <si>
    <t>(4") Dia Perforated Drain Wrapped with Filter Fabric</t>
  </si>
  <si>
    <t>Foundation Drain Pipe</t>
  </si>
  <si>
    <t>Floor Framing</t>
  </si>
  <si>
    <t>Steel Angle Beams</t>
  </si>
  <si>
    <t>Mobilization For Steel</t>
  </si>
  <si>
    <r>
      <t>Blueprints</t>
    </r>
    <r>
      <rPr>
        <b/>
        <sz val="12"/>
        <rFont val="Calibri"/>
        <family val="2"/>
        <scheme val="minor"/>
      </rPr>
      <t xml:space="preserve"> (54 Pages)</t>
    </r>
    <r>
      <rPr>
        <b/>
        <sz val="12"/>
        <color rgb="FFFF0000"/>
        <rFont val="Calibri"/>
        <family val="2"/>
        <scheme val="minor"/>
      </rPr>
      <t xml:space="preserve"> </t>
    </r>
  </si>
  <si>
    <t>(16"L, 3/4" Dia.) Dowels @ 12" O.C.  (123 EA)</t>
  </si>
  <si>
    <t>Angle dual check valve</t>
  </si>
  <si>
    <t>Flanged angle ball valve</t>
  </si>
  <si>
    <t>(Min. 1-1/4"H) By-pass w. padlock wings ball valve</t>
  </si>
  <si>
    <t>Dual check valve ANSI/ASSE 1024</t>
  </si>
  <si>
    <t>Nonwoven geotextile under construction entrance</t>
  </si>
  <si>
    <t>(Min. 6" Thk.) Stone construction entrance</t>
  </si>
  <si>
    <t>(2") Rigid Insulation (R-10)</t>
  </si>
  <si>
    <t>(2" Thk.) Foam board insulation</t>
  </si>
  <si>
    <t>(2x4) Furring strips</t>
  </si>
  <si>
    <t>(1x4) Furring strips</t>
  </si>
  <si>
    <t>Excavate as required for unused water lateral pipe removal</t>
  </si>
  <si>
    <t>Backfill as required for unused water lateral pipe removal</t>
  </si>
  <si>
    <t>Remove unused water lateral at the mains 
- Removal as per DC water standard and specifications</t>
  </si>
  <si>
    <r>
      <t xml:space="preserve">Utility Trench Compaction
8" Lifts for 5' Depth
</t>
    </r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rFont val="Calibri"/>
        <family val="2"/>
        <scheme val="minor"/>
      </rPr>
      <t>Lifts for trenching is assumed.</t>
    </r>
  </si>
  <si>
    <r>
      <t xml:space="preserve">Utility Trench Compaction
8" Lifts for 9' Depth
</t>
    </r>
    <r>
      <rPr>
        <b/>
        <sz val="12"/>
        <color rgb="FFFF0000"/>
        <rFont val="Calibri"/>
        <family val="2"/>
        <scheme val="minor"/>
      </rPr>
      <t>Note:</t>
    </r>
    <r>
      <rPr>
        <sz val="12"/>
        <rFont val="Calibri"/>
        <family val="2"/>
        <scheme val="minor"/>
      </rPr>
      <t xml:space="preserve"> Lifts for trenching is assumed.</t>
    </r>
  </si>
  <si>
    <r>
      <t xml:space="preserve">Utility Trench Compaction
8" Lifts for 10' Depth
</t>
    </r>
    <r>
      <rPr>
        <b/>
        <sz val="12"/>
        <color rgb="FFFF0000"/>
        <rFont val="Calibri"/>
        <family val="2"/>
        <scheme val="minor"/>
      </rPr>
      <t>Note:</t>
    </r>
    <r>
      <rPr>
        <sz val="12"/>
        <rFont val="Calibri"/>
        <family val="2"/>
        <scheme val="minor"/>
      </rPr>
      <t xml:space="preserve"> Lifts for trenching is assumed.</t>
    </r>
  </si>
  <si>
    <t>Extra Studs</t>
  </si>
  <si>
    <t>2x6x10 Extra Suds</t>
  </si>
  <si>
    <t>2x4x10 Extra Suds</t>
  </si>
  <si>
    <t>2x6x12 Extra Suds</t>
  </si>
  <si>
    <t>2x6x8 Extra Suds</t>
  </si>
  <si>
    <t xml:space="preserve">36"H Guardrail </t>
  </si>
  <si>
    <t>(1" thick)Insulate Hot Water Pipe With a Thermal Resistance Value R-3 Insulation</t>
  </si>
  <si>
    <t>1'W Upper Cabinets</t>
  </si>
  <si>
    <t>Backsplash</t>
  </si>
  <si>
    <t>Bath Wall Tile</t>
  </si>
  <si>
    <t>Carpet Flooring</t>
  </si>
  <si>
    <r>
      <t xml:space="preserve">(4") Thick Concrete Slab </t>
    </r>
    <r>
      <rPr>
        <b/>
        <sz val="12"/>
        <rFont val="Calibri"/>
        <family val="2"/>
        <scheme val="minor"/>
      </rPr>
      <t>(936 SF)</t>
    </r>
  </si>
  <si>
    <t>Compaction</t>
  </si>
  <si>
    <t>Compaction of Subgrade</t>
  </si>
  <si>
    <t>#4 Rebars @24" O.C</t>
  </si>
  <si>
    <r>
      <t xml:space="preserve">L4X3 1/2"X 1/4" Steel Angle </t>
    </r>
    <r>
      <rPr>
        <b/>
        <sz val="12"/>
        <rFont val="Calibri"/>
        <family val="2"/>
        <scheme val="minor"/>
      </rPr>
      <t>(6.2 lbs/ft)</t>
    </r>
  </si>
  <si>
    <r>
      <t xml:space="preserve">L6 X3 1/2"x 5/16" Steel Angle </t>
    </r>
    <r>
      <rPr>
        <b/>
        <sz val="12"/>
        <rFont val="Calibri"/>
        <family val="2"/>
        <scheme val="minor"/>
      </rPr>
      <t>(9.8 Lbs/Ft)</t>
    </r>
  </si>
  <si>
    <r>
      <t xml:space="preserve">3/4"x9" Steel Flitch Beam </t>
    </r>
    <r>
      <rPr>
        <b/>
        <sz val="12"/>
        <rFont val="Calibri"/>
        <family val="2"/>
        <scheme val="minor"/>
      </rPr>
      <t>(20.04 Lbs/ft)</t>
    </r>
  </si>
  <si>
    <t>5/8" Type X Gyp Board Below Roof Decking</t>
  </si>
  <si>
    <t>3/4" Plywood Substrate Sheathing</t>
  </si>
  <si>
    <t>Note S5</t>
  </si>
  <si>
    <t>Self Adhered Roofing Underlayment</t>
  </si>
  <si>
    <t>1 1/4" Composite Metal Deck</t>
  </si>
  <si>
    <t xml:space="preserve">(2x2) Wood Sleepers @ 16" O.C. </t>
  </si>
  <si>
    <t xml:space="preserve">(2x4) Wood Sleepers @ 16" O.C. </t>
  </si>
  <si>
    <t>3/4" Condensate Drain Pipe Spill Over Floor Drain</t>
  </si>
  <si>
    <t>(1") Thick Semi-Rigid Liner</t>
  </si>
  <si>
    <t>Back Draft Damper</t>
  </si>
  <si>
    <t>9 1/2" IB 6000'S at 16"O.C (2114 SF)</t>
  </si>
  <si>
    <t>9 1/2" IB 600's @ 12"O.C (107 SF)</t>
  </si>
  <si>
    <t>15 Treads @10"O.C and 16 Risers @ 7" (3' Wide)</t>
  </si>
  <si>
    <t>Fire Stone Metal Coping</t>
  </si>
  <si>
    <t>2' Wide Closet Rod</t>
  </si>
  <si>
    <t>1'-10" Wide Closet Rod</t>
  </si>
  <si>
    <t>Provide and Install a Fully Automatic Wet Type Sprinkler System (4480 SF)</t>
  </si>
  <si>
    <r>
      <t xml:space="preserve">(12"x6")Ceiling Register 75 CFM 
</t>
    </r>
    <r>
      <rPr>
        <b/>
        <sz val="12"/>
        <rFont val="Arial"/>
        <family val="2"/>
      </rPr>
      <t/>
    </r>
  </si>
  <si>
    <r>
      <t xml:space="preserve">(12"x6")Ceiling Register 125 CFM 
</t>
    </r>
    <r>
      <rPr>
        <b/>
        <sz val="12"/>
        <rFont val="Arial"/>
        <family val="2"/>
      </rPr>
      <t/>
    </r>
  </si>
  <si>
    <t>(6"X4")Ceiling Register 25 CFM</t>
  </si>
  <si>
    <t>(12"X6")Ceiling Register 50 CFM</t>
  </si>
  <si>
    <r>
      <t xml:space="preserve">(12"X6") Ceiling Register 150CFM 
</t>
    </r>
    <r>
      <rPr>
        <b/>
        <sz val="12"/>
        <rFont val="Arial"/>
        <family val="2"/>
      </rPr>
      <t/>
    </r>
  </si>
  <si>
    <t>Excavation For Cont. Footing</t>
  </si>
  <si>
    <t>Excavation For Concrete Slab</t>
  </si>
  <si>
    <t>Excavation For Ramp</t>
  </si>
  <si>
    <t>Formwork for ramp</t>
  </si>
  <si>
    <t>Mild Grading</t>
  </si>
  <si>
    <t>Note: Second dimension is assumed.</t>
  </si>
  <si>
    <t>Wall Base</t>
  </si>
  <si>
    <t>Note: Finish schedule is not given. RFI has been sent to client.</t>
  </si>
  <si>
    <t>Tiles In Bathrooms</t>
  </si>
  <si>
    <t>Tile Wall Base In Bathrooms</t>
  </si>
  <si>
    <t>Note: Bedding material is crushed stone aggregate (Assumed)</t>
  </si>
  <si>
    <t>Note: Backfill material is stabilized earth backfill (Assumed)</t>
  </si>
  <si>
    <r>
      <t>Dewatering</t>
    </r>
    <r>
      <rPr>
        <b/>
        <sz val="12"/>
        <rFont val="Calibri"/>
        <family val="2"/>
        <scheme val="minor"/>
      </rPr>
      <t xml:space="preserve"> (2025 SF)</t>
    </r>
    <r>
      <rPr>
        <sz val="12"/>
        <rFont val="Calibri"/>
        <family val="2"/>
        <scheme val="minor"/>
      </rPr>
      <t xml:space="preserve">
</t>
    </r>
    <r>
      <rPr>
        <i/>
        <sz val="12"/>
        <color rgb="FFFF0000"/>
        <rFont val="Calibri"/>
        <family val="2"/>
        <scheme val="minor"/>
      </rPr>
      <t>Note: Please confirm if req.</t>
    </r>
  </si>
  <si>
    <r>
      <t>Compacted area at back of house</t>
    </r>
    <r>
      <rPr>
        <i/>
        <sz val="12"/>
        <rFont val="Calibri"/>
        <family val="2"/>
        <scheme val="minor"/>
      </rPr>
      <t xml:space="preserve"> </t>
    </r>
    <r>
      <rPr>
        <i/>
        <sz val="12"/>
        <color rgb="FFFF0000"/>
        <rFont val="Calibri"/>
        <family val="2"/>
        <scheme val="minor"/>
      </rPr>
      <t>(Assumed)</t>
    </r>
  </si>
  <si>
    <r>
      <t>Excavation</t>
    </r>
    <r>
      <rPr>
        <b/>
        <sz val="12"/>
        <rFont val="Calibri"/>
        <family val="2"/>
        <scheme val="minor"/>
      </rPr>
      <t xml:space="preserve"> </t>
    </r>
  </si>
  <si>
    <t xml:space="preserve">Backfill </t>
  </si>
  <si>
    <t>#4 Bars at 12" O.C Each way</t>
  </si>
  <si>
    <t>Vapor Barrier</t>
  </si>
  <si>
    <t>Below Grade Liquid Waterproofing. Henry CM 100  for concrete Cont. footing</t>
  </si>
  <si>
    <t>7/18" OSB Sheathing on Exterior Wall</t>
  </si>
  <si>
    <t>Grace ice &amp; Water Shield</t>
  </si>
  <si>
    <t>Ultra ply TPO Membrane</t>
  </si>
  <si>
    <t>(1" Thk.) Insulation semi-rigid, rockwool cavity rock</t>
  </si>
  <si>
    <t>5/8" Gypsum board-Fire code type C</t>
  </si>
  <si>
    <t>1/2" Wood Sheathing: Dense Glass Fireguard</t>
  </si>
  <si>
    <t>1/2" Cementitious Baker Board</t>
  </si>
  <si>
    <t>Breezeway Flooring</t>
  </si>
  <si>
    <t>Breezeway Wall Base</t>
  </si>
  <si>
    <t>36" Vertical Grab bar</t>
  </si>
  <si>
    <t>1-1/2" Dia Sanitary Pipe</t>
  </si>
  <si>
    <t>Pressure Gauge</t>
  </si>
  <si>
    <t>Stonco CAT No:VW series 1GC W/100W A19 Lamp(WP)</t>
  </si>
  <si>
    <t>Combined Smoke Detector/Carbon Monoxide Detector</t>
  </si>
  <si>
    <t>Occupancy Sensors</t>
  </si>
  <si>
    <t>Backfill For Cont. Footing</t>
  </si>
  <si>
    <t>Backfill For Concrete Slab</t>
  </si>
  <si>
    <t>Backfill For Ramp</t>
  </si>
  <si>
    <t>Door Hardware Set A:
-Unit Entrance Lock
-Thumb turn Locking
-Thumb Turn Locks Outside Knob Until Unlocked By Key Or by Turning Thumb Turn</t>
  </si>
  <si>
    <t>Door Hardware Set D:
-Push Button Locking. Can Be Opened From outside with Small Screwdriver Or Flat Narrow Tool. Turning Inside Know Releases Push Button</t>
  </si>
  <si>
    <t>Door Hardware Set F:
-Passage Latch: Both Knobs Always Unlocked</t>
  </si>
  <si>
    <t>Door Hardware Set T:
-Pocket Door Privacy: Push Button Locking.</t>
  </si>
  <si>
    <t>James Hardie Vertical panels and batten trim boards @ 24" O.C.</t>
  </si>
  <si>
    <r>
      <t xml:space="preserve">Install (1.5") water meter w/ frame and cover
- (30" Dia.x30"L) Plastic meter box assembly
</t>
    </r>
    <r>
      <rPr>
        <b/>
        <sz val="12"/>
        <color rgb="FFFF0000"/>
        <rFont val="Calibri"/>
        <family val="2"/>
        <scheme val="minor"/>
      </rPr>
      <t xml:space="preserve">Note: </t>
    </r>
    <r>
      <rPr>
        <sz val="12"/>
        <color rgb="FFFF0000"/>
        <rFont val="Calibri"/>
        <family val="2"/>
        <scheme val="minor"/>
      </rPr>
      <t>Provided by DC water.</t>
    </r>
  </si>
  <si>
    <t>Control Joints in Slab @ 36" O.C</t>
  </si>
  <si>
    <t>Partition Wall Type 07-1R (10'-10"H)</t>
  </si>
  <si>
    <t>Partition Wall Type 14C (9'-1"H)</t>
  </si>
  <si>
    <t xml:space="preserve">Additional Cost Based on Electrical work Area </t>
  </si>
  <si>
    <t>Soil Compaction for Paving</t>
  </si>
  <si>
    <t>Door Hardware Set G:
-Terrace Doors: Doors bolt Thrown/Retracted By Turn Unit Only. No Outside Trim Deadlocks When Thrown. Dummy Trim on Door Leafs.</t>
  </si>
  <si>
    <t>(1" thick)Armstrong, Certainted, Owens-Corning Or Johns-Manville Vapor Barriers Around Cold Water Pipe</t>
  </si>
  <si>
    <t>All Storm, Waste, Vent Pipe Shall Be Service Weight No-Hub Cast iron Pipe.</t>
  </si>
  <si>
    <t>400Amp,120V/240V,1Ph,3W,NEMA 3R,65K AIC, Meter Pack wit Total 2-200A,2 Pole Circuit Breaker</t>
  </si>
  <si>
    <t>8" Thick Concrete Ramp (70 SF)</t>
  </si>
  <si>
    <t>4" Thick Concrete Ramp (126 SF)</t>
  </si>
  <si>
    <t>(8") CMU Footing Wall (2'-0"H)</t>
  </si>
  <si>
    <t>(10") CMU Footing Wall (2'-0"H)</t>
  </si>
  <si>
    <t>(6") CMU Footing Wall (10'-0"H)</t>
  </si>
  <si>
    <t xml:space="preserve">(2x12) S Joist @ 24"0.C </t>
  </si>
  <si>
    <t>(6''x6") Simpson Cap</t>
  </si>
  <si>
    <t>(6'x6") Base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</si>
</sst>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&quot;$&quot;#,##0"/>
    <numFmt numFmtId="166" formatCode="_(&quot;$&quot;* #,##0_);_(&quot;$&quot;* \(#,##0\);_(&quot;$&quot;* &quot;-&quot;??_);_(@_)"/>
    <numFmt numFmtId="167" formatCode="_(&quot;$&quot;* #,##0_);_(&quot;$&quot;* \(#,##0\);_(&quot;$&quot;* &quot;-&quot;?_);_(@_)"/>
    <numFmt numFmtId="168" formatCode="_(&quot;$&quot;* #,##0.0_);_(&quot;$&quot;* \(#,##0.0\);_(&quot;$&quot;* &quot;-&quot;??_);_(@_)"/>
    <numFmt numFmtId="169" formatCode="_-&quot;$&quot;* #,##0_-;\-&quot;$&quot;* #,##0_-;_-&quot;$&quot;* &quot;-&quot;??_-;_-@_-"/>
    <numFmt numFmtId="170" formatCode="_(* #,##0_);_(* \(#,##0\);_(* &quot;-&quot;??_);_(@_)"/>
    <numFmt numFmtId="171" formatCode="0.000"/>
    <numFmt numFmtId="172" formatCode="0.0%"/>
    <numFmt numFmtId="173" formatCode="_(* #,##0.0_);_(* \(#,##0.0\);_(* &quot;-&quot;??_);_(@_)"/>
  </numFmts>
  <fonts count="87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indexed="6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20"/>
      <color theme="1"/>
      <name val="Times New Roman"/>
      <family val="1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Times New Roman"/>
      <family val="1"/>
    </font>
    <font>
      <sz val="14"/>
      <name val="Calibri"/>
      <family val="2"/>
      <scheme val="minor"/>
    </font>
    <font>
      <sz val="12"/>
      <name val="Arial"/>
      <family val="2"/>
    </font>
    <font>
      <sz val="16"/>
      <name val="Calibri"/>
      <family val="2"/>
      <scheme val="minor"/>
    </font>
    <font>
      <sz val="8"/>
      <name val="Arial"/>
      <family val="2"/>
    </font>
    <font>
      <sz val="18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name val="Arial"/>
      <family val="2"/>
    </font>
    <font>
      <b/>
      <u/>
      <sz val="12"/>
      <name val="Calibri"/>
      <family val="2"/>
      <scheme val="minor"/>
    </font>
    <font>
      <b/>
      <sz val="16"/>
      <name val="Times New Roman"/>
      <family val="1"/>
    </font>
    <font>
      <sz val="16"/>
      <name val="Times New Roman"/>
      <family val="1"/>
    </font>
    <font>
      <b/>
      <sz val="12"/>
      <color rgb="FF33333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4"/>
      <name val="Times New Roman"/>
      <family val="1"/>
    </font>
    <font>
      <b/>
      <i/>
      <u val="double"/>
      <sz val="18"/>
      <color rgb="FFFF0000"/>
      <name val="Calibri"/>
      <family val="2"/>
      <scheme val="minor"/>
    </font>
    <font>
      <u val="double"/>
      <sz val="18"/>
      <name val="Calibri"/>
      <family val="2"/>
      <scheme val="minor"/>
    </font>
    <font>
      <u/>
      <sz val="12"/>
      <color theme="10"/>
      <name val="Arial"/>
      <family val="2"/>
    </font>
    <font>
      <b/>
      <sz val="14"/>
      <color rgb="FF0000FF"/>
      <name val="Arial"/>
      <family val="2"/>
    </font>
    <font>
      <b/>
      <sz val="16"/>
      <color rgb="FF0000FF"/>
      <name val="Arial"/>
      <family val="2"/>
    </font>
    <font>
      <b/>
      <sz val="12"/>
      <color rgb="FF0000FF"/>
      <name val="Arial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8"/>
      <name val="Arial"/>
      <family val="2"/>
    </font>
    <font>
      <b/>
      <sz val="14"/>
      <color theme="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i/>
      <sz val="1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2"/>
      </bottom>
      <diagonal/>
    </border>
    <border>
      <left/>
      <right style="medium">
        <color indexed="64"/>
      </right>
      <top/>
      <bottom style="double">
        <color indexed="62"/>
      </bottom>
      <diagonal/>
    </border>
    <border>
      <left style="medium">
        <color indexed="64"/>
      </left>
      <right/>
      <top style="double">
        <color indexed="62"/>
      </top>
      <bottom style="double">
        <color indexed="62"/>
      </bottom>
      <diagonal/>
    </border>
    <border>
      <left/>
      <right style="medium">
        <color indexed="64"/>
      </right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double">
        <color indexed="62"/>
      </top>
      <bottom style="medium">
        <color indexed="64"/>
      </bottom>
      <diagonal/>
    </border>
    <border>
      <left/>
      <right/>
      <top style="double">
        <color indexed="62"/>
      </top>
      <bottom style="medium">
        <color indexed="64"/>
      </bottom>
      <diagonal/>
    </border>
    <border>
      <left/>
      <right/>
      <top style="thin">
        <color indexed="62"/>
      </top>
      <bottom style="medium">
        <color indexed="64"/>
      </bottom>
      <diagonal/>
    </border>
    <border>
      <left/>
      <right style="medium">
        <color indexed="64"/>
      </right>
      <top style="thin">
        <color indexed="6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theme="0" tint="-0.149998474074526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theme="0" tint="-0.14999847407452621"/>
      </top>
      <bottom style="thin">
        <color indexed="64"/>
      </bottom>
      <diagonal/>
    </border>
    <border>
      <left/>
      <right/>
      <top style="dotted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97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9" fillId="0" borderId="0"/>
    <xf numFmtId="0" fontId="9" fillId="23" borderId="7" applyNumberFormat="0" applyFont="0" applyAlignment="0" applyProtection="0"/>
    <xf numFmtId="0" fontId="23" fillId="20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8" fillId="0" borderId="0"/>
    <xf numFmtId="0" fontId="27" fillId="0" borderId="0"/>
    <xf numFmtId="0" fontId="9" fillId="0" borderId="0"/>
    <xf numFmtId="43" fontId="27" fillId="0" borderId="0" applyFont="0" applyFill="0" applyBorder="0" applyAlignment="0" applyProtection="0"/>
    <xf numFmtId="0" fontId="28" fillId="0" borderId="0"/>
    <xf numFmtId="43" fontId="9" fillId="0" borderId="0" applyFont="0" applyFill="0" applyBorder="0" applyAlignment="0" applyProtection="0"/>
    <xf numFmtId="0" fontId="9" fillId="0" borderId="0"/>
    <xf numFmtId="44" fontId="28" fillId="0" borderId="0" applyFont="0" applyFill="0" applyBorder="0" applyAlignment="0" applyProtection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44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43" fontId="43" fillId="0" borderId="0" applyFont="0" applyFill="0" applyBorder="0" applyAlignment="0" applyProtection="0"/>
    <xf numFmtId="0" fontId="9" fillId="23" borderId="14" applyNumberFormat="0" applyFont="0" applyAlignment="0" applyProtection="0"/>
    <xf numFmtId="0" fontId="3" fillId="0" borderId="0"/>
    <xf numFmtId="0" fontId="9" fillId="23" borderId="14" applyNumberFormat="0" applyFont="0" applyAlignment="0" applyProtection="0"/>
    <xf numFmtId="0" fontId="9" fillId="23" borderId="14" applyNumberFormat="0" applyFont="0" applyAlignment="0" applyProtection="0"/>
    <xf numFmtId="0" fontId="9" fillId="23" borderId="14" applyNumberFormat="0" applyFont="0" applyAlignment="0" applyProtection="0"/>
    <xf numFmtId="0" fontId="2" fillId="0" borderId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44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0" fontId="23" fillId="20" borderId="35" applyNumberFormat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3" borderId="40" applyNumberFormat="0" applyFont="0" applyAlignment="0" applyProtection="0"/>
    <xf numFmtId="0" fontId="9" fillId="23" borderId="40" applyNumberFormat="0" applyFont="0" applyAlignment="0" applyProtection="0"/>
    <xf numFmtId="0" fontId="9" fillId="23" borderId="40" applyNumberFormat="0" applyFont="0" applyAlignment="0" applyProtection="0"/>
    <xf numFmtId="0" fontId="23" fillId="20" borderId="41" applyNumberFormat="0" applyAlignment="0" applyProtection="0"/>
    <xf numFmtId="0" fontId="20" fillId="7" borderId="42" applyNumberFormat="0" applyAlignment="0" applyProtection="0"/>
    <xf numFmtId="0" fontId="23" fillId="20" borderId="41" applyNumberFormat="0" applyAlignment="0" applyProtection="0"/>
    <xf numFmtId="0" fontId="25" fillId="0" borderId="43" applyNumberFormat="0" applyFill="0" applyAlignment="0" applyProtection="0"/>
    <xf numFmtId="0" fontId="9" fillId="23" borderId="62" applyNumberFormat="0" applyFont="0" applyAlignment="0" applyProtection="0"/>
    <xf numFmtId="0" fontId="9" fillId="23" borderId="62" applyNumberFormat="0" applyFont="0" applyAlignment="0" applyProtection="0"/>
    <xf numFmtId="0" fontId="23" fillId="20" borderId="63" applyNumberFormat="0" applyAlignment="0" applyProtection="0"/>
    <xf numFmtId="0" fontId="9" fillId="23" borderId="62" applyNumberFormat="0" applyFont="0" applyAlignment="0" applyProtection="0"/>
    <xf numFmtId="0" fontId="20" fillId="7" borderId="64" applyNumberFormat="0" applyAlignment="0" applyProtection="0"/>
    <xf numFmtId="0" fontId="71" fillId="0" borderId="0" applyNumberFormat="0" applyFill="0" applyBorder="0" applyAlignment="0" applyProtection="0"/>
    <xf numFmtId="0" fontId="9" fillId="23" borderId="80" applyNumberFormat="0" applyFont="0" applyAlignment="0" applyProtection="0"/>
    <xf numFmtId="0" fontId="9" fillId="23" borderId="80" applyNumberFormat="0" applyFont="0" applyAlignment="0" applyProtection="0"/>
    <xf numFmtId="0" fontId="9" fillId="23" borderId="80" applyNumberFormat="0" applyFont="0" applyAlignment="0" applyProtection="0"/>
    <xf numFmtId="0" fontId="1" fillId="0" borderId="0"/>
  </cellStyleXfs>
  <cellXfs count="487">
    <xf numFmtId="0" fontId="0" fillId="0" borderId="0" xfId="0"/>
    <xf numFmtId="0" fontId="29" fillId="0" borderId="0" xfId="0" applyFont="1" applyAlignment="1">
      <alignment vertical="top"/>
    </xf>
    <xf numFmtId="2" fontId="29" fillId="0" borderId="0" xfId="0" applyNumberFormat="1" applyFont="1" applyAlignment="1">
      <alignment vertical="top" wrapText="1"/>
    </xf>
    <xf numFmtId="0" fontId="36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vertical="center" wrapText="1"/>
    </xf>
    <xf numFmtId="0" fontId="29" fillId="0" borderId="0" xfId="0" applyFont="1" applyAlignment="1">
      <alignment vertical="center"/>
    </xf>
    <xf numFmtId="165" fontId="29" fillId="0" borderId="0" xfId="0" applyNumberFormat="1" applyFont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0" xfId="45" applyFont="1" applyAlignment="1">
      <alignment vertical="center"/>
    </xf>
    <xf numFmtId="0" fontId="37" fillId="25" borderId="0" xfId="0" applyFont="1" applyFill="1" applyAlignment="1">
      <alignment horizontal="center" vertical="center"/>
    </xf>
    <xf numFmtId="0" fontId="37" fillId="25" borderId="0" xfId="0" applyFont="1" applyFill="1" applyAlignment="1">
      <alignment horizontal="right"/>
    </xf>
    <xf numFmtId="2" fontId="29" fillId="25" borderId="0" xfId="0" applyNumberFormat="1" applyFont="1" applyFill="1" applyAlignment="1">
      <alignment horizontal="center" vertical="center" wrapText="1"/>
    </xf>
    <xf numFmtId="0" fontId="29" fillId="25" borderId="0" xfId="0" applyFont="1" applyFill="1" applyAlignment="1">
      <alignment horizontal="center" vertical="center"/>
    </xf>
    <xf numFmtId="2" fontId="29" fillId="25" borderId="0" xfId="0" applyNumberFormat="1" applyFont="1" applyFill="1" applyAlignment="1">
      <alignment vertical="top" wrapText="1"/>
    </xf>
    <xf numFmtId="0" fontId="29" fillId="25" borderId="10" xfId="0" applyFont="1" applyFill="1" applyBorder="1" applyAlignment="1">
      <alignment horizontal="center" vertical="center"/>
    </xf>
    <xf numFmtId="0" fontId="44" fillId="24" borderId="11" xfId="0" applyFont="1" applyFill="1" applyBorder="1" applyAlignment="1">
      <alignment vertical="center"/>
    </xf>
    <xf numFmtId="0" fontId="29" fillId="0" borderId="11" xfId="0" applyFont="1" applyBorder="1" applyAlignment="1">
      <alignment horizontal="center" vertical="center"/>
    </xf>
    <xf numFmtId="9" fontId="29" fillId="0" borderId="11" xfId="62" applyFont="1" applyFill="1" applyBorder="1" applyAlignment="1">
      <alignment horizontal="center" vertical="center"/>
    </xf>
    <xf numFmtId="0" fontId="34" fillId="0" borderId="11" xfId="39" applyFont="1" applyFill="1" applyBorder="1" applyAlignment="1">
      <alignment vertical="center" wrapText="1"/>
    </xf>
    <xf numFmtId="0" fontId="33" fillId="25" borderId="32" xfId="41" applyFont="1" applyFill="1" applyBorder="1" applyAlignment="1">
      <alignment horizontal="center" vertical="center"/>
    </xf>
    <xf numFmtId="165" fontId="33" fillId="25" borderId="32" xfId="41" applyNumberFormat="1" applyFont="1" applyFill="1" applyBorder="1" applyAlignment="1" applyProtection="1">
      <alignment horizontal="center" vertical="center"/>
    </xf>
    <xf numFmtId="0" fontId="33" fillId="25" borderId="32" xfId="41" applyFont="1" applyFill="1" applyBorder="1" applyAlignment="1">
      <alignment vertical="center"/>
    </xf>
    <xf numFmtId="0" fontId="33" fillId="25" borderId="32" xfId="41" applyFont="1" applyFill="1" applyBorder="1" applyAlignment="1">
      <alignment horizontal="right" vertical="center"/>
    </xf>
    <xf numFmtId="165" fontId="29" fillId="0" borderId="0" xfId="0" applyNumberFormat="1" applyFont="1" applyAlignment="1">
      <alignment vertical="center"/>
    </xf>
    <xf numFmtId="0" fontId="54" fillId="0" borderId="0" xfId="0" applyFont="1" applyAlignment="1">
      <alignment vertical="top"/>
    </xf>
    <xf numFmtId="0" fontId="37" fillId="30" borderId="16" xfId="0" applyFont="1" applyFill="1" applyBorder="1" applyAlignment="1">
      <alignment horizontal="right"/>
    </xf>
    <xf numFmtId="0" fontId="29" fillId="30" borderId="0" xfId="0" applyFont="1" applyFill="1" applyAlignment="1">
      <alignment horizontal="center" vertical="center"/>
    </xf>
    <xf numFmtId="0" fontId="37" fillId="30" borderId="0" xfId="0" applyFont="1" applyFill="1" applyAlignment="1">
      <alignment horizontal="right"/>
    </xf>
    <xf numFmtId="2" fontId="52" fillId="30" borderId="0" xfId="0" applyNumberFormat="1" applyFont="1" applyFill="1" applyAlignment="1">
      <alignment horizontal="right"/>
    </xf>
    <xf numFmtId="0" fontId="52" fillId="30" borderId="0" xfId="0" applyFont="1" applyFill="1" applyAlignment="1">
      <alignment horizontal="right"/>
    </xf>
    <xf numFmtId="0" fontId="29" fillId="30" borderId="31" xfId="0" applyFont="1" applyFill="1" applyBorder="1" applyAlignment="1">
      <alignment horizontal="center" vertical="center"/>
    </xf>
    <xf numFmtId="2" fontId="52" fillId="30" borderId="31" xfId="0" applyNumberFormat="1" applyFont="1" applyFill="1" applyBorder="1" applyAlignment="1">
      <alignment horizontal="right"/>
    </xf>
    <xf numFmtId="2" fontId="57" fillId="30" borderId="16" xfId="0" applyNumberFormat="1" applyFont="1" applyFill="1" applyBorder="1" applyAlignment="1">
      <alignment horizontal="right"/>
    </xf>
    <xf numFmtId="2" fontId="57" fillId="30" borderId="0" xfId="0" applyNumberFormat="1" applyFont="1" applyFill="1" applyAlignment="1">
      <alignment horizontal="right" vertical="center"/>
    </xf>
    <xf numFmtId="172" fontId="58" fillId="30" borderId="0" xfId="62" applyNumberFormat="1" applyFont="1" applyFill="1" applyBorder="1" applyAlignment="1">
      <alignment horizontal="center" vertical="center"/>
    </xf>
    <xf numFmtId="166" fontId="57" fillId="30" borderId="10" xfId="61" applyNumberFormat="1" applyFont="1" applyFill="1" applyBorder="1" applyAlignment="1">
      <alignment horizontal="left" vertical="center" wrapText="1"/>
    </xf>
    <xf numFmtId="0" fontId="39" fillId="30" borderId="19" xfId="0" applyFont="1" applyFill="1" applyBorder="1" applyAlignment="1">
      <alignment horizontal="left" vertical="center"/>
    </xf>
    <xf numFmtId="166" fontId="57" fillId="30" borderId="23" xfId="61" applyNumberFormat="1" applyFont="1" applyFill="1" applyBorder="1" applyAlignment="1">
      <alignment horizontal="left" vertical="center" wrapText="1"/>
    </xf>
    <xf numFmtId="172" fontId="58" fillId="30" borderId="36" xfId="62" applyNumberFormat="1" applyFont="1" applyFill="1" applyBorder="1" applyAlignment="1">
      <alignment horizontal="center" vertical="center"/>
    </xf>
    <xf numFmtId="166" fontId="57" fillId="30" borderId="37" xfId="61" applyNumberFormat="1" applyFont="1" applyFill="1" applyBorder="1" applyAlignment="1">
      <alignment horizontal="left" vertical="center" wrapText="1"/>
    </xf>
    <xf numFmtId="0" fontId="30" fillId="30" borderId="31" xfId="0" applyFont="1" applyFill="1" applyBorder="1" applyAlignment="1">
      <alignment horizontal="center" vertical="center"/>
    </xf>
    <xf numFmtId="2" fontId="47" fillId="30" borderId="31" xfId="0" applyNumberFormat="1" applyFont="1" applyFill="1" applyBorder="1" applyAlignment="1">
      <alignment horizontal="right" vertical="center"/>
    </xf>
    <xf numFmtId="166" fontId="41" fillId="30" borderId="39" xfId="61" applyNumberFormat="1" applyFont="1" applyFill="1" applyBorder="1" applyAlignment="1">
      <alignment horizontal="left" vertical="center" wrapText="1"/>
    </xf>
    <xf numFmtId="0" fontId="35" fillId="30" borderId="0" xfId="34" applyFont="1" applyFill="1" applyBorder="1" applyAlignment="1" applyProtection="1">
      <alignment horizontal="right"/>
    </xf>
    <xf numFmtId="0" fontId="35" fillId="30" borderId="16" xfId="34" applyFont="1" applyFill="1" applyBorder="1" applyAlignment="1" applyProtection="1">
      <alignment horizontal="right"/>
    </xf>
    <xf numFmtId="2" fontId="40" fillId="30" borderId="36" xfId="0" applyNumberFormat="1" applyFont="1" applyFill="1" applyBorder="1" applyAlignment="1">
      <alignment horizontal="right" vertical="center"/>
    </xf>
    <xf numFmtId="0" fontId="39" fillId="30" borderId="29" xfId="0" applyFont="1" applyFill="1" applyBorder="1" applyAlignment="1">
      <alignment horizontal="left" vertical="center"/>
    </xf>
    <xf numFmtId="0" fontId="29" fillId="25" borderId="0" xfId="0" applyFont="1" applyFill="1" applyAlignment="1">
      <alignment vertical="top"/>
    </xf>
    <xf numFmtId="0" fontId="54" fillId="25" borderId="0" xfId="0" applyFont="1" applyFill="1" applyAlignment="1">
      <alignment horizontal="center" vertical="center"/>
    </xf>
    <xf numFmtId="0" fontId="29" fillId="0" borderId="11" xfId="0" applyFont="1" applyBorder="1" applyAlignment="1">
      <alignment horizontal="left" vertical="center"/>
    </xf>
    <xf numFmtId="166" fontId="29" fillId="0" borderId="34" xfId="61" applyNumberFormat="1" applyFont="1" applyBorder="1" applyAlignment="1">
      <alignment vertical="top" wrapText="1"/>
    </xf>
    <xf numFmtId="0" fontId="29" fillId="0" borderId="20" xfId="0" applyFont="1" applyBorder="1" applyAlignment="1">
      <alignment horizontal="center" vertical="center"/>
    </xf>
    <xf numFmtId="0" fontId="29" fillId="0" borderId="34" xfId="0" applyFont="1" applyBorder="1" applyAlignment="1">
      <alignment horizontal="left" vertical="center"/>
    </xf>
    <xf numFmtId="0" fontId="29" fillId="0" borderId="44" xfId="0" applyFont="1" applyBorder="1" applyAlignment="1">
      <alignment horizontal="center" vertical="center"/>
    </xf>
    <xf numFmtId="2" fontId="29" fillId="30" borderId="48" xfId="0" applyNumberFormat="1" applyFont="1" applyFill="1" applyBorder="1" applyAlignment="1">
      <alignment horizontal="center" vertical="center" wrapText="1"/>
    </xf>
    <xf numFmtId="2" fontId="29" fillId="30" borderId="30" xfId="0" applyNumberFormat="1" applyFont="1" applyFill="1" applyBorder="1" applyAlignment="1">
      <alignment horizontal="center" vertical="center" wrapText="1"/>
    </xf>
    <xf numFmtId="2" fontId="29" fillId="30" borderId="54" xfId="0" applyNumberFormat="1" applyFont="1" applyFill="1" applyBorder="1" applyAlignment="1">
      <alignment horizontal="center" vertical="center" wrapText="1"/>
    </xf>
    <xf numFmtId="2" fontId="29" fillId="30" borderId="27" xfId="0" applyNumberFormat="1" applyFont="1" applyFill="1" applyBorder="1" applyAlignment="1">
      <alignment horizontal="center" vertical="center" wrapText="1"/>
    </xf>
    <xf numFmtId="0" fontId="30" fillId="30" borderId="49" xfId="0" applyFont="1" applyFill="1" applyBorder="1" applyAlignment="1">
      <alignment horizontal="right" vertical="center"/>
    </xf>
    <xf numFmtId="166" fontId="30" fillId="30" borderId="50" xfId="61" applyNumberFormat="1" applyFont="1" applyFill="1" applyBorder="1" applyAlignment="1">
      <alignment vertical="top" wrapText="1"/>
    </xf>
    <xf numFmtId="0" fontId="30" fillId="30" borderId="18" xfId="0" applyFont="1" applyFill="1" applyBorder="1" applyAlignment="1">
      <alignment horizontal="right" vertical="center"/>
    </xf>
    <xf numFmtId="0" fontId="30" fillId="30" borderId="0" xfId="0" applyFont="1" applyFill="1" applyAlignment="1">
      <alignment horizontal="right" vertical="center"/>
    </xf>
    <xf numFmtId="166" fontId="30" fillId="30" borderId="0" xfId="61" applyNumberFormat="1" applyFont="1" applyFill="1" applyBorder="1" applyAlignment="1">
      <alignment horizontal="left" vertical="top" wrapText="1"/>
    </xf>
    <xf numFmtId="166" fontId="30" fillId="30" borderId="0" xfId="61" applyNumberFormat="1" applyFont="1" applyFill="1" applyBorder="1" applyAlignment="1">
      <alignment horizontal="center" vertical="center" wrapText="1"/>
    </xf>
    <xf numFmtId="0" fontId="30" fillId="30" borderId="47" xfId="0" applyFont="1" applyFill="1" applyBorder="1" applyAlignment="1">
      <alignment horizontal="right" vertical="center"/>
    </xf>
    <xf numFmtId="0" fontId="30" fillId="30" borderId="36" xfId="0" applyFont="1" applyFill="1" applyBorder="1" applyAlignment="1">
      <alignment horizontal="right" vertical="center"/>
    </xf>
    <xf numFmtId="166" fontId="30" fillId="30" borderId="36" xfId="61" applyNumberFormat="1" applyFont="1" applyFill="1" applyBorder="1" applyAlignment="1">
      <alignment horizontal="center" vertical="center" wrapText="1"/>
    </xf>
    <xf numFmtId="0" fontId="30" fillId="30" borderId="29" xfId="0" applyFont="1" applyFill="1" applyBorder="1" applyAlignment="1">
      <alignment horizontal="right" vertical="center"/>
    </xf>
    <xf numFmtId="0" fontId="30" fillId="30" borderId="53" xfId="0" applyFont="1" applyFill="1" applyBorder="1" applyAlignment="1">
      <alignment horizontal="right" vertical="center"/>
    </xf>
    <xf numFmtId="166" fontId="30" fillId="30" borderId="53" xfId="61" applyNumberFormat="1" applyFont="1" applyFill="1" applyBorder="1" applyAlignment="1">
      <alignment horizontal="left" vertical="top" wrapText="1"/>
    </xf>
    <xf numFmtId="166" fontId="30" fillId="30" borderId="53" xfId="61" applyNumberFormat="1" applyFont="1" applyFill="1" applyBorder="1" applyAlignment="1">
      <alignment horizontal="center" vertical="center" wrapText="1"/>
    </xf>
    <xf numFmtId="0" fontId="30" fillId="30" borderId="31" xfId="0" applyFont="1" applyFill="1" applyBorder="1" applyAlignment="1">
      <alignment horizontal="right" vertical="center"/>
    </xf>
    <xf numFmtId="166" fontId="30" fillId="30" borderId="31" xfId="61" applyNumberFormat="1" applyFont="1" applyFill="1" applyBorder="1" applyAlignment="1">
      <alignment horizontal="left" vertical="top" wrapText="1"/>
    </xf>
    <xf numFmtId="166" fontId="30" fillId="30" borderId="31" xfId="61" applyNumberFormat="1" applyFont="1" applyFill="1" applyBorder="1" applyAlignment="1">
      <alignment horizontal="center" vertical="center" wrapText="1"/>
    </xf>
    <xf numFmtId="166" fontId="29" fillId="0" borderId="23" xfId="61" applyNumberFormat="1" applyFont="1" applyBorder="1" applyAlignment="1">
      <alignment horizontal="center" vertical="center" wrapText="1"/>
    </xf>
    <xf numFmtId="0" fontId="30" fillId="30" borderId="55" xfId="0" applyFont="1" applyFill="1" applyBorder="1" applyAlignment="1">
      <alignment horizontal="right" vertical="center"/>
    </xf>
    <xf numFmtId="2" fontId="60" fillId="30" borderId="15" xfId="0" applyNumberFormat="1" applyFont="1" applyFill="1" applyBorder="1" applyAlignment="1">
      <alignment vertical="center"/>
    </xf>
    <xf numFmtId="2" fontId="32" fillId="30" borderId="16" xfId="0" applyNumberFormat="1" applyFont="1" applyFill="1" applyBorder="1" applyAlignment="1">
      <alignment vertical="center" wrapText="1"/>
    </xf>
    <xf numFmtId="2" fontId="60" fillId="30" borderId="16" xfId="0" applyNumberFormat="1" applyFont="1" applyFill="1" applyBorder="1" applyAlignment="1">
      <alignment vertical="center" wrapText="1"/>
    </xf>
    <xf numFmtId="2" fontId="39" fillId="30" borderId="16" xfId="0" applyNumberFormat="1" applyFont="1" applyFill="1" applyBorder="1" applyAlignment="1">
      <alignment vertical="center" wrapText="1"/>
    </xf>
    <xf numFmtId="2" fontId="39" fillId="30" borderId="17" xfId="0" applyNumberFormat="1" applyFont="1" applyFill="1" applyBorder="1" applyAlignment="1">
      <alignment vertical="center" wrapText="1"/>
    </xf>
    <xf numFmtId="0" fontId="59" fillId="26" borderId="34" xfId="0" applyFont="1" applyFill="1" applyBorder="1"/>
    <xf numFmtId="14" fontId="38" fillId="30" borderId="16" xfId="0" applyNumberFormat="1" applyFont="1" applyFill="1" applyBorder="1" applyAlignment="1">
      <alignment horizontal="left"/>
    </xf>
    <xf numFmtId="169" fontId="38" fillId="30" borderId="0" xfId="0" applyNumberFormat="1" applyFont="1" applyFill="1"/>
    <xf numFmtId="169" fontId="38" fillId="30" borderId="0" xfId="0" applyNumberFormat="1" applyFont="1" applyFill="1" applyAlignment="1">
      <alignment horizontal="left"/>
    </xf>
    <xf numFmtId="169" fontId="51" fillId="30" borderId="0" xfId="0" applyNumberFormat="1" applyFont="1" applyFill="1"/>
    <xf numFmtId="170" fontId="52" fillId="30" borderId="56" xfId="63" applyNumberFormat="1" applyFont="1" applyFill="1" applyBorder="1" applyAlignment="1">
      <alignment horizontal="left" vertical="center"/>
    </xf>
    <xf numFmtId="2" fontId="29" fillId="30" borderId="0" xfId="0" applyNumberFormat="1" applyFont="1" applyFill="1" applyAlignment="1">
      <alignment vertical="center" wrapText="1"/>
    </xf>
    <xf numFmtId="2" fontId="29" fillId="30" borderId="15" xfId="0" applyNumberFormat="1" applyFont="1" applyFill="1" applyBorder="1" applyAlignment="1">
      <alignment horizontal="center" vertical="center" wrapText="1"/>
    </xf>
    <xf numFmtId="2" fontId="29" fillId="30" borderId="16" xfId="0" applyNumberFormat="1" applyFont="1" applyFill="1" applyBorder="1" applyAlignment="1">
      <alignment vertical="center" wrapText="1"/>
    </xf>
    <xf numFmtId="2" fontId="29" fillId="30" borderId="18" xfId="0" applyNumberFormat="1" applyFont="1" applyFill="1" applyBorder="1" applyAlignment="1">
      <alignment horizontal="center" vertical="center" wrapText="1"/>
    </xf>
    <xf numFmtId="2" fontId="29" fillId="30" borderId="29" xfId="0" applyNumberFormat="1" applyFont="1" applyFill="1" applyBorder="1" applyAlignment="1">
      <alignment horizontal="center" vertical="center" wrapText="1"/>
    </xf>
    <xf numFmtId="2" fontId="29" fillId="30" borderId="31" xfId="0" applyNumberFormat="1" applyFont="1" applyFill="1" applyBorder="1" applyAlignment="1">
      <alignment vertical="center" wrapText="1"/>
    </xf>
    <xf numFmtId="0" fontId="39" fillId="30" borderId="31" xfId="0" applyFont="1" applyFill="1" applyBorder="1" applyAlignment="1">
      <alignment horizontal="left" vertical="center"/>
    </xf>
    <xf numFmtId="2" fontId="29" fillId="30" borderId="0" xfId="0" applyNumberFormat="1" applyFont="1" applyFill="1" applyAlignment="1">
      <alignment horizontal="center" vertical="center" wrapText="1"/>
    </xf>
    <xf numFmtId="0" fontId="39" fillId="30" borderId="31" xfId="0" applyFont="1" applyFill="1" applyBorder="1" applyAlignment="1">
      <alignment horizontal="center" vertical="center"/>
    </xf>
    <xf numFmtId="2" fontId="29" fillId="30" borderId="17" xfId="0" applyNumberFormat="1" applyFont="1" applyFill="1" applyBorder="1" applyAlignment="1">
      <alignment vertical="center" wrapText="1"/>
    </xf>
    <xf numFmtId="2" fontId="29" fillId="30" borderId="19" xfId="0" applyNumberFormat="1" applyFont="1" applyFill="1" applyBorder="1" applyAlignment="1">
      <alignment vertical="center" wrapText="1"/>
    </xf>
    <xf numFmtId="2" fontId="29" fillId="30" borderId="30" xfId="0" applyNumberFormat="1" applyFont="1" applyFill="1" applyBorder="1" applyAlignment="1">
      <alignment vertical="center" wrapText="1"/>
    </xf>
    <xf numFmtId="2" fontId="29" fillId="30" borderId="16" xfId="0" applyNumberFormat="1" applyFont="1" applyFill="1" applyBorder="1" applyAlignment="1">
      <alignment horizontal="center" vertical="center" wrapText="1"/>
    </xf>
    <xf numFmtId="0" fontId="29" fillId="30" borderId="16" xfId="0" applyFont="1" applyFill="1" applyBorder="1" applyAlignment="1">
      <alignment horizontal="center" vertical="center"/>
    </xf>
    <xf numFmtId="2" fontId="29" fillId="30" borderId="31" xfId="0" applyNumberFormat="1" applyFont="1" applyFill="1" applyBorder="1" applyAlignment="1">
      <alignment horizontal="center" vertical="center" wrapText="1"/>
    </xf>
    <xf numFmtId="2" fontId="29" fillId="25" borderId="0" xfId="0" applyNumberFormat="1" applyFont="1" applyFill="1" applyAlignment="1">
      <alignment vertical="center" wrapText="1"/>
    </xf>
    <xf numFmtId="2" fontId="29" fillId="25" borderId="13" xfId="0" applyNumberFormat="1" applyFont="1" applyFill="1" applyBorder="1" applyAlignment="1">
      <alignment vertical="center" wrapText="1"/>
    </xf>
    <xf numFmtId="0" fontId="29" fillId="25" borderId="13" xfId="0" applyFont="1" applyFill="1" applyBorder="1" applyAlignment="1">
      <alignment vertical="top"/>
    </xf>
    <xf numFmtId="0" fontId="37" fillId="30" borderId="26" xfId="0" applyFont="1" applyFill="1" applyBorder="1" applyAlignment="1">
      <alignment horizontal="center" vertical="center"/>
    </xf>
    <xf numFmtId="0" fontId="29" fillId="30" borderId="26" xfId="0" applyFont="1" applyFill="1" applyBorder="1" applyAlignment="1">
      <alignment horizontal="center" vertical="center"/>
    </xf>
    <xf numFmtId="0" fontId="61" fillId="30" borderId="25" xfId="0" applyFont="1" applyFill="1" applyBorder="1"/>
    <xf numFmtId="0" fontId="63" fillId="0" borderId="11" xfId="0" applyFont="1" applyBorder="1" applyAlignment="1">
      <alignment vertical="center" wrapText="1"/>
    </xf>
    <xf numFmtId="0" fontId="29" fillId="25" borderId="10" xfId="0" applyFont="1" applyFill="1" applyBorder="1" applyAlignment="1">
      <alignment vertical="top"/>
    </xf>
    <xf numFmtId="2" fontId="30" fillId="25" borderId="0" xfId="0" applyNumberFormat="1" applyFont="1" applyFill="1" applyAlignment="1">
      <alignment vertical="center" wrapText="1"/>
    </xf>
    <xf numFmtId="2" fontId="30" fillId="25" borderId="13" xfId="0" applyNumberFormat="1" applyFont="1" applyFill="1" applyBorder="1" applyAlignment="1">
      <alignment vertical="center" wrapText="1"/>
    </xf>
    <xf numFmtId="14" fontId="38" fillId="25" borderId="0" xfId="0" applyNumberFormat="1" applyFont="1" applyFill="1" applyAlignment="1">
      <alignment horizontal="left" vertical="center"/>
    </xf>
    <xf numFmtId="169" fontId="38" fillId="25" borderId="0" xfId="0" applyNumberFormat="1" applyFont="1" applyFill="1"/>
    <xf numFmtId="0" fontId="37" fillId="25" borderId="0" xfId="0" applyFont="1" applyFill="1" applyAlignment="1">
      <alignment horizontal="right" vertical="center"/>
    </xf>
    <xf numFmtId="0" fontId="29" fillId="25" borderId="0" xfId="0" applyFont="1" applyFill="1" applyAlignment="1">
      <alignment vertical="center"/>
    </xf>
    <xf numFmtId="0" fontId="54" fillId="25" borderId="10" xfId="0" applyFont="1" applyFill="1" applyBorder="1" applyAlignment="1">
      <alignment vertical="top"/>
    </xf>
    <xf numFmtId="2" fontId="54" fillId="25" borderId="0" xfId="0" applyNumberFormat="1" applyFont="1" applyFill="1" applyAlignment="1">
      <alignment vertical="center" wrapText="1"/>
    </xf>
    <xf numFmtId="2" fontId="44" fillId="25" borderId="0" xfId="0" applyNumberFormat="1" applyFont="1" applyFill="1" applyAlignment="1">
      <alignment vertical="center" wrapText="1"/>
    </xf>
    <xf numFmtId="0" fontId="54" fillId="25" borderId="0" xfId="0" applyFont="1" applyFill="1" applyAlignment="1">
      <alignment vertical="center"/>
    </xf>
    <xf numFmtId="0" fontId="54" fillId="25" borderId="13" xfId="0" applyFont="1" applyFill="1" applyBorder="1" applyAlignment="1">
      <alignment vertical="top"/>
    </xf>
    <xf numFmtId="2" fontId="56" fillId="25" borderId="0" xfId="0" applyNumberFormat="1" applyFont="1" applyFill="1" applyAlignment="1">
      <alignment vertical="center" wrapText="1"/>
    </xf>
    <xf numFmtId="2" fontId="29" fillId="30" borderId="60" xfId="0" applyNumberFormat="1" applyFont="1" applyFill="1" applyBorder="1" applyAlignment="1">
      <alignment horizontal="center" vertical="center" wrapText="1"/>
    </xf>
    <xf numFmtId="172" fontId="30" fillId="26" borderId="0" xfId="62" applyNumberFormat="1" applyFont="1" applyFill="1" applyBorder="1" applyAlignment="1">
      <alignment horizontal="center" vertical="center"/>
    </xf>
    <xf numFmtId="0" fontId="29" fillId="25" borderId="23" xfId="0" applyFont="1" applyFill="1" applyBorder="1" applyAlignment="1">
      <alignment vertical="top"/>
    </xf>
    <xf numFmtId="0" fontId="29" fillId="25" borderId="22" xfId="0" applyFont="1" applyFill="1" applyBorder="1" applyAlignment="1">
      <alignment horizontal="center" vertical="center"/>
    </xf>
    <xf numFmtId="2" fontId="29" fillId="25" borderId="22" xfId="0" applyNumberFormat="1" applyFont="1" applyFill="1" applyBorder="1" applyAlignment="1">
      <alignment vertical="top" wrapText="1"/>
    </xf>
    <xf numFmtId="2" fontId="29" fillId="25" borderId="22" xfId="0" applyNumberFormat="1" applyFont="1" applyFill="1" applyBorder="1" applyAlignment="1">
      <alignment horizontal="center" vertical="center" wrapText="1"/>
    </xf>
    <xf numFmtId="2" fontId="29" fillId="25" borderId="22" xfId="0" applyNumberFormat="1" applyFont="1" applyFill="1" applyBorder="1" applyAlignment="1">
      <alignment vertical="center" wrapText="1"/>
    </xf>
    <xf numFmtId="2" fontId="29" fillId="25" borderId="61" xfId="0" applyNumberFormat="1" applyFont="1" applyFill="1" applyBorder="1" applyAlignment="1">
      <alignment vertical="center" wrapText="1"/>
    </xf>
    <xf numFmtId="172" fontId="29" fillId="0" borderId="45" xfId="62" applyNumberFormat="1" applyFont="1" applyBorder="1" applyAlignment="1">
      <alignment horizontal="center" vertical="center" wrapText="1"/>
    </xf>
    <xf numFmtId="172" fontId="29" fillId="0" borderId="21" xfId="62" applyNumberFormat="1" applyFont="1" applyBorder="1" applyAlignment="1">
      <alignment horizontal="center" vertical="center" wrapText="1"/>
    </xf>
    <xf numFmtId="2" fontId="41" fillId="30" borderId="16" xfId="0" applyNumberFormat="1" applyFont="1" applyFill="1" applyBorder="1" applyAlignment="1">
      <alignment horizontal="right" vertical="center"/>
    </xf>
    <xf numFmtId="166" fontId="57" fillId="30" borderId="38" xfId="61" applyNumberFormat="1" applyFont="1" applyFill="1" applyBorder="1" applyAlignment="1">
      <alignment horizontal="left" vertical="center" wrapText="1"/>
    </xf>
    <xf numFmtId="9" fontId="45" fillId="30" borderId="16" xfId="62" applyFont="1" applyFill="1" applyBorder="1" applyAlignment="1">
      <alignment horizontal="center" vertical="center"/>
    </xf>
    <xf numFmtId="9" fontId="45" fillId="30" borderId="0" xfId="62" applyFont="1" applyFill="1" applyBorder="1" applyAlignment="1">
      <alignment horizontal="center" vertical="center"/>
    </xf>
    <xf numFmtId="2" fontId="29" fillId="0" borderId="0" xfId="0" applyNumberFormat="1" applyFont="1" applyAlignment="1">
      <alignment vertical="center"/>
    </xf>
    <xf numFmtId="2" fontId="30" fillId="30" borderId="16" xfId="0" applyNumberFormat="1" applyFont="1" applyFill="1" applyBorder="1" applyAlignment="1">
      <alignment horizontal="left" vertical="center"/>
    </xf>
    <xf numFmtId="2" fontId="30" fillId="30" borderId="0" xfId="0" applyNumberFormat="1" applyFont="1" applyFill="1" applyAlignment="1">
      <alignment vertical="center"/>
    </xf>
    <xf numFmtId="0" fontId="29" fillId="0" borderId="51" xfId="0" applyFont="1" applyBorder="1" applyAlignment="1">
      <alignment horizontal="center" vertical="center"/>
    </xf>
    <xf numFmtId="0" fontId="29" fillId="0" borderId="46" xfId="0" applyFont="1" applyBorder="1" applyAlignment="1">
      <alignment horizontal="left" vertical="center"/>
    </xf>
    <xf numFmtId="172" fontId="29" fillId="0" borderId="52" xfId="62" applyNumberFormat="1" applyFont="1" applyBorder="1" applyAlignment="1">
      <alignment horizontal="center" vertical="center" wrapText="1"/>
    </xf>
    <xf numFmtId="0" fontId="30" fillId="30" borderId="50" xfId="0" applyFont="1" applyFill="1" applyBorder="1" applyAlignment="1">
      <alignment horizontal="right" vertical="center"/>
    </xf>
    <xf numFmtId="2" fontId="29" fillId="30" borderId="65" xfId="0" applyNumberFormat="1" applyFont="1" applyFill="1" applyBorder="1" applyAlignment="1">
      <alignment horizontal="center" vertical="center" wrapText="1"/>
    </xf>
    <xf numFmtId="44" fontId="42" fillId="31" borderId="11" xfId="61" applyFont="1" applyFill="1" applyBorder="1" applyAlignment="1">
      <alignment horizontal="center" vertical="center" wrapText="1"/>
    </xf>
    <xf numFmtId="44" fontId="42" fillId="31" borderId="11" xfId="61" applyFont="1" applyFill="1" applyBorder="1" applyAlignment="1">
      <alignment horizontal="center" wrapText="1"/>
    </xf>
    <xf numFmtId="0" fontId="33" fillId="25" borderId="32" xfId="41" applyFont="1" applyFill="1" applyBorder="1" applyAlignment="1">
      <alignment horizontal="left" vertical="center"/>
    </xf>
    <xf numFmtId="166" fontId="29" fillId="0" borderId="34" xfId="78" applyNumberFormat="1" applyFont="1" applyBorder="1" applyAlignment="1">
      <alignment vertical="top" wrapText="1"/>
    </xf>
    <xf numFmtId="166" fontId="29" fillId="0" borderId="23" xfId="78" applyNumberFormat="1" applyFont="1" applyBorder="1" applyAlignment="1">
      <alignment horizontal="center" vertical="center" wrapText="1"/>
    </xf>
    <xf numFmtId="169" fontId="37" fillId="31" borderId="11" xfId="0" applyNumberFormat="1" applyFont="1" applyFill="1" applyBorder="1"/>
    <xf numFmtId="0" fontId="40" fillId="31" borderId="57" xfId="0" applyFont="1" applyFill="1" applyBorder="1" applyAlignment="1">
      <alignment horizontal="center" vertical="center"/>
    </xf>
    <xf numFmtId="0" fontId="40" fillId="31" borderId="58" xfId="0" applyFont="1" applyFill="1" applyBorder="1" applyAlignment="1">
      <alignment horizontal="left" vertical="center"/>
    </xf>
    <xf numFmtId="2" fontId="40" fillId="31" borderId="58" xfId="0" applyNumberFormat="1" applyFont="1" applyFill="1" applyBorder="1" applyAlignment="1">
      <alignment horizontal="center" vertical="center" wrapText="1"/>
    </xf>
    <xf numFmtId="0" fontId="40" fillId="31" borderId="58" xfId="0" applyFont="1" applyFill="1" applyBorder="1" applyAlignment="1">
      <alignment horizontal="center" vertical="center"/>
    </xf>
    <xf numFmtId="2" fontId="40" fillId="31" borderId="59" xfId="0" applyNumberFormat="1" applyFont="1" applyFill="1" applyBorder="1" applyAlignment="1">
      <alignment vertical="center" wrapText="1"/>
    </xf>
    <xf numFmtId="0" fontId="29" fillId="25" borderId="37" xfId="0" applyFont="1" applyFill="1" applyBorder="1" applyAlignment="1">
      <alignment vertical="top"/>
    </xf>
    <xf numFmtId="0" fontId="29" fillId="25" borderId="36" xfId="0" applyFont="1" applyFill="1" applyBorder="1" applyAlignment="1">
      <alignment horizontal="center" vertical="center"/>
    </xf>
    <xf numFmtId="2" fontId="29" fillId="25" borderId="36" xfId="0" applyNumberFormat="1" applyFont="1" applyFill="1" applyBorder="1" applyAlignment="1">
      <alignment vertical="top" wrapText="1"/>
    </xf>
    <xf numFmtId="2" fontId="29" fillId="25" borderId="36" xfId="0" applyNumberFormat="1" applyFont="1" applyFill="1" applyBorder="1" applyAlignment="1">
      <alignment horizontal="center" vertical="center" wrapText="1"/>
    </xf>
    <xf numFmtId="2" fontId="30" fillId="25" borderId="36" xfId="0" applyNumberFormat="1" applyFont="1" applyFill="1" applyBorder="1" applyAlignment="1">
      <alignment vertical="center" wrapText="1"/>
    </xf>
    <xf numFmtId="2" fontId="30" fillId="25" borderId="72" xfId="0" applyNumberFormat="1" applyFont="1" applyFill="1" applyBorder="1" applyAlignment="1">
      <alignment vertical="center" wrapText="1"/>
    </xf>
    <xf numFmtId="0" fontId="40" fillId="31" borderId="73" xfId="0" applyFont="1" applyFill="1" applyBorder="1" applyAlignment="1">
      <alignment horizontal="left" vertical="center"/>
    </xf>
    <xf numFmtId="2" fontId="40" fillId="31" borderId="74" xfId="0" applyNumberFormat="1" applyFont="1" applyFill="1" applyBorder="1" applyAlignment="1">
      <alignment horizontal="center" vertical="center" wrapText="1"/>
    </xf>
    <xf numFmtId="0" fontId="40" fillId="31" borderId="74" xfId="0" applyFont="1" applyFill="1" applyBorder="1" applyAlignment="1">
      <alignment horizontal="center" vertical="center"/>
    </xf>
    <xf numFmtId="2" fontId="40" fillId="31" borderId="75" xfId="0" applyNumberFormat="1" applyFont="1" applyFill="1" applyBorder="1" applyAlignment="1">
      <alignment vertical="center" wrapText="1"/>
    </xf>
    <xf numFmtId="0" fontId="65" fillId="25" borderId="0" xfId="0" applyFont="1" applyFill="1" applyAlignment="1">
      <alignment horizontal="center" vertical="center"/>
    </xf>
    <xf numFmtId="0" fontId="64" fillId="30" borderId="49" xfId="0" applyFont="1" applyFill="1" applyBorder="1" applyAlignment="1">
      <alignment horizontal="right" vertical="center"/>
    </xf>
    <xf numFmtId="0" fontId="64" fillId="30" borderId="18" xfId="0" applyFont="1" applyFill="1" applyBorder="1" applyAlignment="1">
      <alignment horizontal="right" vertical="center"/>
    </xf>
    <xf numFmtId="0" fontId="64" fillId="30" borderId="47" xfId="0" applyFont="1" applyFill="1" applyBorder="1" applyAlignment="1">
      <alignment horizontal="right" vertical="center"/>
    </xf>
    <xf numFmtId="0" fontId="64" fillId="30" borderId="29" xfId="0" applyFont="1" applyFill="1" applyBorder="1" applyAlignment="1">
      <alignment horizontal="right" vertical="center"/>
    </xf>
    <xf numFmtId="0" fontId="37" fillId="31" borderId="11" xfId="0" applyFont="1" applyFill="1" applyBorder="1" applyAlignment="1">
      <alignment horizontal="right"/>
    </xf>
    <xf numFmtId="0" fontId="29" fillId="25" borderId="18" xfId="0" applyFont="1" applyFill="1" applyBorder="1" applyAlignment="1">
      <alignment horizontal="center" vertical="center"/>
    </xf>
    <xf numFmtId="2" fontId="29" fillId="25" borderId="19" xfId="0" applyNumberFormat="1" applyFont="1" applyFill="1" applyBorder="1" applyAlignment="1">
      <alignment vertical="center" wrapText="1"/>
    </xf>
    <xf numFmtId="0" fontId="29" fillId="25" borderId="19" xfId="0" applyFont="1" applyFill="1" applyBorder="1" applyAlignment="1">
      <alignment vertical="top"/>
    </xf>
    <xf numFmtId="2" fontId="29" fillId="25" borderId="19" xfId="0" applyNumberFormat="1" applyFont="1" applyFill="1" applyBorder="1" applyAlignment="1">
      <alignment horizontal="center" vertical="center" wrapText="1"/>
    </xf>
    <xf numFmtId="0" fontId="29" fillId="25" borderId="80" xfId="38" applyFont="1" applyFill="1" applyBorder="1" applyAlignment="1">
      <alignment horizontal="justify" vertical="center" wrapText="1"/>
    </xf>
    <xf numFmtId="41" fontId="29" fillId="25" borderId="80" xfId="38" applyNumberFormat="1" applyFont="1" applyFill="1" applyBorder="1" applyAlignment="1">
      <alignment horizontal="center" vertical="center"/>
    </xf>
    <xf numFmtId="9" fontId="29" fillId="25" borderId="80" xfId="38" applyNumberFormat="1" applyFont="1" applyFill="1" applyBorder="1" applyAlignment="1">
      <alignment horizontal="right" vertical="center"/>
    </xf>
    <xf numFmtId="41" fontId="29" fillId="25" borderId="80" xfId="38" applyNumberFormat="1" applyFont="1" applyFill="1" applyBorder="1" applyAlignment="1">
      <alignment horizontal="right" vertical="center"/>
    </xf>
    <xf numFmtId="0" fontId="29" fillId="25" borderId="80" xfId="38" applyFont="1" applyFill="1" applyBorder="1" applyAlignment="1">
      <alignment horizontal="center" vertical="center"/>
    </xf>
    <xf numFmtId="0" fontId="29" fillId="28" borderId="80" xfId="64" applyFont="1" applyFill="1" applyBorder="1" applyAlignment="1">
      <alignment horizontal="center" vertical="center"/>
    </xf>
    <xf numFmtId="168" fontId="29" fillId="30" borderId="80" xfId="38" applyNumberFormat="1" applyFont="1" applyFill="1" applyBorder="1" applyAlignment="1">
      <alignment horizontal="right" vertical="center"/>
    </xf>
    <xf numFmtId="168" fontId="29" fillId="0" borderId="80" xfId="38" applyNumberFormat="1" applyFont="1" applyFill="1" applyBorder="1" applyAlignment="1">
      <alignment vertical="center"/>
    </xf>
    <xf numFmtId="168" fontId="29" fillId="28" borderId="80" xfId="38" applyNumberFormat="1" applyFont="1" applyFill="1" applyBorder="1" applyAlignment="1">
      <alignment horizontal="right" vertical="center"/>
    </xf>
    <xf numFmtId="168" fontId="29" fillId="25" borderId="80" xfId="38" applyNumberFormat="1" applyFont="1" applyFill="1" applyBorder="1" applyAlignment="1">
      <alignment vertical="center"/>
    </xf>
    <xf numFmtId="167" fontId="29" fillId="25" borderId="80" xfId="38" applyNumberFormat="1" applyFont="1" applyFill="1" applyBorder="1" applyAlignment="1" applyProtection="1">
      <alignment horizontal="left" vertical="center"/>
    </xf>
    <xf numFmtId="41" fontId="29" fillId="0" borderId="19" xfId="45" applyNumberFormat="1" applyFont="1" applyBorder="1" applyAlignment="1">
      <alignment vertical="center"/>
    </xf>
    <xf numFmtId="1" fontId="29" fillId="0" borderId="81" xfId="38" applyNumberFormat="1" applyFont="1" applyFill="1" applyBorder="1" applyAlignment="1">
      <alignment horizontal="center" vertical="center"/>
    </xf>
    <xf numFmtId="1" fontId="29" fillId="25" borderId="82" xfId="38" applyNumberFormat="1" applyFont="1" applyFill="1" applyBorder="1" applyAlignment="1">
      <alignment horizontal="center" vertical="center"/>
    </xf>
    <xf numFmtId="0" fontId="30" fillId="27" borderId="80" xfId="38" applyFont="1" applyFill="1" applyBorder="1" applyAlignment="1">
      <alignment horizontal="justify" vertical="center"/>
    </xf>
    <xf numFmtId="43" fontId="29" fillId="25" borderId="80" xfId="38" applyNumberFormat="1" applyFont="1" applyFill="1" applyBorder="1" applyAlignment="1">
      <alignment horizontal="center" vertical="center"/>
    </xf>
    <xf numFmtId="1" fontId="29" fillId="25" borderId="81" xfId="38" applyNumberFormat="1" applyFont="1" applyFill="1" applyBorder="1" applyAlignment="1">
      <alignment horizontal="center" vertical="center"/>
    </xf>
    <xf numFmtId="9" fontId="29" fillId="0" borderId="80" xfId="62" applyFont="1" applyFill="1" applyBorder="1" applyAlignment="1">
      <alignment horizontal="right" vertical="center"/>
    </xf>
    <xf numFmtId="168" fontId="29" fillId="25" borderId="80" xfId="38" applyNumberFormat="1" applyFont="1" applyFill="1" applyBorder="1" applyAlignment="1">
      <alignment horizontal="right" vertical="center"/>
    </xf>
    <xf numFmtId="44" fontId="29" fillId="28" borderId="80" xfId="38" applyNumberFormat="1" applyFont="1" applyFill="1" applyBorder="1" applyAlignment="1">
      <alignment horizontal="right" vertical="center"/>
    </xf>
    <xf numFmtId="171" fontId="29" fillId="28" borderId="80" xfId="64" applyNumberFormat="1" applyFont="1" applyFill="1" applyBorder="1" applyAlignment="1">
      <alignment horizontal="center" vertical="center"/>
    </xf>
    <xf numFmtId="1" fontId="29" fillId="25" borderId="81" xfId="64" applyNumberFormat="1" applyFont="1" applyFill="1" applyBorder="1" applyAlignment="1">
      <alignment horizontal="center" vertical="center"/>
    </xf>
    <xf numFmtId="1" fontId="29" fillId="25" borderId="82" xfId="64" applyNumberFormat="1" applyFont="1" applyFill="1" applyBorder="1" applyAlignment="1">
      <alignment horizontal="center" vertical="center"/>
    </xf>
    <xf numFmtId="43" fontId="29" fillId="25" borderId="80" xfId="64" applyNumberFormat="1" applyFont="1" applyFill="1" applyBorder="1" applyAlignment="1">
      <alignment horizontal="center" vertical="center"/>
    </xf>
    <xf numFmtId="168" fontId="29" fillId="25" borderId="80" xfId="64" applyNumberFormat="1" applyFont="1" applyFill="1" applyBorder="1" applyAlignment="1">
      <alignment horizontal="right" vertical="center"/>
    </xf>
    <xf numFmtId="168" fontId="29" fillId="28" borderId="80" xfId="64" applyNumberFormat="1" applyFont="1" applyFill="1" applyBorder="1" applyAlignment="1">
      <alignment horizontal="right" vertical="center"/>
    </xf>
    <xf numFmtId="168" fontId="29" fillId="25" borderId="80" xfId="64" applyNumberFormat="1" applyFont="1" applyFill="1" applyBorder="1" applyAlignment="1">
      <alignment vertical="center"/>
    </xf>
    <xf numFmtId="167" fontId="29" fillId="25" borderId="80" xfId="64" applyNumberFormat="1" applyFont="1" applyFill="1" applyBorder="1" applyAlignment="1" applyProtection="1">
      <alignment horizontal="left" vertical="center"/>
    </xf>
    <xf numFmtId="0" fontId="29" fillId="25" borderId="80" xfId="64" applyFont="1" applyFill="1" applyBorder="1" applyAlignment="1">
      <alignment horizontal="justify" vertical="center" wrapText="1"/>
    </xf>
    <xf numFmtId="1" fontId="29" fillId="25" borderId="82" xfId="70" applyNumberFormat="1" applyFont="1" applyFill="1" applyBorder="1" applyAlignment="1">
      <alignment horizontal="center" vertical="center"/>
    </xf>
    <xf numFmtId="168" fontId="29" fillId="25" borderId="80" xfId="71" applyNumberFormat="1" applyFont="1" applyFill="1" applyBorder="1" applyAlignment="1">
      <alignment vertical="center"/>
    </xf>
    <xf numFmtId="164" fontId="29" fillId="25" borderId="80" xfId="38" applyNumberFormat="1" applyFont="1" applyFill="1" applyBorder="1" applyAlignment="1">
      <alignment horizontal="center" vertical="center"/>
    </xf>
    <xf numFmtId="168" fontId="29" fillId="28" borderId="80" xfId="71" applyNumberFormat="1" applyFont="1" applyFill="1" applyBorder="1" applyAlignment="1">
      <alignment vertical="center"/>
    </xf>
    <xf numFmtId="0" fontId="29" fillId="0" borderId="0" xfId="45" applyFont="1" applyAlignment="1">
      <alignment horizontal="center" vertical="center"/>
    </xf>
    <xf numFmtId="41" fontId="29" fillId="25" borderId="83" xfId="38" applyNumberFormat="1" applyFont="1" applyFill="1" applyBorder="1" applyAlignment="1">
      <alignment horizontal="center" vertical="center"/>
    </xf>
    <xf numFmtId="1" fontId="29" fillId="25" borderId="85" xfId="38" applyNumberFormat="1" applyFont="1" applyFill="1" applyBorder="1" applyAlignment="1">
      <alignment horizontal="center" vertical="center"/>
    </xf>
    <xf numFmtId="1" fontId="29" fillId="25" borderId="86" xfId="38" applyNumberFormat="1" applyFont="1" applyFill="1" applyBorder="1" applyAlignment="1">
      <alignment horizontal="center" vertical="center"/>
    </xf>
    <xf numFmtId="0" fontId="29" fillId="25" borderId="87" xfId="38" applyFont="1" applyFill="1" applyBorder="1" applyAlignment="1">
      <alignment horizontal="justify" vertical="center" wrapText="1"/>
    </xf>
    <xf numFmtId="41" fontId="29" fillId="25" borderId="87" xfId="38" applyNumberFormat="1" applyFont="1" applyFill="1" applyBorder="1" applyAlignment="1">
      <alignment horizontal="center" vertical="center"/>
    </xf>
    <xf numFmtId="9" fontId="29" fillId="25" borderId="87" xfId="38" applyNumberFormat="1" applyFont="1" applyFill="1" applyBorder="1" applyAlignment="1">
      <alignment horizontal="right" vertical="center"/>
    </xf>
    <xf numFmtId="41" fontId="29" fillId="25" borderId="87" xfId="38" applyNumberFormat="1" applyFont="1" applyFill="1" applyBorder="1" applyAlignment="1">
      <alignment horizontal="right" vertical="center"/>
    </xf>
    <xf numFmtId="0" fontId="29" fillId="25" borderId="87" xfId="38" applyFont="1" applyFill="1" applyBorder="1" applyAlignment="1">
      <alignment horizontal="center" vertical="center"/>
    </xf>
    <xf numFmtId="171" fontId="29" fillId="28" borderId="87" xfId="38" applyNumberFormat="1" applyFont="1" applyFill="1" applyBorder="1" applyAlignment="1">
      <alignment horizontal="center" vertical="center"/>
    </xf>
    <xf numFmtId="164" fontId="29" fillId="25" borderId="87" xfId="38" applyNumberFormat="1" applyFont="1" applyFill="1" applyBorder="1" applyAlignment="1">
      <alignment horizontal="center" vertical="center"/>
    </xf>
    <xf numFmtId="168" fontId="29" fillId="30" borderId="87" xfId="38" applyNumberFormat="1" applyFont="1" applyFill="1" applyBorder="1" applyAlignment="1">
      <alignment horizontal="right" vertical="center"/>
    </xf>
    <xf numFmtId="168" fontId="29" fillId="25" borderId="87" xfId="38" applyNumberFormat="1" applyFont="1" applyFill="1" applyBorder="1" applyAlignment="1">
      <alignment horizontal="right" vertical="center"/>
    </xf>
    <xf numFmtId="168" fontId="29" fillId="28" borderId="87" xfId="38" applyNumberFormat="1" applyFont="1" applyFill="1" applyBorder="1" applyAlignment="1">
      <alignment vertical="center"/>
    </xf>
    <xf numFmtId="168" fontId="29" fillId="25" borderId="87" xfId="38" applyNumberFormat="1" applyFont="1" applyFill="1" applyBorder="1" applyAlignment="1">
      <alignment vertical="center"/>
    </xf>
    <xf numFmtId="167" fontId="29" fillId="25" borderId="87" xfId="38" applyNumberFormat="1" applyFont="1" applyFill="1" applyBorder="1" applyAlignment="1" applyProtection="1">
      <alignment horizontal="left" vertical="center"/>
    </xf>
    <xf numFmtId="41" fontId="29" fillId="0" borderId="30" xfId="45" applyNumberFormat="1" applyFont="1" applyBorder="1" applyAlignment="1">
      <alignment vertical="center"/>
    </xf>
    <xf numFmtId="42" fontId="33" fillId="25" borderId="89" xfId="41" applyNumberFormat="1" applyFont="1" applyFill="1" applyBorder="1" applyAlignment="1">
      <alignment vertical="center"/>
    </xf>
    <xf numFmtId="0" fontId="33" fillId="25" borderId="43" xfId="41" applyFont="1" applyFill="1" applyBorder="1" applyAlignment="1">
      <alignment horizontal="center" vertical="center"/>
    </xf>
    <xf numFmtId="0" fontId="33" fillId="25" borderId="43" xfId="41" applyFont="1" applyFill="1" applyBorder="1" applyAlignment="1">
      <alignment horizontal="left" vertical="center"/>
    </xf>
    <xf numFmtId="165" fontId="33" fillId="25" borderId="43" xfId="41" applyNumberFormat="1" applyFont="1" applyFill="1" applyBorder="1" applyAlignment="1" applyProtection="1">
      <alignment horizontal="center" vertical="center"/>
    </xf>
    <xf numFmtId="166" fontId="33" fillId="25" borderId="43" xfId="41" applyNumberFormat="1" applyFont="1" applyFill="1" applyBorder="1" applyAlignment="1">
      <alignment horizontal="left" vertical="center"/>
    </xf>
    <xf numFmtId="166" fontId="33" fillId="25" borderId="91" xfId="41" applyNumberFormat="1" applyFont="1" applyFill="1" applyBorder="1" applyAlignment="1">
      <alignment vertical="center"/>
    </xf>
    <xf numFmtId="0" fontId="33" fillId="25" borderId="94" xfId="41" applyFont="1" applyFill="1" applyBorder="1" applyAlignment="1">
      <alignment horizontal="center" vertical="center"/>
    </xf>
    <xf numFmtId="0" fontId="33" fillId="25" borderId="94" xfId="41" applyFont="1" applyFill="1" applyBorder="1" applyAlignment="1">
      <alignment horizontal="left" vertical="center"/>
    </xf>
    <xf numFmtId="0" fontId="33" fillId="25" borderId="94" xfId="41" applyFont="1" applyFill="1" applyBorder="1" applyAlignment="1">
      <alignment vertical="center"/>
    </xf>
    <xf numFmtId="165" fontId="33" fillId="25" borderId="94" xfId="41" applyNumberFormat="1" applyFont="1" applyFill="1" applyBorder="1" applyAlignment="1" applyProtection="1">
      <alignment horizontal="center" vertical="center"/>
    </xf>
    <xf numFmtId="167" fontId="33" fillId="25" borderId="94" xfId="41" applyNumberFormat="1" applyFont="1" applyFill="1" applyBorder="1" applyAlignment="1">
      <alignment horizontal="left" vertical="center"/>
    </xf>
    <xf numFmtId="42" fontId="33" fillId="25" borderId="95" xfId="41" applyNumberFormat="1" applyFont="1" applyFill="1" applyBorder="1" applyAlignment="1">
      <alignment vertical="center"/>
    </xf>
    <xf numFmtId="166" fontId="69" fillId="25" borderId="0" xfId="75" applyNumberFormat="1" applyFont="1" applyFill="1" applyBorder="1" applyAlignment="1">
      <alignment horizontal="left" vertical="center"/>
    </xf>
    <xf numFmtId="2" fontId="70" fillId="25" borderId="0" xfId="0" applyNumberFormat="1" applyFont="1" applyFill="1" applyAlignment="1">
      <alignment vertical="center" wrapText="1"/>
    </xf>
    <xf numFmtId="2" fontId="29" fillId="25" borderId="98" xfId="0" applyNumberFormat="1" applyFont="1" applyFill="1" applyBorder="1" applyAlignment="1">
      <alignment vertical="center"/>
    </xf>
    <xf numFmtId="0" fontId="44" fillId="25" borderId="99" xfId="0" applyFont="1" applyFill="1" applyBorder="1" applyAlignment="1">
      <alignment vertical="center" wrapText="1"/>
    </xf>
    <xf numFmtId="0" fontId="41" fillId="25" borderId="68" xfId="77" applyFont="1" applyFill="1" applyBorder="1" applyAlignment="1">
      <alignment horizontal="center" vertical="center" wrapText="1"/>
    </xf>
    <xf numFmtId="0" fontId="63" fillId="0" borderId="20" xfId="0" applyFont="1" applyBorder="1" applyAlignment="1">
      <alignment vertical="center" wrapText="1"/>
    </xf>
    <xf numFmtId="0" fontId="63" fillId="0" borderId="20" xfId="0" applyFont="1" applyBorder="1" applyAlignment="1">
      <alignment wrapText="1"/>
    </xf>
    <xf numFmtId="42" fontId="33" fillId="26" borderId="89" xfId="41" applyNumberFormat="1" applyFont="1" applyFill="1" applyBorder="1" applyAlignment="1">
      <alignment vertical="center"/>
    </xf>
    <xf numFmtId="170" fontId="29" fillId="25" borderId="80" xfId="63" applyNumberFormat="1" applyFont="1" applyFill="1" applyBorder="1" applyAlignment="1">
      <alignment horizontal="center" vertical="center"/>
    </xf>
    <xf numFmtId="170" fontId="30" fillId="25" borderId="80" xfId="63" applyNumberFormat="1" applyFont="1" applyFill="1" applyBorder="1" applyAlignment="1">
      <alignment horizontal="center" vertical="center"/>
    </xf>
    <xf numFmtId="170" fontId="29" fillId="25" borderId="80" xfId="63" applyNumberFormat="1" applyFont="1" applyFill="1" applyBorder="1" applyAlignment="1">
      <alignment horizontal="right" vertical="center"/>
    </xf>
    <xf numFmtId="0" fontId="32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29" fillId="0" borderId="0" xfId="0" applyFont="1" applyAlignment="1">
      <alignment horizontal="center" vertical="top"/>
    </xf>
    <xf numFmtId="166" fontId="54" fillId="25" borderId="0" xfId="61" applyNumberFormat="1" applyFont="1" applyFill="1" applyAlignment="1">
      <alignment vertical="center"/>
    </xf>
    <xf numFmtId="0" fontId="33" fillId="25" borderId="90" xfId="41" applyFont="1" applyFill="1" applyBorder="1" applyAlignment="1">
      <alignment vertical="center"/>
    </xf>
    <xf numFmtId="0" fontId="33" fillId="25" borderId="24" xfId="41" applyFont="1" applyFill="1" applyBorder="1" applyAlignment="1">
      <alignment vertical="center"/>
    </xf>
    <xf numFmtId="172" fontId="33" fillId="0" borderId="43" xfId="41" applyNumberFormat="1" applyFont="1" applyFill="1" applyBorder="1" applyAlignment="1">
      <alignment horizontal="center" vertical="center"/>
    </xf>
    <xf numFmtId="9" fontId="33" fillId="0" borderId="43" xfId="41" applyNumberFormat="1" applyFont="1" applyFill="1" applyBorder="1" applyAlignment="1">
      <alignment horizontal="center" vertical="center"/>
    </xf>
    <xf numFmtId="2" fontId="29" fillId="30" borderId="28" xfId="0" applyNumberFormat="1" applyFont="1" applyFill="1" applyBorder="1" applyAlignment="1">
      <alignment horizontal="center" vertical="center" wrapText="1"/>
    </xf>
    <xf numFmtId="0" fontId="64" fillId="30" borderId="97" xfId="0" applyFont="1" applyFill="1" applyBorder="1" applyAlignment="1">
      <alignment horizontal="right" vertical="center"/>
    </xf>
    <xf numFmtId="0" fontId="30" fillId="30" borderId="78" xfId="0" applyFont="1" applyFill="1" applyBorder="1" applyAlignment="1">
      <alignment horizontal="right" vertical="center"/>
    </xf>
    <xf numFmtId="166" fontId="30" fillId="30" borderId="78" xfId="61" applyNumberFormat="1" applyFont="1" applyFill="1" applyBorder="1" applyAlignment="1">
      <alignment horizontal="left" vertical="top" wrapText="1"/>
    </xf>
    <xf numFmtId="166" fontId="30" fillId="30" borderId="78" xfId="61" applyNumberFormat="1" applyFont="1" applyFill="1" applyBorder="1" applyAlignment="1">
      <alignment horizontal="center" vertical="center" wrapText="1"/>
    </xf>
    <xf numFmtId="166" fontId="30" fillId="30" borderId="36" xfId="61" applyNumberFormat="1" applyFont="1" applyFill="1" applyBorder="1" applyAlignment="1">
      <alignment horizontal="left" vertical="top" wrapText="1"/>
    </xf>
    <xf numFmtId="0" fontId="30" fillId="30" borderId="97" xfId="0" applyFont="1" applyFill="1" applyBorder="1" applyAlignment="1">
      <alignment horizontal="right" vertical="center"/>
    </xf>
    <xf numFmtId="166" fontId="30" fillId="30" borderId="70" xfId="61" applyNumberFormat="1" applyFont="1" applyFill="1" applyBorder="1" applyAlignment="1">
      <alignment horizontal="center" vertical="center" wrapText="1"/>
    </xf>
    <xf numFmtId="2" fontId="29" fillId="30" borderId="101" xfId="0" applyNumberFormat="1" applyFont="1" applyFill="1" applyBorder="1" applyAlignment="1">
      <alignment horizontal="center" vertical="center" wrapText="1"/>
    </xf>
    <xf numFmtId="166" fontId="30" fillId="30" borderId="70" xfId="61" applyNumberFormat="1" applyFont="1" applyFill="1" applyBorder="1" applyAlignment="1">
      <alignment horizontal="left" vertical="top" wrapText="1"/>
    </xf>
    <xf numFmtId="170" fontId="33" fillId="26" borderId="89" xfId="63" applyNumberFormat="1" applyFont="1" applyFill="1" applyBorder="1" applyAlignment="1">
      <alignment vertical="center"/>
    </xf>
    <xf numFmtId="166" fontId="30" fillId="31" borderId="15" xfId="78" applyNumberFormat="1" applyFont="1" applyFill="1" applyBorder="1" applyAlignment="1">
      <alignment horizontal="center" vertical="center" wrapText="1"/>
    </xf>
    <xf numFmtId="2" fontId="45" fillId="31" borderId="102" xfId="0" applyNumberFormat="1" applyFont="1" applyFill="1" applyBorder="1" applyAlignment="1">
      <alignment horizontal="center" vertical="center" wrapText="1"/>
    </xf>
    <xf numFmtId="166" fontId="29" fillId="0" borderId="49" xfId="78" applyNumberFormat="1" applyFont="1" applyBorder="1" applyAlignment="1">
      <alignment vertical="center" wrapText="1"/>
    </xf>
    <xf numFmtId="166" fontId="29" fillId="25" borderId="65" xfId="78" applyNumberFormat="1" applyFont="1" applyFill="1" applyBorder="1" applyAlignment="1">
      <alignment vertical="center"/>
    </xf>
    <xf numFmtId="166" fontId="29" fillId="30" borderId="25" xfId="78" applyNumberFormat="1" applyFont="1" applyFill="1" applyBorder="1" applyAlignment="1">
      <alignment vertical="center" wrapText="1"/>
    </xf>
    <xf numFmtId="2" fontId="29" fillId="30" borderId="96" xfId="0" applyNumberFormat="1" applyFont="1" applyFill="1" applyBorder="1" applyAlignment="1">
      <alignment vertical="center" wrapText="1"/>
    </xf>
    <xf numFmtId="166" fontId="29" fillId="30" borderId="27" xfId="78" applyNumberFormat="1" applyFont="1" applyFill="1" applyBorder="1" applyAlignment="1">
      <alignment vertical="center"/>
    </xf>
    <xf numFmtId="166" fontId="29" fillId="0" borderId="103" xfId="61" applyNumberFormat="1" applyFont="1" applyBorder="1" applyAlignment="1">
      <alignment vertical="center" wrapText="1"/>
    </xf>
    <xf numFmtId="166" fontId="29" fillId="25" borderId="104" xfId="78" applyNumberFormat="1" applyFont="1" applyFill="1" applyBorder="1" applyAlignment="1">
      <alignment vertical="center"/>
    </xf>
    <xf numFmtId="166" fontId="29" fillId="0" borderId="97" xfId="78" applyNumberFormat="1" applyFont="1" applyBorder="1" applyAlignment="1">
      <alignment vertical="center" wrapText="1"/>
    </xf>
    <xf numFmtId="166" fontId="29" fillId="0" borderId="105" xfId="78" applyNumberFormat="1" applyFont="1" applyBorder="1" applyAlignment="1">
      <alignment vertical="center" wrapText="1"/>
    </xf>
    <xf numFmtId="166" fontId="29" fillId="25" borderId="60" xfId="78" applyNumberFormat="1" applyFont="1" applyFill="1" applyBorder="1" applyAlignment="1">
      <alignment vertical="center"/>
    </xf>
    <xf numFmtId="2" fontId="50" fillId="25" borderId="100" xfId="0" applyNumberFormat="1" applyFont="1" applyFill="1" applyBorder="1" applyAlignment="1">
      <alignment horizontal="center" vertical="center" wrapText="1"/>
    </xf>
    <xf numFmtId="166" fontId="29" fillId="25" borderId="106" xfId="78" applyNumberFormat="1" applyFont="1" applyFill="1" applyBorder="1" applyAlignment="1">
      <alignment vertical="center"/>
    </xf>
    <xf numFmtId="2" fontId="29" fillId="25" borderId="107" xfId="0" applyNumberFormat="1" applyFont="1" applyFill="1" applyBorder="1" applyAlignment="1">
      <alignment vertical="center"/>
    </xf>
    <xf numFmtId="0" fontId="30" fillId="27" borderId="80" xfId="94" applyFont="1" applyFill="1" applyAlignment="1">
      <alignment horizontal="justify" vertical="center"/>
    </xf>
    <xf numFmtId="1" fontId="29" fillId="25" borderId="81" xfId="93" applyNumberFormat="1" applyFont="1" applyFill="1" applyBorder="1" applyAlignment="1">
      <alignment horizontal="center" vertical="center"/>
    </xf>
    <xf numFmtId="170" fontId="29" fillId="25" borderId="80" xfId="48" applyNumberFormat="1" applyFont="1" applyFill="1" applyBorder="1" applyAlignment="1">
      <alignment horizontal="center" vertical="center"/>
    </xf>
    <xf numFmtId="9" fontId="29" fillId="25" borderId="80" xfId="93" applyNumberFormat="1" applyFont="1" applyFill="1" applyAlignment="1">
      <alignment horizontal="right" vertical="center"/>
    </xf>
    <xf numFmtId="170" fontId="29" fillId="25" borderId="80" xfId="48" applyNumberFormat="1" applyFont="1" applyFill="1" applyBorder="1" applyAlignment="1">
      <alignment horizontal="right" vertical="center"/>
    </xf>
    <xf numFmtId="0" fontId="29" fillId="25" borderId="80" xfId="93" applyFont="1" applyFill="1" applyAlignment="1">
      <alignment horizontal="center" vertical="center"/>
    </xf>
    <xf numFmtId="0" fontId="29" fillId="28" borderId="80" xfId="93" applyFont="1" applyFill="1" applyAlignment="1">
      <alignment horizontal="center" vertical="center"/>
    </xf>
    <xf numFmtId="164" fontId="29" fillId="25" borderId="12" xfId="93" applyNumberFormat="1" applyFont="1" applyFill="1" applyBorder="1" applyAlignment="1">
      <alignment horizontal="center" vertical="center"/>
    </xf>
    <xf numFmtId="168" fontId="29" fillId="30" borderId="80" xfId="93" applyNumberFormat="1" applyFont="1" applyFill="1" applyAlignment="1">
      <alignment horizontal="right" vertical="center"/>
    </xf>
    <xf numFmtId="168" fontId="29" fillId="25" borderId="80" xfId="93" applyNumberFormat="1" applyFont="1" applyFill="1" applyAlignment="1">
      <alignment vertical="center"/>
    </xf>
    <xf numFmtId="168" fontId="29" fillId="28" borderId="80" xfId="93" applyNumberFormat="1" applyFont="1" applyFill="1" applyAlignment="1">
      <alignment vertical="center"/>
    </xf>
    <xf numFmtId="167" fontId="29" fillId="25" borderId="80" xfId="93" applyNumberFormat="1" applyFont="1" applyFill="1" applyAlignment="1" applyProtection="1">
      <alignment horizontal="left" vertical="center"/>
    </xf>
    <xf numFmtId="1" fontId="29" fillId="25" borderId="84" xfId="64" applyNumberFormat="1" applyFont="1" applyFill="1" applyBorder="1" applyAlignment="1">
      <alignment horizontal="center" vertical="center"/>
    </xf>
    <xf numFmtId="1" fontId="29" fillId="25" borderId="82" xfId="64" applyNumberFormat="1" applyFont="1" applyFill="1" applyBorder="1" applyAlignment="1">
      <alignment horizontal="center" vertical="center" wrapText="1"/>
    </xf>
    <xf numFmtId="1" fontId="29" fillId="25" borderId="82" xfId="38" applyNumberFormat="1" applyFont="1" applyFill="1" applyBorder="1" applyAlignment="1">
      <alignment horizontal="center" vertical="center" wrapText="1"/>
    </xf>
    <xf numFmtId="1" fontId="29" fillId="25" borderId="82" xfId="93" applyNumberFormat="1" applyFont="1" applyFill="1" applyBorder="1" applyAlignment="1">
      <alignment horizontal="center" vertical="center" wrapText="1"/>
    </xf>
    <xf numFmtId="1" fontId="29" fillId="25" borderId="108" xfId="38" applyNumberFormat="1" applyFont="1" applyFill="1" applyBorder="1" applyAlignment="1">
      <alignment horizontal="center" vertical="center"/>
    </xf>
    <xf numFmtId="2" fontId="29" fillId="30" borderId="0" xfId="0" applyNumberFormat="1" applyFont="1" applyFill="1" applyAlignment="1">
      <alignment vertical="top"/>
    </xf>
    <xf numFmtId="167" fontId="29" fillId="25" borderId="109" xfId="38" applyNumberFormat="1" applyFont="1" applyFill="1" applyBorder="1" applyAlignment="1" applyProtection="1">
      <alignment horizontal="left" vertical="center"/>
    </xf>
    <xf numFmtId="0" fontId="29" fillId="0" borderId="83" xfId="64" applyFont="1" applyFill="1" applyBorder="1" applyAlignment="1">
      <alignment horizontal="justify" vertical="center" wrapText="1"/>
    </xf>
    <xf numFmtId="166" fontId="52" fillId="25" borderId="75" xfId="61" applyNumberFormat="1" applyFont="1" applyFill="1" applyBorder="1" applyAlignment="1">
      <alignment horizontal="justify" vertical="center" wrapText="1"/>
    </xf>
    <xf numFmtId="0" fontId="29" fillId="0" borderId="80" xfId="93" applyFont="1" applyFill="1" applyAlignment="1">
      <alignment horizontal="justify" vertical="center" wrapText="1"/>
    </xf>
    <xf numFmtId="173" fontId="29" fillId="0" borderId="0" xfId="45" applyNumberFormat="1" applyFont="1" applyAlignment="1">
      <alignment vertical="center"/>
    </xf>
    <xf numFmtId="43" fontId="29" fillId="0" borderId="0" xfId="45" applyNumberFormat="1" applyFont="1" applyAlignment="1">
      <alignment vertical="center"/>
    </xf>
    <xf numFmtId="0" fontId="30" fillId="0" borderId="0" xfId="45" applyFont="1" applyAlignment="1">
      <alignment horizontal="center" vertical="center"/>
    </xf>
    <xf numFmtId="2" fontId="29" fillId="0" borderId="0" xfId="45" applyNumberFormat="1" applyFont="1" applyAlignment="1">
      <alignment vertical="center"/>
    </xf>
    <xf numFmtId="170" fontId="29" fillId="25" borderId="83" xfId="48" applyNumberFormat="1" applyFont="1" applyFill="1" applyBorder="1" applyAlignment="1">
      <alignment horizontal="center" vertical="center"/>
    </xf>
    <xf numFmtId="0" fontId="30" fillId="27" borderId="80" xfId="93" applyFont="1" applyFill="1" applyAlignment="1">
      <alignment horizontal="justify" vertical="center"/>
    </xf>
    <xf numFmtId="0" fontId="29" fillId="25" borderId="80" xfId="93" applyFont="1" applyFill="1" applyAlignment="1">
      <alignment horizontal="justify" vertical="center" wrapText="1"/>
    </xf>
    <xf numFmtId="0" fontId="29" fillId="25" borderId="83" xfId="93" applyFont="1" applyFill="1" applyBorder="1" applyAlignment="1">
      <alignment horizontal="justify" vertical="center" wrapText="1"/>
    </xf>
    <xf numFmtId="0" fontId="78" fillId="32" borderId="80" xfId="94" applyFont="1" applyFill="1" applyAlignment="1">
      <alignment horizontal="center" vertical="center" wrapText="1"/>
    </xf>
    <xf numFmtId="0" fontId="29" fillId="25" borderId="80" xfId="94" applyFont="1" applyFill="1" applyAlignment="1">
      <alignment horizontal="justify" vertical="center"/>
    </xf>
    <xf numFmtId="0" fontId="79" fillId="25" borderId="80" xfId="94" applyFont="1" applyFill="1" applyAlignment="1">
      <alignment horizontal="right" vertical="center"/>
    </xf>
    <xf numFmtId="170" fontId="30" fillId="25" borderId="80" xfId="48" applyNumberFormat="1" applyFont="1" applyFill="1" applyBorder="1" applyAlignment="1">
      <alignment horizontal="center" vertical="center"/>
    </xf>
    <xf numFmtId="0" fontId="78" fillId="32" borderId="80" xfId="93" applyFont="1" applyFill="1" applyAlignment="1">
      <alignment horizontal="center" vertical="center"/>
    </xf>
    <xf numFmtId="170" fontId="42" fillId="0" borderId="0" xfId="48" applyNumberFormat="1" applyFont="1"/>
    <xf numFmtId="0" fontId="42" fillId="0" borderId="0" xfId="0" applyFont="1" applyAlignment="1">
      <alignment vertical="center"/>
    </xf>
    <xf numFmtId="170" fontId="52" fillId="30" borderId="78" xfId="48" applyNumberFormat="1" applyFont="1" applyFill="1" applyBorder="1" applyAlignment="1">
      <alignment horizontal="center" vertical="center"/>
    </xf>
    <xf numFmtId="1" fontId="29" fillId="0" borderId="84" xfId="64" applyNumberFormat="1" applyFont="1" applyFill="1" applyBorder="1" applyAlignment="1">
      <alignment horizontal="center" vertical="center"/>
    </xf>
    <xf numFmtId="1" fontId="29" fillId="0" borderId="82" xfId="64" applyNumberFormat="1" applyFont="1" applyFill="1" applyBorder="1" applyAlignment="1">
      <alignment horizontal="center" vertical="center" wrapText="1"/>
    </xf>
    <xf numFmtId="1" fontId="29" fillId="0" borderId="82" xfId="70" applyNumberFormat="1" applyFont="1" applyFill="1" applyBorder="1" applyAlignment="1">
      <alignment horizontal="center" vertical="center"/>
    </xf>
    <xf numFmtId="1" fontId="29" fillId="0" borderId="108" xfId="38" applyNumberFormat="1" applyFont="1" applyFill="1" applyBorder="1" applyAlignment="1">
      <alignment horizontal="center" vertical="center"/>
    </xf>
    <xf numFmtId="170" fontId="29" fillId="0" borderId="80" xfId="63" applyNumberFormat="1" applyFont="1" applyFill="1" applyBorder="1" applyAlignment="1">
      <alignment horizontal="right" vertical="center"/>
    </xf>
    <xf numFmtId="0" fontId="29" fillId="0" borderId="80" xfId="38" applyFont="1" applyFill="1" applyBorder="1" applyAlignment="1">
      <alignment horizontal="center" vertical="center"/>
    </xf>
    <xf numFmtId="0" fontId="42" fillId="0" borderId="0" xfId="96" applyFont="1"/>
    <xf numFmtId="0" fontId="30" fillId="27" borderId="80" xfId="93" applyFont="1" applyFill="1" applyAlignment="1">
      <alignment horizontal="center" vertical="center"/>
    </xf>
    <xf numFmtId="0" fontId="30" fillId="28" borderId="80" xfId="93" applyFont="1" applyFill="1" applyAlignment="1">
      <alignment horizontal="left" vertical="center" wrapText="1"/>
    </xf>
    <xf numFmtId="0" fontId="30" fillId="27" borderId="80" xfId="93" applyFont="1" applyFill="1" applyAlignment="1">
      <alignment horizontal="left" vertical="top"/>
    </xf>
    <xf numFmtId="1" fontId="29" fillId="0" borderId="108" xfId="64" applyNumberFormat="1" applyFont="1" applyFill="1" applyBorder="1" applyAlignment="1">
      <alignment horizontal="center" vertical="center" wrapText="1"/>
    </xf>
    <xf numFmtId="1" fontId="29" fillId="0" borderId="108" xfId="70" applyNumberFormat="1" applyFont="1" applyFill="1" applyBorder="1" applyAlignment="1">
      <alignment horizontal="center" vertical="center"/>
    </xf>
    <xf numFmtId="9" fontId="29" fillId="0" borderId="83" xfId="62" applyFont="1" applyFill="1" applyBorder="1" applyAlignment="1">
      <alignment horizontal="right" vertical="center"/>
    </xf>
    <xf numFmtId="170" fontId="29" fillId="0" borderId="83" xfId="63" applyNumberFormat="1" applyFont="1" applyFill="1" applyBorder="1" applyAlignment="1">
      <alignment horizontal="right" vertical="center"/>
    </xf>
    <xf numFmtId="0" fontId="29" fillId="0" borderId="83" xfId="38" applyFont="1" applyFill="1" applyBorder="1" applyAlignment="1">
      <alignment horizontal="center" vertical="center"/>
    </xf>
    <xf numFmtId="171" fontId="29" fillId="28" borderId="83" xfId="64" applyNumberFormat="1" applyFont="1" applyFill="1" applyBorder="1" applyAlignment="1">
      <alignment horizontal="center" vertical="center"/>
    </xf>
    <xf numFmtId="164" fontId="29" fillId="25" borderId="83" xfId="38" applyNumberFormat="1" applyFont="1" applyFill="1" applyBorder="1" applyAlignment="1">
      <alignment horizontal="center" vertical="center"/>
    </xf>
    <xf numFmtId="168" fontId="29" fillId="30" borderId="83" xfId="38" applyNumberFormat="1" applyFont="1" applyFill="1" applyBorder="1" applyAlignment="1">
      <alignment horizontal="right" vertical="center"/>
    </xf>
    <xf numFmtId="168" fontId="29" fillId="25" borderId="83" xfId="38" applyNumberFormat="1" applyFont="1" applyFill="1" applyBorder="1" applyAlignment="1">
      <alignment horizontal="right" vertical="center"/>
    </xf>
    <xf numFmtId="168" fontId="29" fillId="28" borderId="83" xfId="71" applyNumberFormat="1" applyFont="1" applyFill="1" applyBorder="1" applyAlignment="1">
      <alignment vertical="center"/>
    </xf>
    <xf numFmtId="168" fontId="29" fillId="25" borderId="83" xfId="38" applyNumberFormat="1" applyFont="1" applyFill="1" applyBorder="1" applyAlignment="1">
      <alignment vertical="center"/>
    </xf>
    <xf numFmtId="167" fontId="29" fillId="25" borderId="83" xfId="38" applyNumberFormat="1" applyFont="1" applyFill="1" applyBorder="1" applyAlignment="1" applyProtection="1">
      <alignment horizontal="left" vertical="center"/>
    </xf>
    <xf numFmtId="1" fontId="29" fillId="25" borderId="108" xfId="64" applyNumberFormat="1" applyFont="1" applyFill="1" applyBorder="1" applyAlignment="1">
      <alignment horizontal="center" vertical="center" wrapText="1"/>
    </xf>
    <xf numFmtId="1" fontId="29" fillId="25" borderId="108" xfId="70" applyNumberFormat="1" applyFont="1" applyFill="1" applyBorder="1" applyAlignment="1">
      <alignment horizontal="center" vertical="center"/>
    </xf>
    <xf numFmtId="170" fontId="29" fillId="25" borderId="83" xfId="63" applyNumberFormat="1" applyFont="1" applyFill="1" applyBorder="1" applyAlignment="1">
      <alignment horizontal="right" vertical="center"/>
    </xf>
    <xf numFmtId="0" fontId="29" fillId="25" borderId="83" xfId="38" applyFont="1" applyFill="1" applyBorder="1" applyAlignment="1">
      <alignment horizontal="center" vertical="center"/>
    </xf>
    <xf numFmtId="0" fontId="30" fillId="27" borderId="80" xfId="94" applyFont="1" applyFill="1" applyAlignment="1">
      <alignment horizontal="center" vertical="center"/>
    </xf>
    <xf numFmtId="0" fontId="42" fillId="0" borderId="0" xfId="96" applyFont="1" applyAlignment="1">
      <alignment wrapText="1"/>
    </xf>
    <xf numFmtId="0" fontId="30" fillId="25" borderId="80" xfId="93" applyFont="1" applyFill="1" applyAlignment="1">
      <alignment horizontal="justify" vertical="center" wrapText="1"/>
    </xf>
    <xf numFmtId="0" fontId="49" fillId="0" borderId="83" xfId="64" applyFont="1" applyFill="1" applyBorder="1" applyAlignment="1">
      <alignment horizontal="justify" vertical="center" wrapText="1"/>
    </xf>
    <xf numFmtId="0" fontId="42" fillId="0" borderId="0" xfId="0" applyFont="1" applyAlignment="1">
      <alignment vertical="center" wrapText="1"/>
    </xf>
    <xf numFmtId="1" fontId="29" fillId="25" borderId="82" xfId="93" applyNumberFormat="1" applyFont="1" applyFill="1" applyBorder="1" applyAlignment="1">
      <alignment horizontal="center" vertical="center"/>
    </xf>
    <xf numFmtId="0" fontId="29" fillId="0" borderId="80" xfId="94" applyFont="1" applyFill="1" applyAlignment="1">
      <alignment horizontal="justify" vertical="center" wrapText="1"/>
    </xf>
    <xf numFmtId="0" fontId="29" fillId="25" borderId="80" xfId="94" applyFont="1" applyFill="1" applyAlignment="1">
      <alignment horizontal="justify" vertical="center" wrapText="1"/>
    </xf>
    <xf numFmtId="0" fontId="30" fillId="25" borderId="80" xfId="94" applyFont="1" applyFill="1" applyAlignment="1">
      <alignment horizontal="justify" vertical="center" wrapText="1"/>
    </xf>
    <xf numFmtId="43" fontId="29" fillId="25" borderId="83" xfId="48" applyFont="1" applyFill="1" applyBorder="1" applyAlignment="1">
      <alignment horizontal="center" vertical="center"/>
    </xf>
    <xf numFmtId="43" fontId="29" fillId="25" borderId="80" xfId="48" applyFont="1" applyFill="1" applyBorder="1" applyAlignment="1">
      <alignment horizontal="center" vertical="center"/>
    </xf>
    <xf numFmtId="0" fontId="30" fillId="0" borderId="80" xfId="94" applyFont="1" applyFill="1" applyAlignment="1">
      <alignment horizontal="justify" vertical="center" wrapText="1"/>
    </xf>
    <xf numFmtId="1" fontId="29" fillId="0" borderId="82" xfId="94" applyNumberFormat="1" applyFont="1" applyFill="1" applyBorder="1" applyAlignment="1">
      <alignment horizontal="center" vertical="center" wrapText="1"/>
    </xf>
    <xf numFmtId="1" fontId="29" fillId="25" borderId="82" xfId="94" applyNumberFormat="1" applyFont="1" applyFill="1" applyBorder="1" applyAlignment="1">
      <alignment horizontal="center" vertical="center"/>
    </xf>
    <xf numFmtId="1" fontId="29" fillId="0" borderId="108" xfId="94" applyNumberFormat="1" applyFont="1" applyFill="1" applyBorder="1" applyAlignment="1">
      <alignment horizontal="center" vertical="center" wrapText="1"/>
    </xf>
    <xf numFmtId="1" fontId="29" fillId="25" borderId="108" xfId="93" applyNumberFormat="1" applyFont="1" applyFill="1" applyBorder="1" applyAlignment="1">
      <alignment horizontal="center" vertical="center" wrapText="1"/>
    </xf>
    <xf numFmtId="1" fontId="29" fillId="25" borderId="108" xfId="93" applyNumberFormat="1" applyFont="1" applyFill="1" applyBorder="1" applyAlignment="1">
      <alignment horizontal="center" vertical="center"/>
    </xf>
    <xf numFmtId="170" fontId="29" fillId="0" borderId="80" xfId="48" applyNumberFormat="1" applyFont="1" applyFill="1" applyBorder="1" applyAlignment="1">
      <alignment horizontal="center" vertical="center"/>
    </xf>
    <xf numFmtId="171" fontId="29" fillId="28" borderId="80" xfId="94" applyNumberFormat="1" applyFont="1" applyFill="1" applyAlignment="1">
      <alignment horizontal="center" vertical="center"/>
    </xf>
    <xf numFmtId="164" fontId="29" fillId="25" borderId="80" xfId="93" applyNumberFormat="1" applyFont="1" applyFill="1" applyAlignment="1">
      <alignment horizontal="center" vertical="center"/>
    </xf>
    <xf numFmtId="168" fontId="29" fillId="25" borderId="80" xfId="93" applyNumberFormat="1" applyFont="1" applyFill="1" applyAlignment="1">
      <alignment horizontal="right" vertical="center"/>
    </xf>
    <xf numFmtId="0" fontId="34" fillId="0" borderId="11" xfId="89" applyFont="1" applyFill="1" applyBorder="1" applyAlignment="1">
      <alignment vertical="center" wrapText="1"/>
    </xf>
    <xf numFmtId="44" fontId="42" fillId="31" borderId="11" xfId="78" applyFont="1" applyFill="1" applyBorder="1" applyAlignment="1">
      <alignment horizontal="center" vertical="center" wrapText="1"/>
    </xf>
    <xf numFmtId="170" fontId="29" fillId="0" borderId="83" xfId="48" applyNumberFormat="1" applyFont="1" applyFill="1" applyBorder="1" applyAlignment="1">
      <alignment horizontal="center" vertical="center"/>
    </xf>
    <xf numFmtId="9" fontId="29" fillId="0" borderId="83" xfId="79" applyFont="1" applyFill="1" applyBorder="1" applyAlignment="1">
      <alignment horizontal="right" vertical="center"/>
    </xf>
    <xf numFmtId="170" fontId="29" fillId="25" borderId="83" xfId="48" applyNumberFormat="1" applyFont="1" applyFill="1" applyBorder="1" applyAlignment="1">
      <alignment horizontal="right" vertical="center"/>
    </xf>
    <xf numFmtId="170" fontId="29" fillId="0" borderId="0" xfId="48" applyNumberFormat="1" applyFont="1"/>
    <xf numFmtId="2" fontId="29" fillId="25" borderId="80" xfId="48" applyNumberFormat="1" applyFont="1" applyFill="1" applyBorder="1" applyAlignment="1">
      <alignment horizontal="right" vertical="center"/>
    </xf>
    <xf numFmtId="0" fontId="30" fillId="0" borderId="80" xfId="93" applyFont="1" applyFill="1" applyAlignment="1">
      <alignment horizontal="justify" vertical="center"/>
    </xf>
    <xf numFmtId="0" fontId="29" fillId="0" borderId="0" xfId="0" applyFont="1"/>
    <xf numFmtId="0" fontId="29" fillId="25" borderId="80" xfId="93" applyFont="1" applyFill="1" applyAlignment="1">
      <alignment horizontal="justify" vertical="center"/>
    </xf>
    <xf numFmtId="0" fontId="30" fillId="27" borderId="80" xfId="93" applyFont="1" applyFill="1" applyAlignment="1">
      <alignment horizontal="left" vertical="center"/>
    </xf>
    <xf numFmtId="0" fontId="29" fillId="0" borderId="0" xfId="69" applyFont="1" applyAlignment="1">
      <alignment vertical="center" wrapText="1"/>
    </xf>
    <xf numFmtId="0" fontId="42" fillId="0" borderId="0" xfId="69" applyFont="1" applyAlignment="1">
      <alignment vertical="center" wrapText="1"/>
    </xf>
    <xf numFmtId="14" fontId="81" fillId="25" borderId="0" xfId="0" applyNumberFormat="1" applyFont="1" applyFill="1" applyAlignment="1">
      <alignment horizontal="left" vertical="center"/>
    </xf>
    <xf numFmtId="14" fontId="81" fillId="30" borderId="27" xfId="0" applyNumberFormat="1" applyFont="1" applyFill="1" applyBorder="1" applyAlignment="1">
      <alignment horizontal="left" vertical="center"/>
    </xf>
    <xf numFmtId="0" fontId="30" fillId="0" borderId="0" xfId="0" applyFont="1" applyAlignment="1">
      <alignment vertical="center"/>
    </xf>
    <xf numFmtId="0" fontId="82" fillId="25" borderId="32" xfId="41" applyFont="1" applyFill="1" applyBorder="1" applyAlignment="1">
      <alignment vertical="center"/>
    </xf>
    <xf numFmtId="0" fontId="82" fillId="25" borderId="43" xfId="41" applyFont="1" applyFill="1" applyBorder="1" applyAlignment="1">
      <alignment vertical="center"/>
    </xf>
    <xf numFmtId="0" fontId="82" fillId="25" borderId="94" xfId="41" applyFont="1" applyFill="1" applyBorder="1" applyAlignment="1">
      <alignment vertical="center"/>
    </xf>
    <xf numFmtId="171" fontId="29" fillId="28" borderId="87" xfId="93" applyNumberFormat="1" applyFont="1" applyFill="1" applyBorder="1" applyAlignment="1">
      <alignment horizontal="center" vertical="center"/>
    </xf>
    <xf numFmtId="171" fontId="29" fillId="28" borderId="80" xfId="93" applyNumberFormat="1" applyFont="1" applyFill="1" applyAlignment="1">
      <alignment horizontal="center" vertical="center"/>
    </xf>
    <xf numFmtId="168" fontId="29" fillId="28" borderId="87" xfId="93" applyNumberFormat="1" applyFont="1" applyFill="1" applyBorder="1" applyAlignment="1">
      <alignment vertical="center"/>
    </xf>
    <xf numFmtId="44" fontId="49" fillId="0" borderId="0" xfId="78" applyFont="1" applyAlignment="1">
      <alignment vertical="center"/>
    </xf>
    <xf numFmtId="0" fontId="49" fillId="0" borderId="0" xfId="45" applyFont="1" applyAlignment="1">
      <alignment vertical="center"/>
    </xf>
    <xf numFmtId="168" fontId="29" fillId="0" borderId="0" xfId="45" applyNumberFormat="1" applyFont="1" applyAlignment="1">
      <alignment vertical="center"/>
    </xf>
    <xf numFmtId="167" fontId="29" fillId="33" borderId="80" xfId="38" applyNumberFormat="1" applyFont="1" applyFill="1" applyBorder="1" applyAlignment="1" applyProtection="1">
      <alignment horizontal="left" vertical="center"/>
    </xf>
    <xf numFmtId="171" fontId="29" fillId="28" borderId="83" xfId="94" applyNumberFormat="1" applyFont="1" applyFill="1" applyBorder="1" applyAlignment="1">
      <alignment horizontal="center" vertical="center"/>
    </xf>
    <xf numFmtId="168" fontId="29" fillId="28" borderId="83" xfId="93" applyNumberFormat="1" applyFont="1" applyFill="1" applyBorder="1" applyAlignment="1">
      <alignment vertical="center"/>
    </xf>
    <xf numFmtId="0" fontId="29" fillId="0" borderId="80" xfId="93" applyFont="1" applyFill="1" applyAlignment="1">
      <alignment horizontal="center" vertical="center"/>
    </xf>
    <xf numFmtId="0" fontId="29" fillId="25" borderId="87" xfId="93" applyFont="1" applyFill="1" applyBorder="1" applyAlignment="1">
      <alignment horizontal="center" vertical="center"/>
    </xf>
    <xf numFmtId="168" fontId="29" fillId="25" borderId="87" xfId="93" applyNumberFormat="1" applyFont="1" applyFill="1" applyBorder="1" applyAlignment="1">
      <alignment vertical="center"/>
    </xf>
    <xf numFmtId="167" fontId="29" fillId="25" borderId="87" xfId="93" applyNumberFormat="1" applyFont="1" applyFill="1" applyBorder="1" applyAlignment="1" applyProtection="1">
      <alignment horizontal="left" vertical="center"/>
    </xf>
    <xf numFmtId="0" fontId="29" fillId="28" borderId="80" xfId="94" applyFont="1" applyFill="1" applyAlignment="1">
      <alignment horizontal="center" vertical="center"/>
    </xf>
    <xf numFmtId="170" fontId="52" fillId="30" borderId="22" xfId="48" applyNumberFormat="1" applyFont="1" applyFill="1" applyBorder="1" applyAlignment="1">
      <alignment horizontal="center" vertical="center"/>
    </xf>
    <xf numFmtId="0" fontId="85" fillId="26" borderId="0" xfId="96" applyFont="1" applyFill="1"/>
    <xf numFmtId="0" fontId="84" fillId="26" borderId="0" xfId="0" applyFont="1" applyFill="1" applyAlignment="1">
      <alignment vertical="center" wrapText="1"/>
    </xf>
    <xf numFmtId="166" fontId="33" fillId="25" borderId="93" xfId="41" applyNumberFormat="1" applyFont="1" applyFill="1" applyBorder="1" applyAlignment="1">
      <alignment horizontal="left" vertical="center"/>
    </xf>
    <xf numFmtId="44" fontId="29" fillId="28" borderId="80" xfId="93" applyNumberFormat="1" applyFont="1" applyFill="1" applyAlignment="1">
      <alignment vertical="center"/>
    </xf>
    <xf numFmtId="44" fontId="29" fillId="0" borderId="0" xfId="61" applyFont="1" applyAlignment="1">
      <alignment vertical="center"/>
    </xf>
    <xf numFmtId="44" fontId="29" fillId="0" borderId="0" xfId="61" applyFont="1" applyAlignment="1">
      <alignment horizontal="center" vertical="center"/>
    </xf>
    <xf numFmtId="0" fontId="49" fillId="0" borderId="0" xfId="0" applyFont="1" applyAlignment="1">
      <alignment vertical="center"/>
    </xf>
    <xf numFmtId="0" fontId="41" fillId="25" borderId="66" xfId="77" applyFont="1" applyFill="1" applyBorder="1" applyAlignment="1">
      <alignment horizontal="center" vertical="center" wrapText="1"/>
    </xf>
    <xf numFmtId="0" fontId="41" fillId="25" borderId="67" xfId="77" applyFont="1" applyFill="1" applyBorder="1" applyAlignment="1">
      <alignment horizontal="center" vertical="center" wrapText="1"/>
    </xf>
    <xf numFmtId="0" fontId="72" fillId="25" borderId="73" xfId="92" applyFont="1" applyFill="1" applyBorder="1" applyAlignment="1">
      <alignment horizontal="center" vertical="center" wrapText="1"/>
    </xf>
    <xf numFmtId="0" fontId="72" fillId="25" borderId="74" xfId="92" applyFont="1" applyFill="1" applyBorder="1" applyAlignment="1">
      <alignment horizontal="center" vertical="center" wrapText="1"/>
    </xf>
    <xf numFmtId="0" fontId="66" fillId="31" borderId="15" xfId="0" applyFont="1" applyFill="1" applyBorder="1" applyAlignment="1">
      <alignment horizontal="center" vertical="center"/>
    </xf>
    <xf numFmtId="0" fontId="66" fillId="31" borderId="16" xfId="0" applyFont="1" applyFill="1" applyBorder="1" applyAlignment="1">
      <alignment horizontal="center" vertical="center"/>
    </xf>
    <xf numFmtId="0" fontId="66" fillId="31" borderId="17" xfId="0" applyFont="1" applyFill="1" applyBorder="1" applyAlignment="1">
      <alignment horizontal="center" vertical="center"/>
    </xf>
    <xf numFmtId="0" fontId="66" fillId="31" borderId="29" xfId="0" applyFont="1" applyFill="1" applyBorder="1" applyAlignment="1">
      <alignment horizontal="center" vertical="center"/>
    </xf>
    <xf numFmtId="0" fontId="66" fillId="31" borderId="31" xfId="0" applyFont="1" applyFill="1" applyBorder="1" applyAlignment="1">
      <alignment horizontal="center" vertical="center"/>
    </xf>
    <xf numFmtId="0" fontId="66" fillId="31" borderId="30" xfId="0" applyFont="1" applyFill="1" applyBorder="1" applyAlignment="1">
      <alignment horizontal="center" vertical="center"/>
    </xf>
    <xf numFmtId="2" fontId="47" fillId="25" borderId="0" xfId="0" applyNumberFormat="1" applyFont="1" applyFill="1" applyAlignment="1">
      <alignment horizontal="center" vertical="center" wrapText="1"/>
    </xf>
    <xf numFmtId="2" fontId="47" fillId="25" borderId="31" xfId="0" applyNumberFormat="1" applyFont="1" applyFill="1" applyBorder="1" applyAlignment="1">
      <alignment horizontal="center" vertical="center" wrapText="1"/>
    </xf>
    <xf numFmtId="2" fontId="41" fillId="31" borderId="15" xfId="0" applyNumberFormat="1" applyFont="1" applyFill="1" applyBorder="1" applyAlignment="1">
      <alignment horizontal="center" vertical="center" wrapText="1"/>
    </xf>
    <xf numFmtId="2" fontId="41" fillId="31" borderId="16" xfId="0" applyNumberFormat="1" applyFont="1" applyFill="1" applyBorder="1" applyAlignment="1">
      <alignment horizontal="center" vertical="center" wrapText="1"/>
    </xf>
    <xf numFmtId="2" fontId="41" fillId="31" borderId="17" xfId="0" applyNumberFormat="1" applyFont="1" applyFill="1" applyBorder="1" applyAlignment="1">
      <alignment horizontal="center" vertical="center" wrapText="1"/>
    </xf>
    <xf numFmtId="2" fontId="41" fillId="31" borderId="29" xfId="0" applyNumberFormat="1" applyFont="1" applyFill="1" applyBorder="1" applyAlignment="1">
      <alignment horizontal="center" vertical="center" wrapText="1"/>
    </xf>
    <xf numFmtId="2" fontId="41" fillId="31" borderId="31" xfId="0" applyNumberFormat="1" applyFont="1" applyFill="1" applyBorder="1" applyAlignment="1">
      <alignment horizontal="center" vertical="center" wrapText="1"/>
    </xf>
    <xf numFmtId="2" fontId="41" fillId="31" borderId="30" xfId="0" applyNumberFormat="1" applyFont="1" applyFill="1" applyBorder="1" applyAlignment="1">
      <alignment horizontal="center" vertical="center" wrapText="1"/>
    </xf>
    <xf numFmtId="0" fontId="72" fillId="25" borderId="0" xfId="92" applyFont="1" applyFill="1" applyBorder="1" applyAlignment="1">
      <alignment horizontal="center" vertical="center"/>
    </xf>
    <xf numFmtId="0" fontId="50" fillId="26" borderId="25" xfId="0" applyFont="1" applyFill="1" applyBorder="1" applyAlignment="1">
      <alignment horizontal="center" vertical="center"/>
    </xf>
    <xf numFmtId="0" fontId="50" fillId="26" borderId="26" xfId="0" applyFont="1" applyFill="1" applyBorder="1" applyAlignment="1">
      <alignment horizontal="center" vertical="center"/>
    </xf>
    <xf numFmtId="0" fontId="50" fillId="26" borderId="27" xfId="0" applyFont="1" applyFill="1" applyBorder="1" applyAlignment="1">
      <alignment horizontal="center" vertical="center"/>
    </xf>
    <xf numFmtId="2" fontId="50" fillId="25" borderId="23" xfId="0" applyNumberFormat="1" applyFont="1" applyFill="1" applyBorder="1" applyAlignment="1">
      <alignment horizontal="left" vertical="center" wrapText="1" indent="2"/>
    </xf>
    <xf numFmtId="2" fontId="50" fillId="25" borderId="22" xfId="0" applyNumberFormat="1" applyFont="1" applyFill="1" applyBorder="1" applyAlignment="1">
      <alignment horizontal="left" vertical="center" wrapText="1" indent="2"/>
    </xf>
    <xf numFmtId="0" fontId="67" fillId="31" borderId="15" xfId="0" applyFont="1" applyFill="1" applyBorder="1" applyAlignment="1">
      <alignment horizontal="center" vertical="center"/>
    </xf>
    <xf numFmtId="0" fontId="67" fillId="31" borderId="16" xfId="0" applyFont="1" applyFill="1" applyBorder="1" applyAlignment="1">
      <alignment horizontal="center" vertical="center"/>
    </xf>
    <xf numFmtId="0" fontId="67" fillId="31" borderId="17" xfId="0" applyFont="1" applyFill="1" applyBorder="1" applyAlignment="1">
      <alignment horizontal="center" vertical="center"/>
    </xf>
    <xf numFmtId="0" fontId="67" fillId="31" borderId="29" xfId="0" applyFont="1" applyFill="1" applyBorder="1" applyAlignment="1">
      <alignment horizontal="center" vertical="center"/>
    </xf>
    <xf numFmtId="0" fontId="67" fillId="31" borderId="31" xfId="0" applyFont="1" applyFill="1" applyBorder="1" applyAlignment="1">
      <alignment horizontal="center" vertical="center"/>
    </xf>
    <xf numFmtId="0" fontId="67" fillId="31" borderId="30" xfId="0" applyFont="1" applyFill="1" applyBorder="1" applyAlignment="1">
      <alignment horizontal="center" vertical="center"/>
    </xf>
    <xf numFmtId="0" fontId="33" fillId="25" borderId="88" xfId="41" applyFont="1" applyFill="1" applyBorder="1" applyAlignment="1">
      <alignment horizontal="left" vertical="center"/>
    </xf>
    <xf numFmtId="0" fontId="33" fillId="25" borderId="32" xfId="41" applyFont="1" applyFill="1" applyBorder="1" applyAlignment="1">
      <alignment horizontal="left" vertical="center"/>
    </xf>
    <xf numFmtId="0" fontId="33" fillId="25" borderId="90" xfId="41" applyFont="1" applyFill="1" applyBorder="1" applyAlignment="1">
      <alignment horizontal="left" vertical="center"/>
    </xf>
    <xf numFmtId="0" fontId="33" fillId="25" borderId="24" xfId="41" applyFont="1" applyFill="1" applyBorder="1" applyAlignment="1">
      <alignment horizontal="left" vertical="center"/>
    </xf>
    <xf numFmtId="0" fontId="33" fillId="25" borderId="92" xfId="41" applyFont="1" applyFill="1" applyBorder="1" applyAlignment="1">
      <alignment horizontal="left" vertical="center"/>
    </xf>
    <xf numFmtId="0" fontId="33" fillId="25" borderId="93" xfId="41" applyFont="1" applyFill="1" applyBorder="1" applyAlignment="1">
      <alignment horizontal="left" vertical="center"/>
    </xf>
    <xf numFmtId="14" fontId="38" fillId="25" borderId="26" xfId="0" applyNumberFormat="1" applyFont="1" applyFill="1" applyBorder="1" applyAlignment="1">
      <alignment horizontal="center" vertical="center"/>
    </xf>
    <xf numFmtId="0" fontId="73" fillId="25" borderId="26" xfId="92" applyFont="1" applyFill="1" applyBorder="1" applyAlignment="1">
      <alignment horizontal="center"/>
    </xf>
    <xf numFmtId="2" fontId="39" fillId="30" borderId="18" xfId="0" applyNumberFormat="1" applyFont="1" applyFill="1" applyBorder="1" applyAlignment="1">
      <alignment horizontal="left" vertical="top" wrapText="1"/>
    </xf>
    <xf numFmtId="2" fontId="39" fillId="30" borderId="0" xfId="0" applyNumberFormat="1" applyFont="1" applyFill="1" applyAlignment="1">
      <alignment horizontal="left" vertical="top" wrapText="1"/>
    </xf>
    <xf numFmtId="2" fontId="39" fillId="30" borderId="19" xfId="0" applyNumberFormat="1" applyFont="1" applyFill="1" applyBorder="1" applyAlignment="1">
      <alignment horizontal="left" vertical="top" wrapText="1"/>
    </xf>
    <xf numFmtId="2" fontId="39" fillId="30" borderId="29" xfId="0" applyNumberFormat="1" applyFont="1" applyFill="1" applyBorder="1" applyAlignment="1">
      <alignment horizontal="left" vertical="top" wrapText="1"/>
    </xf>
    <xf numFmtId="2" fontId="39" fillId="30" borderId="31" xfId="0" applyNumberFormat="1" applyFont="1" applyFill="1" applyBorder="1" applyAlignment="1">
      <alignment horizontal="left" vertical="top" wrapText="1"/>
    </xf>
    <xf numFmtId="2" fontId="39" fillId="30" borderId="30" xfId="0" applyNumberFormat="1" applyFont="1" applyFill="1" applyBorder="1" applyAlignment="1">
      <alignment horizontal="left" vertical="top" wrapText="1"/>
    </xf>
    <xf numFmtId="0" fontId="48" fillId="29" borderId="25" xfId="0" applyFont="1" applyFill="1" applyBorder="1" applyAlignment="1">
      <alignment horizontal="center" vertical="center"/>
    </xf>
    <xf numFmtId="0" fontId="48" fillId="29" borderId="26" xfId="0" applyFont="1" applyFill="1" applyBorder="1" applyAlignment="1">
      <alignment horizontal="center" vertical="center"/>
    </xf>
    <xf numFmtId="0" fontId="48" fillId="29" borderId="27" xfId="0" applyFont="1" applyFill="1" applyBorder="1" applyAlignment="1">
      <alignment horizontal="center" vertical="center"/>
    </xf>
    <xf numFmtId="0" fontId="74" fillId="25" borderId="25" xfId="92" applyFont="1" applyFill="1" applyBorder="1" applyAlignment="1">
      <alignment horizontal="center"/>
    </xf>
    <xf numFmtId="0" fontId="74" fillId="25" borderId="26" xfId="92" applyFont="1" applyFill="1" applyBorder="1" applyAlignment="1">
      <alignment horizontal="center"/>
    </xf>
    <xf numFmtId="0" fontId="74" fillId="25" borderId="27" xfId="92" applyFont="1" applyFill="1" applyBorder="1" applyAlignment="1">
      <alignment horizontal="center"/>
    </xf>
    <xf numFmtId="2" fontId="68" fillId="34" borderId="69" xfId="0" applyNumberFormat="1" applyFont="1" applyFill="1" applyBorder="1" applyAlignment="1">
      <alignment horizontal="center" vertical="center"/>
    </xf>
    <xf numFmtId="2" fontId="68" fillId="34" borderId="70" xfId="0" applyNumberFormat="1" applyFont="1" applyFill="1" applyBorder="1" applyAlignment="1">
      <alignment horizontal="center" vertical="center"/>
    </xf>
    <xf numFmtId="2" fontId="68" fillId="34" borderId="71" xfId="0" applyNumberFormat="1" applyFont="1" applyFill="1" applyBorder="1" applyAlignment="1">
      <alignment horizontal="center" vertical="center"/>
    </xf>
    <xf numFmtId="0" fontId="35" fillId="33" borderId="57" xfId="34" applyFont="1" applyFill="1" applyBorder="1" applyAlignment="1" applyProtection="1">
      <alignment horizontal="center" vertical="center" wrapText="1"/>
    </xf>
    <xf numFmtId="0" fontId="35" fillId="33" borderId="58" xfId="34" applyFont="1" applyFill="1" applyBorder="1" applyAlignment="1" applyProtection="1">
      <alignment horizontal="center" vertical="center" wrapText="1"/>
    </xf>
    <xf numFmtId="2" fontId="35" fillId="33" borderId="58" xfId="34" applyNumberFormat="1" applyFont="1" applyFill="1" applyBorder="1" applyAlignment="1" applyProtection="1">
      <alignment horizontal="center" vertical="center" wrapText="1"/>
    </xf>
    <xf numFmtId="0" fontId="35" fillId="33" borderId="59" xfId="34" applyFont="1" applyFill="1" applyBorder="1" applyAlignment="1" applyProtection="1">
      <alignment horizontal="center" vertical="center" wrapText="1"/>
    </xf>
    <xf numFmtId="2" fontId="46" fillId="33" borderId="25" xfId="0" applyNumberFormat="1" applyFont="1" applyFill="1" applyBorder="1" applyAlignment="1">
      <alignment horizontal="center"/>
    </xf>
    <xf numFmtId="2" fontId="46" fillId="33" borderId="26" xfId="0" applyNumberFormat="1" applyFont="1" applyFill="1" applyBorder="1" applyAlignment="1">
      <alignment horizontal="center"/>
    </xf>
    <xf numFmtId="2" fontId="46" fillId="33" borderId="27" xfId="0" applyNumberFormat="1" applyFont="1" applyFill="1" applyBorder="1" applyAlignment="1">
      <alignment horizontal="center"/>
    </xf>
    <xf numFmtId="2" fontId="35" fillId="33" borderId="59" xfId="34" applyNumberFormat="1" applyFont="1" applyFill="1" applyBorder="1" applyAlignment="1" applyProtection="1">
      <alignment horizontal="center" vertical="center" wrapText="1"/>
    </xf>
    <xf numFmtId="0" fontId="34" fillId="34" borderId="79" xfId="39" applyFont="1" applyFill="1" applyBorder="1" applyAlignment="1">
      <alignment horizontal="center" vertical="center"/>
    </xf>
    <xf numFmtId="0" fontId="34" fillId="34" borderId="76" xfId="39" applyFont="1" applyFill="1" applyBorder="1" applyAlignment="1">
      <alignment horizontal="center" vertical="center"/>
    </xf>
    <xf numFmtId="0" fontId="34" fillId="34" borderId="77" xfId="39" applyFont="1" applyFill="1" applyBorder="1" applyAlignment="1">
      <alignment vertical="center"/>
    </xf>
    <xf numFmtId="0" fontId="34" fillId="34" borderId="22" xfId="39" applyFont="1" applyFill="1" applyBorder="1" applyAlignment="1">
      <alignment horizontal="center" vertical="center"/>
    </xf>
    <xf numFmtId="0" fontId="34" fillId="34" borderId="22" xfId="39" applyFont="1" applyFill="1" applyBorder="1" applyAlignment="1">
      <alignment vertical="center"/>
    </xf>
    <xf numFmtId="42" fontId="34" fillId="34" borderId="45" xfId="39" applyNumberFormat="1" applyFont="1" applyFill="1" applyBorder="1" applyAlignment="1">
      <alignment vertical="center"/>
    </xf>
    <xf numFmtId="0" fontId="34" fillId="34" borderId="79" xfId="89" applyFont="1" applyFill="1" applyBorder="1" applyAlignment="1">
      <alignment horizontal="center" vertical="center"/>
    </xf>
    <xf numFmtId="0" fontId="34" fillId="34" borderId="76" xfId="89" applyFont="1" applyFill="1" applyBorder="1" applyAlignment="1">
      <alignment horizontal="center" vertical="center" wrapText="1"/>
    </xf>
    <xf numFmtId="170" fontId="34" fillId="34" borderId="22" xfId="48" applyNumberFormat="1" applyFont="1" applyFill="1" applyBorder="1" applyAlignment="1">
      <alignment horizontal="center" vertical="center"/>
    </xf>
    <xf numFmtId="0" fontId="34" fillId="34" borderId="22" xfId="89" applyFont="1" applyFill="1" applyBorder="1" applyAlignment="1">
      <alignment vertical="center"/>
    </xf>
    <xf numFmtId="170" fontId="34" fillId="34" borderId="22" xfId="48" applyNumberFormat="1" applyFont="1" applyFill="1" applyBorder="1" applyAlignment="1">
      <alignment vertical="center"/>
    </xf>
    <xf numFmtId="42" fontId="34" fillId="34" borderId="45" xfId="89" applyNumberFormat="1" applyFont="1" applyFill="1" applyBorder="1" applyAlignment="1">
      <alignment vertical="center"/>
    </xf>
    <xf numFmtId="0" fontId="34" fillId="34" borderId="76" xfId="89" applyFont="1" applyFill="1" applyBorder="1" applyAlignment="1">
      <alignment horizontal="center" vertical="center"/>
    </xf>
    <xf numFmtId="0" fontId="34" fillId="34" borderId="77" xfId="89" applyFont="1" applyFill="1" applyBorder="1" applyAlignment="1">
      <alignment vertical="center"/>
    </xf>
  </cellXfs>
  <cellStyles count="9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63" builtinId="3"/>
    <cellStyle name="Comma 2" xfId="46"/>
    <cellStyle name="Comma 2 2" xfId="48"/>
    <cellStyle name="Currency" xfId="61" builtinId="4"/>
    <cellStyle name="Currency 2" xfId="50"/>
    <cellStyle name="Currency 3" xfId="75"/>
    <cellStyle name="Currency 4" xfId="78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92" builtinId="8"/>
    <cellStyle name="Input" xfId="34" builtinId="20" customBuiltin="1"/>
    <cellStyle name="Input 2" xfId="84"/>
    <cellStyle name="Input 3" xfId="91"/>
    <cellStyle name="Linked Cell" xfId="35" builtinId="24" customBuiltin="1"/>
    <cellStyle name="Neutral" xfId="36" builtinId="28" customBuiltin="1"/>
    <cellStyle name="Normal" xfId="0" builtinId="0"/>
    <cellStyle name="Normal 10" xfId="69"/>
    <cellStyle name="Normal 11" xfId="96"/>
    <cellStyle name="Normal 2" xfId="44"/>
    <cellStyle name="Normal 2 2" xfId="47"/>
    <cellStyle name="Normal 2 3" xfId="45"/>
    <cellStyle name="Normal 2 3 2" xfId="52"/>
    <cellStyle name="Normal 3" xfId="37"/>
    <cellStyle name="Normal 4" xfId="43"/>
    <cellStyle name="Normal 4 2" xfId="53"/>
    <cellStyle name="Normal 4 2 2" xfId="58"/>
    <cellStyle name="Normal 4 3" xfId="51"/>
    <cellStyle name="Normal 4 3 2" xfId="57"/>
    <cellStyle name="Normal 4 4" xfId="56"/>
    <cellStyle name="Normal 5" xfId="49"/>
    <cellStyle name="Normal 6" xfId="55"/>
    <cellStyle name="Normal 7" xfId="54"/>
    <cellStyle name="Normal 7 2" xfId="59"/>
    <cellStyle name="Normal 8" xfId="60"/>
    <cellStyle name="Normal 9" xfId="65"/>
    <cellStyle name="Note" xfId="38" builtinId="10" customBuiltin="1"/>
    <cellStyle name="Note 10 2" xfId="71"/>
    <cellStyle name="Note 10 2 10 2 2 4 2 2 2 2 2 2 2 2 2 2" xfId="93"/>
    <cellStyle name="Note 10 2 10 2 2 4 2 2 2 2 2 2 2 2 2 2 2 2 2 2 2 3 2" xfId="95"/>
    <cellStyle name="Note 10 2 11 3 3" xfId="90"/>
    <cellStyle name="Note 10 2 2" xfId="82"/>
    <cellStyle name="Note 17 2" xfId="72"/>
    <cellStyle name="Note 2" xfId="64"/>
    <cellStyle name="Note 2 134" xfId="94"/>
    <cellStyle name="Note 2 2" xfId="81"/>
    <cellStyle name="Note 2 24" xfId="70"/>
    <cellStyle name="Note 2 3" xfId="88"/>
    <cellStyle name="Note 2 6 2 2" xfId="74"/>
    <cellStyle name="Note 24" xfId="68"/>
    <cellStyle name="Note 25" xfId="67"/>
    <cellStyle name="Note 28 2" xfId="66"/>
    <cellStyle name="Note 3" xfId="80"/>
    <cellStyle name="Note 33" xfId="73"/>
    <cellStyle name="Note 4" xfId="87"/>
    <cellStyle name="Output" xfId="39" builtinId="21" customBuiltin="1"/>
    <cellStyle name="Output 2" xfId="77"/>
    <cellStyle name="Output 2 2" xfId="85"/>
    <cellStyle name="Output 2 2 2" xfId="89"/>
    <cellStyle name="Output 3" xfId="83"/>
    <cellStyle name="Percent" xfId="62" builtinId="5"/>
    <cellStyle name="Percent 2" xfId="76"/>
    <cellStyle name="Percent 3" xfId="79"/>
    <cellStyle name="Title" xfId="40" builtinId="15" customBuiltin="1"/>
    <cellStyle name="Total" xfId="41" builtinId="25" customBuiltin="1"/>
    <cellStyle name="Total 2" xfId="86"/>
    <cellStyle name="Warning Text" xfId="42" builtinId="11" customBuiltin="1"/>
  </cellStyles>
  <dxfs count="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  <color rgb="FFFFFFD1"/>
      <color rgb="FFFFFF99"/>
      <color rgb="FFFFFFB9"/>
      <color rgb="FFE1EBF7"/>
      <color rgb="FFD7E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T106"/>
  <sheetViews>
    <sheetView zoomScale="70" zoomScaleNormal="70" workbookViewId="0">
      <selection activeCell="A12" sqref="A12"/>
    </sheetView>
  </sheetViews>
  <sheetFormatPr defaultColWidth="8.77734375" defaultRowHeight="15.75" x14ac:dyDescent="0.2"/>
  <cols>
    <col min="1" max="1" width="7.21875" style="1" customWidth="1"/>
    <col min="2" max="2" width="13.77734375" style="6" customWidth="1"/>
    <col min="3" max="3" width="35.21875" style="6" customWidth="1"/>
    <col min="4" max="4" width="16.21875" style="2" customWidth="1"/>
    <col min="5" max="5" width="13.77734375" style="7" customWidth="1"/>
    <col min="6" max="6" width="15.21875" style="7" customWidth="1"/>
    <col min="7" max="7" width="18.109375" style="7" customWidth="1"/>
    <col min="8" max="8" width="7.44140625" style="6" customWidth="1"/>
    <col min="9" max="9" width="3.109375" style="6" customWidth="1"/>
    <col min="10" max="10" width="19.21875" style="8" customWidth="1"/>
    <col min="11" max="11" width="19.44140625" style="8" customWidth="1"/>
    <col min="12" max="12" width="15.77734375" style="8" customWidth="1"/>
    <col min="13" max="13" width="17.109375" style="8" customWidth="1"/>
    <col min="14" max="14" width="14.77734375" style="8" customWidth="1"/>
    <col min="15" max="16" width="13" style="8" customWidth="1"/>
    <col min="17" max="17" width="5.109375" style="8" customWidth="1"/>
    <col min="18" max="18" width="16.77734375" style="8" customWidth="1"/>
    <col min="19" max="19" width="12" style="27" customWidth="1"/>
    <col min="20" max="20" width="8.77734375" style="1"/>
    <col min="21" max="21" width="10.21875" style="1" bestFit="1" customWidth="1"/>
    <col min="22" max="16384" width="8.77734375" style="1"/>
  </cols>
  <sheetData>
    <row r="1" spans="1:20" ht="9.75" customHeight="1" thickBot="1" x14ac:dyDescent="0.25">
      <c r="A1" s="159"/>
      <c r="B1" s="160"/>
      <c r="C1" s="160"/>
      <c r="D1" s="161"/>
      <c r="E1" s="162"/>
      <c r="F1" s="162"/>
      <c r="G1" s="162"/>
      <c r="H1" s="160"/>
      <c r="I1" s="160"/>
      <c r="J1" s="163"/>
      <c r="K1" s="163"/>
      <c r="L1" s="163"/>
      <c r="M1" s="163"/>
      <c r="N1" s="163"/>
      <c r="O1" s="163"/>
      <c r="P1" s="163"/>
      <c r="Q1" s="164"/>
      <c r="R1" s="1"/>
      <c r="S1" s="1"/>
    </row>
    <row r="2" spans="1:20" s="3" customFormat="1" ht="48.75" customHeight="1" thickTop="1" thickBot="1" x14ac:dyDescent="0.2">
      <c r="A2" s="462" t="s">
        <v>176</v>
      </c>
      <c r="B2" s="463"/>
      <c r="C2" s="463"/>
      <c r="D2" s="463"/>
      <c r="E2" s="463"/>
      <c r="F2" s="463"/>
      <c r="G2" s="463"/>
      <c r="H2" s="463"/>
      <c r="I2" s="463"/>
      <c r="J2" s="463"/>
      <c r="K2" s="463"/>
      <c r="L2" s="463"/>
      <c r="M2" s="463"/>
      <c r="N2" s="463"/>
      <c r="O2" s="463"/>
      <c r="P2" s="463"/>
      <c r="Q2" s="464"/>
      <c r="R2" s="1"/>
      <c r="S2" s="1"/>
      <c r="T2" s="1"/>
    </row>
    <row r="3" spans="1:20" ht="16.5" thickTop="1" x14ac:dyDescent="0.2">
      <c r="A3" s="113"/>
      <c r="B3" s="16"/>
      <c r="C3" s="16"/>
      <c r="D3" s="17"/>
      <c r="E3" s="15"/>
      <c r="F3" s="15"/>
      <c r="G3" s="15"/>
      <c r="H3" s="16"/>
      <c r="I3" s="16"/>
      <c r="J3" s="114"/>
      <c r="K3" s="114"/>
      <c r="L3" s="114"/>
      <c r="M3" s="114"/>
      <c r="N3" s="114"/>
      <c r="O3" s="114"/>
      <c r="P3" s="114"/>
      <c r="Q3" s="115"/>
      <c r="R3" s="1"/>
      <c r="S3" s="1"/>
    </row>
    <row r="4" spans="1:20" ht="20.25" x14ac:dyDescent="0.3">
      <c r="A4" s="113"/>
      <c r="B4" s="16"/>
      <c r="C4" s="14" t="s">
        <v>7</v>
      </c>
      <c r="D4" s="116">
        <f>'BASE BID'!K4</f>
        <v>44757</v>
      </c>
      <c r="E4" s="15"/>
      <c r="F4" s="15"/>
      <c r="G4" s="15"/>
      <c r="H4" s="16"/>
      <c r="I4" s="16"/>
      <c r="J4" s="14" t="s">
        <v>181</v>
      </c>
      <c r="K4" s="117">
        <f>'BASE BID'!K7</f>
        <v>0</v>
      </c>
      <c r="L4" s="106"/>
      <c r="M4" s="106"/>
      <c r="N4" s="106"/>
      <c r="O4" s="106"/>
      <c r="P4" s="106"/>
      <c r="Q4" s="107"/>
      <c r="R4" s="1"/>
      <c r="S4" s="1"/>
    </row>
    <row r="5" spans="1:20" ht="20.25" x14ac:dyDescent="0.3">
      <c r="A5" s="113"/>
      <c r="B5" s="16"/>
      <c r="C5" s="14" t="s">
        <v>8</v>
      </c>
      <c r="D5" s="117">
        <f>'BASE BID'!K5</f>
        <v>0</v>
      </c>
      <c r="E5" s="15"/>
      <c r="F5" s="15"/>
      <c r="G5" s="15"/>
      <c r="H5" s="16"/>
      <c r="I5" s="16"/>
      <c r="J5" s="14" t="s">
        <v>175</v>
      </c>
      <c r="K5" s="117" t="s">
        <v>219</v>
      </c>
      <c r="L5" s="106"/>
      <c r="M5" s="106"/>
      <c r="N5" s="106"/>
      <c r="O5" s="106"/>
      <c r="P5" s="106"/>
      <c r="Q5" s="107"/>
      <c r="R5" s="1"/>
      <c r="S5" s="1"/>
    </row>
    <row r="6" spans="1:20" ht="20.25" customHeight="1" x14ac:dyDescent="0.3">
      <c r="A6" s="113"/>
      <c r="B6" s="16"/>
      <c r="C6" s="118" t="s">
        <v>9</v>
      </c>
      <c r="D6" s="117">
        <f>'BASE BID'!K6</f>
        <v>0</v>
      </c>
      <c r="E6" s="15"/>
      <c r="F6" s="15"/>
      <c r="G6" s="15"/>
      <c r="H6" s="16"/>
      <c r="I6" s="16"/>
      <c r="J6" s="174" t="s">
        <v>180</v>
      </c>
      <c r="K6" s="153">
        <f>D10</f>
        <v>851980.56368014496</v>
      </c>
      <c r="L6" s="106"/>
      <c r="M6" s="106"/>
      <c r="N6" s="106"/>
      <c r="O6" s="106"/>
      <c r="P6" s="106"/>
      <c r="Q6" s="107"/>
      <c r="R6" s="1"/>
      <c r="S6" s="1"/>
    </row>
    <row r="7" spans="1:20" ht="20.25" x14ac:dyDescent="0.3">
      <c r="A7" s="113"/>
      <c r="B7" s="16"/>
      <c r="C7" s="14"/>
      <c r="D7" s="17"/>
      <c r="E7" s="15"/>
      <c r="F7" s="14"/>
      <c r="G7" s="117"/>
      <c r="H7" s="16"/>
      <c r="I7" s="16"/>
      <c r="J7" s="106"/>
      <c r="K7" s="106"/>
      <c r="L7" s="106"/>
      <c r="M7" s="106"/>
      <c r="N7" s="106"/>
      <c r="O7" s="106"/>
      <c r="P7" s="106"/>
      <c r="Q7" s="115"/>
      <c r="R7" s="1"/>
      <c r="S7" s="1"/>
    </row>
    <row r="8" spans="1:20" ht="16.5" customHeight="1" thickBot="1" x14ac:dyDescent="0.25">
      <c r="A8" s="113"/>
      <c r="B8" s="16"/>
      <c r="C8" s="16"/>
      <c r="D8" s="17"/>
      <c r="E8" s="15"/>
      <c r="F8" s="15"/>
      <c r="G8" s="15"/>
      <c r="H8" s="16"/>
      <c r="I8" s="16"/>
      <c r="J8" s="114"/>
      <c r="K8" s="114"/>
      <c r="L8" s="114"/>
      <c r="M8" s="114"/>
      <c r="N8" s="114"/>
      <c r="O8" s="114"/>
      <c r="P8" s="114"/>
      <c r="Q8" s="115"/>
      <c r="R8" s="1"/>
      <c r="S8" s="1"/>
    </row>
    <row r="9" spans="1:20" ht="42.75" customHeight="1" thickBot="1" x14ac:dyDescent="0.25">
      <c r="A9" s="113"/>
      <c r="B9" s="412" t="s">
        <v>230</v>
      </c>
      <c r="C9" s="413"/>
      <c r="D9" s="245" t="s">
        <v>174</v>
      </c>
      <c r="E9" s="52"/>
      <c r="F9" s="15"/>
      <c r="G9" s="15"/>
      <c r="H9" s="106"/>
      <c r="I9" s="106"/>
      <c r="J9" s="114"/>
      <c r="K9" s="114"/>
      <c r="L9" s="119"/>
      <c r="M9" s="119"/>
      <c r="N9" s="119"/>
      <c r="O9" s="119"/>
      <c r="P9" s="119"/>
      <c r="Q9" s="108"/>
      <c r="R9" s="1"/>
      <c r="S9" s="1"/>
    </row>
    <row r="10" spans="1:20" s="28" customFormat="1" ht="24" customHeight="1" thickTop="1" thickBot="1" x14ac:dyDescent="0.25">
      <c r="A10" s="244"/>
      <c r="B10" s="414" t="s">
        <v>283</v>
      </c>
      <c r="C10" s="415"/>
      <c r="D10" s="306">
        <f>'BASE BID'!E9</f>
        <v>851980.56368014496</v>
      </c>
      <c r="E10" s="52"/>
      <c r="F10" s="15"/>
      <c r="G10" s="15"/>
      <c r="H10" s="106"/>
      <c r="I10" s="106"/>
      <c r="J10" s="114"/>
      <c r="K10" s="114"/>
      <c r="L10" s="255"/>
      <c r="M10" s="255"/>
      <c r="N10" s="255"/>
      <c r="O10" s="255"/>
      <c r="P10" s="123"/>
      <c r="Q10" s="124"/>
      <c r="R10" s="1"/>
      <c r="S10" s="1"/>
      <c r="T10" s="1"/>
    </row>
    <row r="11" spans="1:20" s="28" customFormat="1" ht="24.75" customHeight="1" thickBot="1" x14ac:dyDescent="0.25">
      <c r="A11" s="120"/>
      <c r="B11" s="430" t="s">
        <v>255</v>
      </c>
      <c r="C11" s="430"/>
      <c r="D11" s="241"/>
      <c r="E11" s="242"/>
      <c r="F11" s="15"/>
      <c r="G11" s="125"/>
      <c r="H11" s="121"/>
      <c r="I11" s="121"/>
      <c r="J11" s="122"/>
      <c r="K11" s="121"/>
      <c r="L11" s="123"/>
      <c r="M11" s="123"/>
      <c r="N11" s="123"/>
      <c r="O11" s="123"/>
      <c r="P11" s="123"/>
      <c r="Q11" s="124"/>
      <c r="R11" s="1"/>
      <c r="S11" s="1"/>
      <c r="T11" s="1"/>
    </row>
    <row r="12" spans="1:20" s="28" customFormat="1" ht="24.75" customHeight="1" thickBot="1" x14ac:dyDescent="0.25">
      <c r="A12" s="120"/>
      <c r="B12" s="431" t="s">
        <v>266</v>
      </c>
      <c r="C12" s="432"/>
      <c r="D12" s="433"/>
      <c r="E12" s="16"/>
      <c r="F12" s="242"/>
      <c r="G12" s="125"/>
      <c r="H12" s="121"/>
      <c r="I12" s="121"/>
      <c r="J12" s="122"/>
      <c r="K12" s="121"/>
      <c r="L12" s="123"/>
      <c r="M12" s="123"/>
      <c r="N12" s="123"/>
      <c r="O12" s="123"/>
      <c r="P12" s="123"/>
      <c r="Q12" s="124"/>
      <c r="R12" s="1"/>
      <c r="S12" s="1"/>
      <c r="T12" s="1"/>
    </row>
    <row r="13" spans="1:20" ht="15.75" customHeight="1" x14ac:dyDescent="0.2">
      <c r="A13" s="113"/>
      <c r="B13" s="16"/>
      <c r="C13" s="1"/>
      <c r="D13" s="17"/>
      <c r="E13" s="16"/>
      <c r="F13" s="15"/>
      <c r="G13" s="15"/>
      <c r="H13" s="16"/>
      <c r="I13" s="16"/>
      <c r="J13" s="422" t="s">
        <v>198</v>
      </c>
      <c r="K13" s="422"/>
      <c r="L13" s="422"/>
      <c r="M13" s="106"/>
      <c r="N13" s="106"/>
      <c r="O13" s="106"/>
      <c r="P13" s="106"/>
      <c r="Q13" s="107"/>
      <c r="R13" s="1"/>
      <c r="S13" s="1"/>
    </row>
    <row r="14" spans="1:20" ht="16.5" customHeight="1" thickBot="1" x14ac:dyDescent="0.25">
      <c r="A14" s="113"/>
      <c r="B14" s="16"/>
      <c r="C14" s="16"/>
      <c r="D14" s="17"/>
      <c r="E14" s="16"/>
      <c r="F14" s="15"/>
      <c r="G14" s="15"/>
      <c r="H14" s="16"/>
      <c r="I14" s="16"/>
      <c r="J14" s="423"/>
      <c r="K14" s="423"/>
      <c r="L14" s="423"/>
      <c r="M14" s="106"/>
      <c r="N14" s="106"/>
      <c r="O14" s="106"/>
      <c r="P14" s="106"/>
      <c r="Q14" s="107"/>
      <c r="R14" s="1"/>
      <c r="S14" s="1"/>
    </row>
    <row r="15" spans="1:20" ht="24" customHeight="1" x14ac:dyDescent="0.2">
      <c r="A15" s="113"/>
      <c r="B15" s="416" t="s">
        <v>234</v>
      </c>
      <c r="C15" s="417"/>
      <c r="D15" s="417"/>
      <c r="E15" s="417"/>
      <c r="F15" s="417"/>
      <c r="G15" s="418"/>
      <c r="H15" s="16"/>
      <c r="I15" s="16"/>
      <c r="J15" s="424" t="s">
        <v>195</v>
      </c>
      <c r="K15" s="425"/>
      <c r="L15" s="426"/>
      <c r="M15" s="106"/>
      <c r="N15" s="106"/>
      <c r="O15" s="106"/>
      <c r="P15" s="106"/>
      <c r="Q15" s="107"/>
      <c r="R15" s="1"/>
      <c r="S15" s="1"/>
    </row>
    <row r="16" spans="1:20" ht="25.5" customHeight="1" thickBot="1" x14ac:dyDescent="0.25">
      <c r="A16" s="113"/>
      <c r="B16" s="419"/>
      <c r="C16" s="420"/>
      <c r="D16" s="420"/>
      <c r="E16" s="420"/>
      <c r="F16" s="420"/>
      <c r="G16" s="421"/>
      <c r="H16" s="16"/>
      <c r="I16" s="16"/>
      <c r="J16" s="427"/>
      <c r="K16" s="428"/>
      <c r="L16" s="429"/>
      <c r="M16" s="106"/>
      <c r="N16" s="106"/>
      <c r="O16" s="106"/>
      <c r="P16" s="106"/>
      <c r="Q16" s="107"/>
      <c r="R16" s="1"/>
      <c r="S16" s="1"/>
    </row>
    <row r="17" spans="1:19" ht="36.75" customHeight="1" thickBot="1" x14ac:dyDescent="0.25">
      <c r="A17" s="113"/>
      <c r="B17" s="154" t="s">
        <v>196</v>
      </c>
      <c r="C17" s="155" t="s">
        <v>193</v>
      </c>
      <c r="D17" s="156" t="s">
        <v>182</v>
      </c>
      <c r="E17" s="157" t="s">
        <v>183</v>
      </c>
      <c r="F17" s="156" t="s">
        <v>184</v>
      </c>
      <c r="G17" s="158" t="s">
        <v>197</v>
      </c>
      <c r="H17" s="16"/>
      <c r="I17" s="16"/>
      <c r="J17" s="271" t="s">
        <v>274</v>
      </c>
      <c r="K17" s="272" t="s">
        <v>275</v>
      </c>
      <c r="L17" s="272" t="s">
        <v>276</v>
      </c>
      <c r="M17" s="283" t="s">
        <v>277</v>
      </c>
      <c r="N17" s="434" t="s">
        <v>278</v>
      </c>
      <c r="O17" s="435"/>
      <c r="P17" s="435"/>
      <c r="Q17" s="107"/>
      <c r="R17" s="1"/>
      <c r="S17" s="1"/>
    </row>
    <row r="18" spans="1:19" x14ac:dyDescent="0.2">
      <c r="A18" s="113"/>
      <c r="B18" s="57" t="s">
        <v>20</v>
      </c>
      <c r="C18" s="56" t="s">
        <v>185</v>
      </c>
      <c r="D18" s="54">
        <f>SUMIF('BASE BID'!D:D,B18,'BASE BID'!N:N)</f>
        <v>39053.941388256368</v>
      </c>
      <c r="E18" s="54">
        <f>SUMIF('BASE BID'!D:D,B18,'BASE BID'!P:P)</f>
        <v>0</v>
      </c>
      <c r="F18" s="78">
        <f>SUMIF('BASE BID'!D:D,B18,'BASE BID'!Q:Q)</f>
        <v>39053.941388256368</v>
      </c>
      <c r="G18" s="134">
        <f>F18/F40</f>
        <v>5.2373029040561798E-2</v>
      </c>
      <c r="H18" s="16"/>
      <c r="I18" s="16"/>
      <c r="J18" s="273">
        <f t="shared" ref="J18:J39" si="0">((D18*(1+$H$43))+(E18*(1+$H$41+$H$42)))*(1+$H$44)</f>
        <v>46864.729665907638</v>
      </c>
      <c r="K18" s="278"/>
      <c r="L18" s="274">
        <f>J18-K18</f>
        <v>46864.729665907638</v>
      </c>
      <c r="M18" s="279"/>
      <c r="N18" s="243"/>
      <c r="O18" s="243"/>
      <c r="P18" s="243"/>
      <c r="Q18" s="107"/>
      <c r="R18" s="1"/>
      <c r="S18" s="1"/>
    </row>
    <row r="19" spans="1:19" x14ac:dyDescent="0.2">
      <c r="A19" s="113"/>
      <c r="B19" s="55" t="s">
        <v>38</v>
      </c>
      <c r="C19" s="53" t="s">
        <v>186</v>
      </c>
      <c r="D19" s="54">
        <f>SUMIF('BASE BID'!D:D,B19,'BASE BID'!N:N)</f>
        <v>4776.536042062281</v>
      </c>
      <c r="E19" s="54">
        <f>SUMIF('BASE BID'!D:D,B19,'BASE BID'!P:P)</f>
        <v>0</v>
      </c>
      <c r="F19" s="78">
        <f>SUMIF('BASE BID'!D:D,B19,'BASE BID'!Q:Q)</f>
        <v>4776.536042062281</v>
      </c>
      <c r="G19" s="135">
        <f t="shared" ref="G19:G32" si="1">F19/F$40</f>
        <v>6.4055419748092896E-3</v>
      </c>
      <c r="H19" s="16"/>
      <c r="I19" s="16"/>
      <c r="J19" s="280">
        <f t="shared" si="0"/>
        <v>5731.843250474737</v>
      </c>
      <c r="K19" s="281"/>
      <c r="L19" s="282">
        <f t="shared" ref="L19:L39" si="2">J19-K19</f>
        <v>5731.843250474737</v>
      </c>
      <c r="M19" s="279"/>
      <c r="N19" s="243"/>
      <c r="O19" s="243"/>
      <c r="P19" s="243"/>
      <c r="Q19" s="107"/>
      <c r="R19" s="1"/>
      <c r="S19" s="1"/>
    </row>
    <row r="20" spans="1:19" x14ac:dyDescent="0.2">
      <c r="A20" s="113"/>
      <c r="B20" s="55" t="s">
        <v>39</v>
      </c>
      <c r="C20" s="53" t="s">
        <v>40</v>
      </c>
      <c r="D20" s="54">
        <f>SUMIF('BASE BID'!D:D,B20,'BASE BID'!N:N)</f>
        <v>7789.2842896402281</v>
      </c>
      <c r="E20" s="54">
        <f>SUMIF('BASE BID'!D:D,B20,'BASE BID'!P:P)</f>
        <v>15227.491510102283</v>
      </c>
      <c r="F20" s="78">
        <f>SUMIF('BASE BID'!D:D,B20,'BASE BID'!Q:Q)</f>
        <v>23016.775799742507</v>
      </c>
      <c r="G20" s="135">
        <f t="shared" si="1"/>
        <v>3.0866494508093339E-2</v>
      </c>
      <c r="H20" s="16"/>
      <c r="I20" s="16"/>
      <c r="J20" s="280">
        <f t="shared" si="0"/>
        <v>26021.244351130274</v>
      </c>
      <c r="K20" s="281"/>
      <c r="L20" s="282">
        <f t="shared" si="2"/>
        <v>26021.244351130274</v>
      </c>
      <c r="M20" s="279"/>
      <c r="N20" s="243"/>
      <c r="O20" s="243"/>
      <c r="P20" s="243"/>
      <c r="Q20" s="107"/>
      <c r="R20" s="1"/>
      <c r="S20" s="1"/>
    </row>
    <row r="21" spans="1:19" x14ac:dyDescent="0.2">
      <c r="A21" s="113"/>
      <c r="B21" s="55" t="s">
        <v>74</v>
      </c>
      <c r="C21" s="53" t="s">
        <v>187</v>
      </c>
      <c r="D21" s="54">
        <f>SUMIF('BASE BID'!D:D,B21,'BASE BID'!N:N)</f>
        <v>11389.048248826164</v>
      </c>
      <c r="E21" s="54">
        <f>SUMIF('BASE BID'!D:D,B21,'BASE BID'!P:P)</f>
        <v>8714.8545086299546</v>
      </c>
      <c r="F21" s="78">
        <f>SUMIF('BASE BID'!D:D,B21,'BASE BID'!Q:Q)</f>
        <v>20103.902757456119</v>
      </c>
      <c r="G21" s="135">
        <f t="shared" si="1"/>
        <v>2.6960205436818995E-2</v>
      </c>
      <c r="H21" s="16"/>
      <c r="I21" s="16"/>
      <c r="J21" s="280">
        <f t="shared" si="0"/>
        <v>23209.623585541198</v>
      </c>
      <c r="K21" s="281"/>
      <c r="L21" s="282">
        <f t="shared" si="2"/>
        <v>23209.623585541198</v>
      </c>
      <c r="M21" s="279"/>
      <c r="N21" s="243"/>
      <c r="O21" s="243"/>
      <c r="P21" s="243"/>
      <c r="Q21" s="107"/>
      <c r="R21" s="1"/>
      <c r="S21" s="1"/>
    </row>
    <row r="22" spans="1:19" x14ac:dyDescent="0.2">
      <c r="A22" s="113"/>
      <c r="B22" s="55" t="s">
        <v>75</v>
      </c>
      <c r="C22" s="53" t="s">
        <v>170</v>
      </c>
      <c r="D22" s="54">
        <f>SUMIF('BASE BID'!D:D,B22,'BASE BID'!N:N)</f>
        <v>5810.6141374409108</v>
      </c>
      <c r="E22" s="54">
        <f>SUMIF('BASE BID'!D:D,B22,'BASE BID'!P:P)</f>
        <v>13793.57449131139</v>
      </c>
      <c r="F22" s="78">
        <f>SUMIF('BASE BID'!D:D,B22,'BASE BID'!Q:Q)</f>
        <v>19604.188628752301</v>
      </c>
      <c r="G22" s="135">
        <f t="shared" si="1"/>
        <v>2.6290067119295584E-2</v>
      </c>
      <c r="H22" s="16"/>
      <c r="I22" s="16"/>
      <c r="J22" s="280">
        <f t="shared" si="0"/>
        <v>22076.701032915065</v>
      </c>
      <c r="K22" s="281"/>
      <c r="L22" s="282">
        <f t="shared" si="2"/>
        <v>22076.701032915065</v>
      </c>
      <c r="M22" s="279"/>
      <c r="N22" s="243"/>
      <c r="O22" s="243"/>
      <c r="P22" s="243"/>
      <c r="Q22" s="107"/>
      <c r="R22" s="1"/>
      <c r="S22" s="1"/>
    </row>
    <row r="23" spans="1:19" x14ac:dyDescent="0.2">
      <c r="A23" s="113"/>
      <c r="B23" s="55" t="s">
        <v>32</v>
      </c>
      <c r="C23" s="53" t="s">
        <v>188</v>
      </c>
      <c r="D23" s="54">
        <f>SUMIF('BASE BID'!D:D,B23,'BASE BID'!N:N)</f>
        <v>14205.859899802028</v>
      </c>
      <c r="E23" s="54">
        <f>SUMIF('BASE BID'!D:D,B23,'BASE BID'!P:P)</f>
        <v>36682.33175828572</v>
      </c>
      <c r="F23" s="78">
        <f>SUMIF('BASE BID'!D:D,B23,'BASE BID'!Q:Q)</f>
        <v>50888.191658087744</v>
      </c>
      <c r="G23" s="135">
        <f t="shared" si="1"/>
        <v>6.8243271864286859E-2</v>
      </c>
      <c r="H23" s="16"/>
      <c r="I23" s="16"/>
      <c r="J23" s="280">
        <f t="shared" si="0"/>
        <v>57214.185155085288</v>
      </c>
      <c r="K23" s="281"/>
      <c r="L23" s="282">
        <f t="shared" si="2"/>
        <v>57214.185155085288</v>
      </c>
      <c r="M23" s="279"/>
      <c r="N23" s="243"/>
      <c r="O23" s="243"/>
      <c r="P23" s="243"/>
      <c r="Q23" s="107"/>
      <c r="R23" s="1"/>
      <c r="S23" s="1"/>
    </row>
    <row r="24" spans="1:19" x14ac:dyDescent="0.2">
      <c r="A24" s="113"/>
      <c r="B24" s="55" t="s">
        <v>42</v>
      </c>
      <c r="C24" s="53" t="s">
        <v>189</v>
      </c>
      <c r="D24" s="54">
        <f>SUMIF('BASE BID'!D:D,B24,'BASE BID'!N:N)</f>
        <v>23948.865944802285</v>
      </c>
      <c r="E24" s="54">
        <f>SUMIF('BASE BID'!D:D,B24,'BASE BID'!P:P)</f>
        <v>37168.499912021129</v>
      </c>
      <c r="F24" s="78">
        <f>SUMIF('BASE BID'!D:D,B24,'BASE BID'!Q:Q)</f>
        <v>61117.365856823417</v>
      </c>
      <c r="G24" s="135">
        <f t="shared" si="1"/>
        <v>8.1961038069887956E-2</v>
      </c>
      <c r="H24" s="16"/>
      <c r="I24" s="16"/>
      <c r="J24" s="280">
        <f t="shared" si="0"/>
        <v>69438.14653742587</v>
      </c>
      <c r="K24" s="281"/>
      <c r="L24" s="282">
        <f t="shared" si="2"/>
        <v>69438.14653742587</v>
      </c>
      <c r="M24" s="279"/>
      <c r="N24" s="243"/>
      <c r="O24" s="243"/>
      <c r="P24" s="243"/>
      <c r="Q24" s="107"/>
      <c r="R24" s="1"/>
      <c r="S24" s="1"/>
    </row>
    <row r="25" spans="1:19" x14ac:dyDescent="0.2">
      <c r="A25" s="113"/>
      <c r="B25" s="55" t="s">
        <v>26</v>
      </c>
      <c r="C25" s="53" t="s">
        <v>28</v>
      </c>
      <c r="D25" s="54">
        <f>SUMIF('BASE BID'!D:D,B25,'BASE BID'!N:N)</f>
        <v>9034.0089001592642</v>
      </c>
      <c r="E25" s="54">
        <f>SUMIF('BASE BID'!D:D,B25,'BASE BID'!P:P)</f>
        <v>48456.876235000011</v>
      </c>
      <c r="F25" s="78">
        <f>SUMIF('BASE BID'!D:D,B25,'BASE BID'!Q:Q)</f>
        <v>57490.885135159253</v>
      </c>
      <c r="G25" s="135">
        <f t="shared" si="1"/>
        <v>7.7097770153788006E-2</v>
      </c>
      <c r="H25" s="16"/>
      <c r="I25" s="16"/>
      <c r="J25" s="280">
        <f t="shared" si="0"/>
        <v>63901.090157516126</v>
      </c>
      <c r="K25" s="281"/>
      <c r="L25" s="282">
        <f t="shared" si="2"/>
        <v>63901.090157516126</v>
      </c>
      <c r="M25" s="279"/>
      <c r="N25" s="243"/>
      <c r="O25" s="243"/>
      <c r="P25" s="243"/>
      <c r="Q25" s="107"/>
      <c r="R25" s="1"/>
      <c r="S25" s="1"/>
    </row>
    <row r="26" spans="1:19" x14ac:dyDescent="0.2">
      <c r="A26" s="113"/>
      <c r="B26" s="55" t="s">
        <v>21</v>
      </c>
      <c r="C26" s="53" t="s">
        <v>29</v>
      </c>
      <c r="D26" s="54">
        <f>SUMIF('BASE BID'!D:D,B26,'BASE BID'!N:N)</f>
        <v>40867.06967342634</v>
      </c>
      <c r="E26" s="54">
        <f>SUMIF('BASE BID'!D:D,B26,'BASE BID'!P:P)</f>
        <v>60037.958619767829</v>
      </c>
      <c r="F26" s="78">
        <f>SUMIF('BASE BID'!D:D,B26,'BASE BID'!Q:Q)</f>
        <v>100905.02829319413</v>
      </c>
      <c r="G26" s="135">
        <f t="shared" si="1"/>
        <v>0.13531801885500067</v>
      </c>
      <c r="H26" s="16"/>
      <c r="I26" s="16"/>
      <c r="J26" s="280">
        <f t="shared" si="0"/>
        <v>114782.04829675738</v>
      </c>
      <c r="K26" s="281"/>
      <c r="L26" s="282">
        <f t="shared" si="2"/>
        <v>114782.04829675738</v>
      </c>
      <c r="M26" s="279"/>
      <c r="N26" s="243"/>
      <c r="O26" s="243"/>
      <c r="P26" s="243"/>
      <c r="Q26" s="107"/>
      <c r="R26" s="1"/>
      <c r="S26" s="1"/>
    </row>
    <row r="27" spans="1:19" x14ac:dyDescent="0.2">
      <c r="A27" s="113"/>
      <c r="B27" s="55" t="s">
        <v>45</v>
      </c>
      <c r="C27" s="53" t="s">
        <v>172</v>
      </c>
      <c r="D27" s="54">
        <f>SUMIF('BASE BID'!D:D,B27,'BASE BID'!N:N)</f>
        <v>561.984961785</v>
      </c>
      <c r="E27" s="54">
        <f>SUMIF('BASE BID'!D:D,B27,'BASE BID'!P:P)</f>
        <v>2390.46</v>
      </c>
      <c r="F27" s="78">
        <f>SUMIF('BASE BID'!D:D,B27,'BASE BID'!Q:Q)</f>
        <v>2952.444961785</v>
      </c>
      <c r="G27" s="135">
        <f t="shared" si="1"/>
        <v>3.9593567314238709E-3</v>
      </c>
      <c r="H27" s="16"/>
      <c r="I27" s="16"/>
      <c r="J27" s="280">
        <f t="shared" si="0"/>
        <v>3291.9356541419997</v>
      </c>
      <c r="K27" s="281"/>
      <c r="L27" s="282">
        <f t="shared" si="2"/>
        <v>3291.9356541419997</v>
      </c>
      <c r="M27" s="279"/>
      <c r="N27" s="243"/>
      <c r="O27" s="243"/>
      <c r="P27" s="243"/>
      <c r="Q27" s="107"/>
      <c r="R27" s="1"/>
      <c r="S27" s="1"/>
    </row>
    <row r="28" spans="1:19" x14ac:dyDescent="0.2">
      <c r="A28" s="113"/>
      <c r="B28" s="55" t="s">
        <v>33</v>
      </c>
      <c r="C28" s="53" t="s">
        <v>171</v>
      </c>
      <c r="D28" s="54">
        <f>SUMIF('BASE BID'!D:D,B28,'BASE BID'!N:N)</f>
        <v>467.59488912000006</v>
      </c>
      <c r="E28" s="54">
        <f>SUMIF('BASE BID'!D:D,B28,'BASE BID'!P:P)</f>
        <v>7656.17</v>
      </c>
      <c r="F28" s="78">
        <f>SUMIF('BASE BID'!D:D,B28,'BASE BID'!Q:Q)</f>
        <v>8123.7648891199988</v>
      </c>
      <c r="G28" s="135">
        <f t="shared" si="1"/>
        <v>1.0894321016841513E-2</v>
      </c>
      <c r="H28" s="16"/>
      <c r="I28" s="16"/>
      <c r="J28" s="280">
        <f t="shared" si="0"/>
        <v>8944.6200169439999</v>
      </c>
      <c r="K28" s="281"/>
      <c r="L28" s="282">
        <f t="shared" si="2"/>
        <v>8944.6200169439999</v>
      </c>
      <c r="M28" s="279"/>
      <c r="N28" s="243"/>
      <c r="O28" s="243"/>
      <c r="P28" s="243"/>
      <c r="Q28" s="107"/>
      <c r="R28" s="1"/>
      <c r="S28" s="1"/>
    </row>
    <row r="29" spans="1:19" x14ac:dyDescent="0.2">
      <c r="A29" s="113"/>
      <c r="B29" s="55" t="s">
        <v>34</v>
      </c>
      <c r="C29" s="53" t="s">
        <v>190</v>
      </c>
      <c r="D29" s="54">
        <f>SUMIF('BASE BID'!D:D,B29,'BASE BID'!N:N)</f>
        <v>3941.9847344570899</v>
      </c>
      <c r="E29" s="54">
        <f>SUMIF('BASE BID'!D:D,B29,'BASE BID'!P:P)</f>
        <v>18630.844053600358</v>
      </c>
      <c r="F29" s="78">
        <f>SUMIF('BASE BID'!D:D,B29,'BASE BID'!Q:Q)</f>
        <v>22572.82878805745</v>
      </c>
      <c r="G29" s="135">
        <f t="shared" si="1"/>
        <v>3.0271142312925561E-2</v>
      </c>
      <c r="H29" s="16"/>
      <c r="I29" s="16"/>
      <c r="J29" s="280">
        <f t="shared" si="0"/>
        <v>25131.155920040899</v>
      </c>
      <c r="K29" s="281"/>
      <c r="L29" s="282">
        <f t="shared" si="2"/>
        <v>25131.155920040899</v>
      </c>
      <c r="M29" s="279"/>
      <c r="N29" s="243"/>
      <c r="O29" s="243"/>
      <c r="P29" s="243"/>
      <c r="Q29" s="107"/>
      <c r="R29" s="1"/>
      <c r="S29" s="1"/>
    </row>
    <row r="30" spans="1:19" x14ac:dyDescent="0.2">
      <c r="A30" s="113"/>
      <c r="B30" s="55" t="s">
        <v>117</v>
      </c>
      <c r="C30" s="53" t="s">
        <v>118</v>
      </c>
      <c r="D30" s="54">
        <f>SUMIF('BASE BID'!D:D,B30,'BASE BID'!N:N)</f>
        <v>8454.3648758100026</v>
      </c>
      <c r="E30" s="54">
        <f>SUMIF('BASE BID'!D:D,B30,'BASE BID'!P:P)</f>
        <v>40000</v>
      </c>
      <c r="F30" s="78">
        <f>SUMIF('BASE BID'!D:D,B30,'BASE BID'!Q:Q)</f>
        <v>48454.364875810003</v>
      </c>
      <c r="G30" s="135">
        <f t="shared" si="1"/>
        <v>6.4979404602319324E-2</v>
      </c>
      <c r="H30" s="16"/>
      <c r="I30" s="16"/>
      <c r="J30" s="280">
        <f t="shared" si="0"/>
        <v>53945.237850972</v>
      </c>
      <c r="K30" s="281"/>
      <c r="L30" s="282">
        <f t="shared" si="2"/>
        <v>53945.237850972</v>
      </c>
      <c r="M30" s="279"/>
      <c r="N30" s="243"/>
      <c r="O30" s="243"/>
      <c r="P30" s="243"/>
      <c r="Q30" s="107"/>
      <c r="R30" s="1"/>
      <c r="S30" s="1"/>
    </row>
    <row r="31" spans="1:19" x14ac:dyDescent="0.2">
      <c r="A31" s="113"/>
      <c r="B31" s="55" t="s">
        <v>119</v>
      </c>
      <c r="C31" s="53" t="s">
        <v>120</v>
      </c>
      <c r="D31" s="54">
        <f>SUMIF('BASE BID'!D:D,B31,'BASE BID'!N:N)</f>
        <v>12729.521386612796</v>
      </c>
      <c r="E31" s="54">
        <f>SUMIF('BASE BID'!D:D,B31,'BASE BID'!P:P)</f>
        <v>9912</v>
      </c>
      <c r="F31" s="78">
        <f>SUMIF('BASE BID'!D:D,B31,'BASE BID'!Q:Q)</f>
        <v>22641.521386612796</v>
      </c>
      <c r="G31" s="135">
        <f t="shared" si="1"/>
        <v>3.0363262066556693E-2</v>
      </c>
      <c r="H31" s="16"/>
      <c r="I31" s="16"/>
      <c r="J31" s="280">
        <f t="shared" si="0"/>
        <v>26129.065663935355</v>
      </c>
      <c r="K31" s="281"/>
      <c r="L31" s="282">
        <f t="shared" si="2"/>
        <v>26129.065663935355</v>
      </c>
      <c r="M31" s="279"/>
      <c r="N31" s="243"/>
      <c r="O31" s="243"/>
      <c r="P31" s="243"/>
      <c r="Q31" s="107"/>
      <c r="R31" s="1"/>
      <c r="S31" s="1"/>
    </row>
    <row r="32" spans="1:19" x14ac:dyDescent="0.2">
      <c r="A32" s="113"/>
      <c r="B32" s="55" t="s">
        <v>36</v>
      </c>
      <c r="C32" s="53" t="s">
        <v>163</v>
      </c>
      <c r="D32" s="54">
        <f>SUMIF('BASE BID'!D:D,B32,'BASE BID'!N:N)</f>
        <v>34129.008295341097</v>
      </c>
      <c r="E32" s="54">
        <f>SUMIF('BASE BID'!D:D,B32,'BASE BID'!P:P)</f>
        <v>32512.792205000002</v>
      </c>
      <c r="F32" s="78">
        <f>SUMIF('BASE BID'!D:D,B32,'BASE BID'!Q:Q)</f>
        <v>66641.800500341109</v>
      </c>
      <c r="G32" s="135">
        <f t="shared" si="1"/>
        <v>8.9369544503111631E-2</v>
      </c>
      <c r="H32" s="16"/>
      <c r="I32" s="16"/>
      <c r="J32" s="280">
        <f t="shared" si="0"/>
        <v>76556.317418884311</v>
      </c>
      <c r="K32" s="281"/>
      <c r="L32" s="282">
        <f t="shared" si="2"/>
        <v>76556.317418884311</v>
      </c>
      <c r="M32" s="279"/>
      <c r="N32" s="243"/>
      <c r="O32" s="243"/>
      <c r="P32" s="243"/>
      <c r="Q32" s="107"/>
      <c r="R32" s="1"/>
      <c r="S32" s="1"/>
    </row>
    <row r="33" spans="1:19" x14ac:dyDescent="0.2">
      <c r="A33" s="113"/>
      <c r="B33" s="55" t="s">
        <v>43</v>
      </c>
      <c r="C33" s="53" t="s">
        <v>191</v>
      </c>
      <c r="D33" s="54">
        <f>SUMIF('BASE BID'!D:D,B33,'BASE BID'!N:N)</f>
        <v>33960.532849810414</v>
      </c>
      <c r="E33" s="54">
        <f>SUMIF('BASE BID'!D:D,B33,'BASE BID'!P:P)</f>
        <v>25335.518456000002</v>
      </c>
      <c r="F33" s="78">
        <f>SUMIF('BASE BID'!D:D,B33,'BASE BID'!Q:Q)</f>
        <v>59296.051305810433</v>
      </c>
      <c r="G33" s="135">
        <f t="shared" ref="G33" si="3">F33/F$40</f>
        <v>7.9518576272654753E-2</v>
      </c>
      <c r="H33" s="16"/>
      <c r="I33" s="16"/>
      <c r="J33" s="280">
        <f t="shared" si="0"/>
        <v>68495.032129092491</v>
      </c>
      <c r="K33" s="281"/>
      <c r="L33" s="282">
        <f t="shared" si="2"/>
        <v>68495.032129092491</v>
      </c>
      <c r="M33" s="279"/>
      <c r="N33" s="243"/>
      <c r="O33" s="243"/>
      <c r="P33" s="243"/>
      <c r="Q33" s="107"/>
      <c r="R33" s="1"/>
      <c r="S33" s="1"/>
    </row>
    <row r="34" spans="1:19" x14ac:dyDescent="0.2">
      <c r="A34" s="113"/>
      <c r="B34" s="55" t="s">
        <v>44</v>
      </c>
      <c r="C34" s="53" t="s">
        <v>164</v>
      </c>
      <c r="D34" s="54">
        <f>SUMIF('BASE BID'!D:D,B34,'BASE BID'!N:N)</f>
        <v>55195.859718112682</v>
      </c>
      <c r="E34" s="54">
        <f>SUMIF('BASE BID'!D:D,B34,'BASE BID'!P:P)</f>
        <v>26651.741515151523</v>
      </c>
      <c r="F34" s="78">
        <f>SUMIF('BASE BID'!D:D,B34,'BASE BID'!Q:Q)</f>
        <v>81847.601233264199</v>
      </c>
      <c r="G34" s="135">
        <f t="shared" ref="G34:G39" si="4">F34/F$40</f>
        <v>0.10976118271071771</v>
      </c>
      <c r="H34" s="16"/>
      <c r="I34" s="16"/>
      <c r="J34" s="280">
        <f t="shared" si="0"/>
        <v>95418.688620826142</v>
      </c>
      <c r="K34" s="281"/>
      <c r="L34" s="282">
        <f t="shared" si="2"/>
        <v>95418.688620826142</v>
      </c>
      <c r="M34" s="279"/>
      <c r="N34" s="243"/>
      <c r="O34" s="243"/>
      <c r="P34" s="243"/>
      <c r="Q34" s="107"/>
      <c r="R34" s="1"/>
      <c r="S34" s="1"/>
    </row>
    <row r="35" spans="1:19" x14ac:dyDescent="0.2">
      <c r="A35" s="113"/>
      <c r="B35" s="55" t="s">
        <v>121</v>
      </c>
      <c r="C35" s="53" t="s">
        <v>165</v>
      </c>
      <c r="D35" s="54">
        <f>SUMIF('BASE BID'!D:D,B35,'BASE BID'!N:N)</f>
        <v>2634.2216505574202</v>
      </c>
      <c r="E35" s="54">
        <f>SUMIF('BASE BID'!D:D,B35,'BASE BID'!P:P)</f>
        <v>790.79000000000008</v>
      </c>
      <c r="F35" s="78">
        <f>SUMIF('BASE BID'!D:D,B35,'BASE BID'!Q:Q)</f>
        <v>3425.0116505574201</v>
      </c>
      <c r="G35" s="135">
        <f t="shared" si="4"/>
        <v>4.5930891547055434E-3</v>
      </c>
      <c r="H35" s="16"/>
      <c r="I35" s="16"/>
      <c r="J35" s="280">
        <f t="shared" si="0"/>
        <v>4026.9810306689042</v>
      </c>
      <c r="K35" s="281"/>
      <c r="L35" s="282">
        <f t="shared" si="2"/>
        <v>4026.9810306689042</v>
      </c>
      <c r="M35" s="279"/>
      <c r="N35" s="243"/>
      <c r="O35" s="243"/>
      <c r="P35" s="243"/>
      <c r="Q35" s="107"/>
      <c r="R35" s="1"/>
      <c r="S35" s="1"/>
    </row>
    <row r="36" spans="1:19" x14ac:dyDescent="0.2">
      <c r="A36" s="113"/>
      <c r="B36" s="55" t="s">
        <v>166</v>
      </c>
      <c r="C36" s="53" t="s">
        <v>192</v>
      </c>
      <c r="D36" s="54">
        <f>SUMIF('BASE BID'!D:D,B36,'BASE BID'!N:N)</f>
        <v>0</v>
      </c>
      <c r="E36" s="54">
        <f>SUMIF('BASE BID'!D:D,B36,'BASE BID'!P:P)</f>
        <v>0</v>
      </c>
      <c r="F36" s="78">
        <f>SUMIF('BASE BID'!D:D,B36,'BASE BID'!Q:Q)</f>
        <v>0</v>
      </c>
      <c r="G36" s="135">
        <f t="shared" si="4"/>
        <v>0</v>
      </c>
      <c r="H36" s="16"/>
      <c r="I36" s="16"/>
      <c r="J36" s="280">
        <f t="shared" si="0"/>
        <v>0</v>
      </c>
      <c r="K36" s="281"/>
      <c r="L36" s="282">
        <f t="shared" si="2"/>
        <v>0</v>
      </c>
      <c r="M36" s="279"/>
      <c r="N36" s="243"/>
      <c r="O36" s="243"/>
      <c r="P36" s="243"/>
      <c r="Q36" s="107"/>
      <c r="R36" s="1"/>
      <c r="S36" s="1"/>
    </row>
    <row r="37" spans="1:19" x14ac:dyDescent="0.2">
      <c r="A37" s="113"/>
      <c r="B37" s="55" t="s">
        <v>46</v>
      </c>
      <c r="C37" s="53" t="s">
        <v>161</v>
      </c>
      <c r="D37" s="54">
        <f>SUMIF('BASE BID'!D:D,B37,'BASE BID'!N:N)</f>
        <v>13346.970242679372</v>
      </c>
      <c r="E37" s="54">
        <f>SUMIF('BASE BID'!D:D,B37,'BASE BID'!P:P)</f>
        <v>3432.4873148170755</v>
      </c>
      <c r="F37" s="78">
        <f>SUMIF('BASE BID'!D:D,B37,'BASE BID'!Q:Q)</f>
        <v>16779.457557496451</v>
      </c>
      <c r="G37" s="135">
        <f t="shared" si="4"/>
        <v>2.2501980253595882E-2</v>
      </c>
      <c r="H37" s="16"/>
      <c r="I37" s="16"/>
      <c r="J37" s="280">
        <f t="shared" si="0"/>
        <v>19774.937900939945</v>
      </c>
      <c r="K37" s="281"/>
      <c r="L37" s="282">
        <f t="shared" si="2"/>
        <v>19774.937900939945</v>
      </c>
      <c r="M37" s="279"/>
      <c r="N37" s="243"/>
      <c r="O37" s="243"/>
      <c r="P37" s="243"/>
      <c r="Q37" s="107"/>
      <c r="R37" s="1"/>
      <c r="S37" s="1"/>
    </row>
    <row r="38" spans="1:19" x14ac:dyDescent="0.2">
      <c r="A38" s="113"/>
      <c r="B38" s="55" t="s">
        <v>76</v>
      </c>
      <c r="C38" s="53" t="s">
        <v>162</v>
      </c>
      <c r="D38" s="54">
        <f>SUMIF('BASE BID'!D:D,B38,'BASE BID'!N:N)</f>
        <v>4865.4636277118807</v>
      </c>
      <c r="E38" s="54">
        <f>SUMIF('BASE BID'!D:D,B38,'BASE BID'!P:P)</f>
        <v>9946.4307856106261</v>
      </c>
      <c r="F38" s="78">
        <f>SUMIF('BASE BID'!D:D,B38,'BASE BID'!Q:Q)</f>
        <v>14811.89441332251</v>
      </c>
      <c r="G38" s="135">
        <f t="shared" si="4"/>
        <v>1.9863392750621153E-2</v>
      </c>
      <c r="H38" s="16"/>
      <c r="I38" s="16"/>
      <c r="J38" s="280">
        <f t="shared" si="0"/>
        <v>16729.898063497894</v>
      </c>
      <c r="K38" s="281"/>
      <c r="L38" s="282">
        <f t="shared" si="2"/>
        <v>16729.898063497894</v>
      </c>
      <c r="M38" s="279"/>
      <c r="N38" s="243"/>
      <c r="O38" s="243"/>
      <c r="P38" s="243"/>
      <c r="Q38" s="107"/>
      <c r="R38" s="1"/>
      <c r="S38" s="1"/>
    </row>
    <row r="39" spans="1:19" ht="16.5" thickBot="1" x14ac:dyDescent="0.25">
      <c r="A39" s="113"/>
      <c r="B39" s="143" t="s">
        <v>114</v>
      </c>
      <c r="C39" s="144" t="s">
        <v>122</v>
      </c>
      <c r="D39" s="54">
        <f>SUMIF('BASE BID'!D:D,B39,'BASE BID'!N:N)</f>
        <v>10476.879334795794</v>
      </c>
      <c r="E39" s="54">
        <f>SUMIF('BASE BID'!D:D,B39,'BASE BID'!P:P)</f>
        <v>10707.603813417125</v>
      </c>
      <c r="F39" s="78">
        <f>SUMIF('BASE BID'!D:D,B39,'BASE BID'!Q:Q)</f>
        <v>21184.483148212916</v>
      </c>
      <c r="G39" s="145">
        <f t="shared" si="4"/>
        <v>2.8409310601983838E-2</v>
      </c>
      <c r="H39" s="16"/>
      <c r="I39" s="16"/>
      <c r="J39" s="280">
        <f t="shared" si="0"/>
        <v>24297.081377446702</v>
      </c>
      <c r="K39" s="281"/>
      <c r="L39" s="282">
        <f t="shared" si="2"/>
        <v>24297.081377446702</v>
      </c>
      <c r="M39" s="284"/>
      <c r="N39" s="285"/>
      <c r="O39" s="285"/>
      <c r="P39" s="285"/>
      <c r="Q39" s="107"/>
      <c r="R39" s="1"/>
      <c r="S39" s="1"/>
    </row>
    <row r="40" spans="1:19" ht="16.5" thickBot="1" x14ac:dyDescent="0.25">
      <c r="A40" s="113"/>
      <c r="B40" s="170"/>
      <c r="C40" s="146" t="s">
        <v>4</v>
      </c>
      <c r="D40" s="63">
        <f>SUM(D18:D39)</f>
        <v>337639.61509120942</v>
      </c>
      <c r="E40" s="63">
        <f>SUM(E18:E39)</f>
        <v>408048.42517871509</v>
      </c>
      <c r="F40" s="63">
        <f>SUM(F18:F39)</f>
        <v>745688.04026992444</v>
      </c>
      <c r="G40" s="147"/>
      <c r="I40" s="16"/>
      <c r="J40" s="275">
        <f>SUM(J18:J39)</f>
        <v>851980.56368014414</v>
      </c>
      <c r="K40" s="276"/>
      <c r="L40" s="277">
        <f>J40-K40</f>
        <v>851980.56368014414</v>
      </c>
      <c r="M40" s="279">
        <f>SUM(M18:M39)</f>
        <v>0</v>
      </c>
      <c r="N40" s="243"/>
      <c r="O40" s="243"/>
      <c r="P40" s="243"/>
      <c r="Q40" s="107"/>
      <c r="R40" s="1"/>
      <c r="S40" s="1"/>
    </row>
    <row r="41" spans="1:19" x14ac:dyDescent="0.2">
      <c r="A41" s="113"/>
      <c r="B41" s="261"/>
      <c r="C41" s="262" t="s">
        <v>160</v>
      </c>
      <c r="D41" s="263">
        <v>0</v>
      </c>
      <c r="E41" s="264">
        <f>E40*H41</f>
        <v>38764.600391977932</v>
      </c>
      <c r="F41" s="264">
        <f>D41+E41</f>
        <v>38764.600391977932</v>
      </c>
      <c r="G41" s="126"/>
      <c r="H41" s="127">
        <f>'BASE BID'!D5</f>
        <v>9.5000000000000001E-2</v>
      </c>
      <c r="I41" s="16"/>
      <c r="J41" s="106"/>
      <c r="K41" s="106"/>
      <c r="L41" s="106"/>
      <c r="M41" s="106"/>
      <c r="N41" s="106"/>
      <c r="O41" s="106"/>
      <c r="P41" s="106"/>
      <c r="Q41" s="107"/>
      <c r="R41" s="1"/>
      <c r="S41" s="1"/>
    </row>
    <row r="42" spans="1:19" x14ac:dyDescent="0.2">
      <c r="A42" s="113"/>
      <c r="B42" s="171"/>
      <c r="C42" s="65" t="s">
        <v>271</v>
      </c>
      <c r="D42" s="66">
        <v>0</v>
      </c>
      <c r="E42" s="67">
        <f>E40*H42</f>
        <v>0</v>
      </c>
      <c r="F42" s="67">
        <f>D42+E42</f>
        <v>0</v>
      </c>
      <c r="G42" s="260"/>
      <c r="H42" s="127">
        <f>'BASE BID'!D6</f>
        <v>0</v>
      </c>
      <c r="I42" s="16"/>
      <c r="J42" s="106"/>
      <c r="K42" s="106"/>
      <c r="L42" s="106"/>
      <c r="M42" s="106"/>
      <c r="N42" s="106"/>
      <c r="O42" s="106"/>
      <c r="P42" s="106"/>
      <c r="Q42" s="107"/>
      <c r="R42" s="1"/>
      <c r="S42" s="1"/>
    </row>
    <row r="43" spans="1:19" ht="16.5" thickBot="1" x14ac:dyDescent="0.25">
      <c r="A43" s="113"/>
      <c r="B43" s="172"/>
      <c r="C43" s="69" t="s">
        <v>279</v>
      </c>
      <c r="D43" s="265">
        <f>D40*H43</f>
        <v>67527.923018241883</v>
      </c>
      <c r="E43" s="70">
        <v>0</v>
      </c>
      <c r="F43" s="70">
        <f>D43+E43</f>
        <v>67527.923018241883</v>
      </c>
      <c r="G43" s="58"/>
      <c r="H43" s="127">
        <f>'BASE BID'!D7</f>
        <v>0.2</v>
      </c>
      <c r="I43" s="16"/>
      <c r="J43" s="106"/>
      <c r="K43" s="106"/>
      <c r="L43" s="106"/>
      <c r="M43" s="106"/>
      <c r="N43" s="106"/>
      <c r="O43" s="106"/>
      <c r="P43" s="106"/>
      <c r="Q43" s="107"/>
      <c r="R43" s="1"/>
      <c r="S43" s="1"/>
    </row>
    <row r="44" spans="1:19" ht="17.25" thickTop="1" thickBot="1" x14ac:dyDescent="0.25">
      <c r="A44" s="113"/>
      <c r="B44" s="173"/>
      <c r="C44" s="72" t="s">
        <v>177</v>
      </c>
      <c r="D44" s="73"/>
      <c r="E44" s="74"/>
      <c r="F44" s="74">
        <f>SUM(F40:F43)*H44</f>
        <v>0</v>
      </c>
      <c r="G44" s="59"/>
      <c r="H44" s="127">
        <f>'BASE BID'!D8</f>
        <v>0</v>
      </c>
      <c r="I44" s="16"/>
      <c r="J44" s="106"/>
      <c r="K44" s="106"/>
      <c r="L44" s="106"/>
      <c r="M44" s="106"/>
      <c r="N44" s="106"/>
      <c r="O44" s="106"/>
      <c r="P44" s="106"/>
      <c r="Q44" s="107"/>
      <c r="R44" s="1"/>
      <c r="S44" s="1"/>
    </row>
    <row r="45" spans="1:19" ht="16.5" thickBot="1" x14ac:dyDescent="0.25">
      <c r="A45" s="113"/>
      <c r="B45" s="173"/>
      <c r="C45" s="75" t="s">
        <v>87</v>
      </c>
      <c r="D45" s="76"/>
      <c r="E45" s="77"/>
      <c r="F45" s="77">
        <f>F40+F41+F42+F43+F44</f>
        <v>851980.56368014426</v>
      </c>
      <c r="G45" s="59"/>
      <c r="I45" s="16"/>
      <c r="J45" s="106"/>
      <c r="K45" s="106"/>
      <c r="L45" s="106"/>
      <c r="M45" s="106"/>
      <c r="N45" s="106"/>
      <c r="O45" s="106"/>
      <c r="P45" s="106"/>
      <c r="Q45" s="107"/>
      <c r="R45" s="1"/>
      <c r="S45" s="1"/>
    </row>
    <row r="46" spans="1:19" x14ac:dyDescent="0.2">
      <c r="A46" s="18"/>
      <c r="B46" s="16"/>
      <c r="C46" s="16"/>
      <c r="D46" s="17"/>
      <c r="E46" s="16"/>
      <c r="F46" s="15"/>
      <c r="G46" s="15"/>
      <c r="H46" s="16"/>
      <c r="I46" s="16"/>
      <c r="J46" s="106"/>
      <c r="K46" s="106"/>
      <c r="L46" s="106"/>
      <c r="M46" s="106"/>
      <c r="N46" s="106"/>
      <c r="O46" s="106"/>
      <c r="P46" s="106"/>
      <c r="Q46" s="107"/>
      <c r="R46" s="1"/>
      <c r="S46" s="1"/>
    </row>
    <row r="47" spans="1:19" x14ac:dyDescent="0.2">
      <c r="A47" s="113"/>
      <c r="B47" s="16"/>
      <c r="C47" s="16"/>
      <c r="D47" s="17"/>
      <c r="E47" s="16"/>
      <c r="F47" s="15"/>
      <c r="G47" s="15"/>
      <c r="H47" s="16"/>
      <c r="I47" s="16"/>
      <c r="J47" s="106"/>
      <c r="K47" s="106"/>
      <c r="L47" s="106"/>
      <c r="M47" s="106"/>
      <c r="N47" s="106"/>
      <c r="O47" s="106"/>
      <c r="P47" s="106"/>
      <c r="Q47" s="107"/>
      <c r="R47" s="1"/>
      <c r="S47" s="1"/>
    </row>
    <row r="48" spans="1:19" x14ac:dyDescent="0.2">
      <c r="A48" s="113"/>
      <c r="B48" s="16"/>
      <c r="C48" s="16"/>
      <c r="D48" s="17"/>
      <c r="E48" s="16"/>
      <c r="F48" s="15"/>
      <c r="G48" s="15"/>
      <c r="H48" s="16"/>
      <c r="I48" s="16"/>
      <c r="J48" s="106"/>
      <c r="K48" s="106"/>
      <c r="L48" s="106"/>
      <c r="M48" s="106"/>
      <c r="N48" s="106"/>
      <c r="O48" s="106"/>
      <c r="P48" s="106"/>
      <c r="Q48" s="107"/>
      <c r="R48" s="1"/>
      <c r="S48" s="1"/>
    </row>
    <row r="49" spans="1:19" ht="15.75" customHeight="1" x14ac:dyDescent="0.2">
      <c r="A49" s="113"/>
      <c r="B49" s="16"/>
      <c r="C49" s="16"/>
      <c r="D49" s="17"/>
      <c r="E49" s="16"/>
      <c r="F49" s="15"/>
      <c r="G49" s="15"/>
      <c r="H49" s="16"/>
      <c r="I49" s="16"/>
      <c r="J49" s="422" t="s">
        <v>198</v>
      </c>
      <c r="K49" s="422"/>
      <c r="L49" s="422"/>
      <c r="M49" s="106"/>
      <c r="N49" s="106"/>
      <c r="O49" s="106"/>
      <c r="P49" s="106"/>
      <c r="Q49" s="107"/>
      <c r="R49" s="1"/>
      <c r="S49" s="1"/>
    </row>
    <row r="50" spans="1:19" ht="16.5" customHeight="1" thickBot="1" x14ac:dyDescent="0.25">
      <c r="A50" s="113"/>
      <c r="B50" s="16"/>
      <c r="C50" s="16"/>
      <c r="D50" s="17"/>
      <c r="E50" s="16"/>
      <c r="F50" s="15"/>
      <c r="G50" s="15"/>
      <c r="H50" s="16"/>
      <c r="I50" s="16"/>
      <c r="J50" s="423"/>
      <c r="K50" s="423"/>
      <c r="L50" s="423"/>
      <c r="M50" s="106"/>
      <c r="N50" s="106"/>
      <c r="O50" s="106"/>
      <c r="P50" s="106"/>
      <c r="Q50" s="107"/>
      <c r="R50" s="1"/>
      <c r="S50" s="1"/>
    </row>
    <row r="51" spans="1:19" ht="24" customHeight="1" x14ac:dyDescent="0.2">
      <c r="A51" s="113"/>
      <c r="B51" s="16"/>
      <c r="C51" s="436" t="s">
        <v>236</v>
      </c>
      <c r="D51" s="437"/>
      <c r="E51" s="437"/>
      <c r="F51" s="437"/>
      <c r="G51" s="438"/>
      <c r="H51" s="16"/>
      <c r="I51" s="16"/>
      <c r="J51" s="424" t="s">
        <v>195</v>
      </c>
      <c r="K51" s="425"/>
      <c r="L51" s="426"/>
      <c r="M51" s="106"/>
      <c r="N51" s="106"/>
      <c r="O51" s="106"/>
      <c r="P51" s="106"/>
      <c r="Q51" s="107"/>
      <c r="R51" s="1"/>
      <c r="S51" s="1"/>
    </row>
    <row r="52" spans="1:19" ht="23.25" customHeight="1" thickBot="1" x14ac:dyDescent="0.25">
      <c r="A52" s="113"/>
      <c r="B52" s="16"/>
      <c r="C52" s="439"/>
      <c r="D52" s="440"/>
      <c r="E52" s="440"/>
      <c r="F52" s="440"/>
      <c r="G52" s="441"/>
      <c r="H52" s="16"/>
      <c r="I52" s="16"/>
      <c r="J52" s="427"/>
      <c r="K52" s="428"/>
      <c r="L52" s="429"/>
      <c r="M52" s="106"/>
      <c r="N52" s="106"/>
      <c r="O52" s="106"/>
      <c r="P52" s="106"/>
      <c r="Q52" s="107"/>
      <c r="R52" s="1"/>
      <c r="S52" s="1"/>
    </row>
    <row r="53" spans="1:19" ht="38.25" customHeight="1" thickBot="1" x14ac:dyDescent="0.25">
      <c r="A53" s="113"/>
      <c r="B53" s="16"/>
      <c r="C53" s="165" t="s">
        <v>49</v>
      </c>
      <c r="D53" s="166" t="s">
        <v>182</v>
      </c>
      <c r="E53" s="167" t="s">
        <v>183</v>
      </c>
      <c r="F53" s="166" t="s">
        <v>184</v>
      </c>
      <c r="G53" s="168" t="s">
        <v>194</v>
      </c>
      <c r="H53" s="169"/>
      <c r="I53" s="169"/>
      <c r="J53" s="271" t="s">
        <v>280</v>
      </c>
      <c r="K53" s="272" t="s">
        <v>275</v>
      </c>
      <c r="L53" s="272" t="s">
        <v>276</v>
      </c>
      <c r="M53" s="283" t="s">
        <v>277</v>
      </c>
      <c r="N53" s="434" t="s">
        <v>278</v>
      </c>
      <c r="O53" s="435"/>
      <c r="P53" s="435"/>
      <c r="Q53" s="107"/>
      <c r="R53" s="1"/>
      <c r="S53" s="1"/>
    </row>
    <row r="54" spans="1:19" x14ac:dyDescent="0.2">
      <c r="A54" s="113"/>
      <c r="B54" s="16"/>
      <c r="C54" s="246" t="s">
        <v>185</v>
      </c>
      <c r="D54" s="151">
        <f>SUMIF('BASE BID'!E:E,C54,'BASE BID'!N:N)</f>
        <v>39053.941388256368</v>
      </c>
      <c r="E54" s="151">
        <f>SUMIF('BASE BID'!E:E,C54,'BASE BID'!P:P)</f>
        <v>0</v>
      </c>
      <c r="F54" s="152">
        <f>SUMIF('BASE BID'!E:E,C54,'BASE BID'!Q:Q)</f>
        <v>39053.941388256368</v>
      </c>
      <c r="G54" s="134">
        <f t="shared" ref="G54" si="5">F54/F$40</f>
        <v>5.2373029040561798E-2</v>
      </c>
      <c r="H54" s="16"/>
      <c r="I54" s="16"/>
      <c r="J54" s="273">
        <f t="shared" ref="J54:J95" si="6">((D54*(1+$H$99))+(E54*(1+$H$98+$H$97)))*(1+$H$100)</f>
        <v>46864.729665907638</v>
      </c>
      <c r="K54" s="278"/>
      <c r="L54" s="274">
        <f>J54-K54</f>
        <v>46864.729665907638</v>
      </c>
      <c r="M54" s="279"/>
      <c r="N54" s="243"/>
      <c r="O54" s="243"/>
      <c r="P54" s="243"/>
      <c r="Q54" s="107"/>
      <c r="R54" s="1"/>
      <c r="S54" s="1"/>
    </row>
    <row r="55" spans="1:19" x14ac:dyDescent="0.25">
      <c r="A55" s="113"/>
      <c r="B55" s="16"/>
      <c r="C55" s="247" t="s">
        <v>248</v>
      </c>
      <c r="D55" s="151">
        <f>SUMIF('BASE BID'!E:E,C55,'BASE BID'!N:N)</f>
        <v>561.984961785</v>
      </c>
      <c r="E55" s="151">
        <f>SUMIF('BASE BID'!E:E,C55,'BASE BID'!P:P)</f>
        <v>2390.46</v>
      </c>
      <c r="F55" s="152">
        <f>SUMIF('BASE BID'!E:E,C55,'BASE BID'!Q:Q)</f>
        <v>2952.444961785</v>
      </c>
      <c r="G55" s="134">
        <f t="shared" ref="G55:G81" si="7">F55/F$40</f>
        <v>3.9593567314238709E-3</v>
      </c>
      <c r="H55" s="16"/>
      <c r="I55" s="16"/>
      <c r="J55" s="280">
        <f t="shared" si="6"/>
        <v>3291.9356541419997</v>
      </c>
      <c r="K55" s="281"/>
      <c r="L55" s="282">
        <f t="shared" ref="L55:L82" si="8">J55-K55</f>
        <v>3291.9356541419997</v>
      </c>
      <c r="M55" s="279"/>
      <c r="N55" s="243"/>
      <c r="O55" s="243"/>
      <c r="P55" s="243"/>
      <c r="Q55" s="107"/>
      <c r="R55" s="1"/>
      <c r="S55" s="1"/>
    </row>
    <row r="56" spans="1:19" x14ac:dyDescent="0.25">
      <c r="A56" s="113"/>
      <c r="B56" s="16"/>
      <c r="C56" s="247" t="s">
        <v>59</v>
      </c>
      <c r="D56" s="151">
        <f>SUMIF('BASE BID'!E:E,C56,'BASE BID'!N:N)</f>
        <v>2644.2642686752502</v>
      </c>
      <c r="E56" s="151">
        <f>SUMIF('BASE BID'!E:E,C56,'BASE BID'!P:P)</f>
        <v>10967.750958600362</v>
      </c>
      <c r="F56" s="152">
        <f>SUMIF('BASE BID'!E:E,C56,'BASE BID'!Q:Q)</f>
        <v>13612.015227275611</v>
      </c>
      <c r="G56" s="134">
        <f t="shared" si="7"/>
        <v>1.8254302727382255E-2</v>
      </c>
      <c r="H56" s="16"/>
      <c r="I56" s="16"/>
      <c r="J56" s="280">
        <f t="shared" si="6"/>
        <v>15182.804422077696</v>
      </c>
      <c r="K56" s="281"/>
      <c r="L56" s="282">
        <f t="shared" si="8"/>
        <v>15182.804422077696</v>
      </c>
      <c r="M56" s="279"/>
      <c r="N56" s="243"/>
      <c r="O56" s="243"/>
      <c r="P56" s="243"/>
      <c r="Q56" s="107"/>
      <c r="R56" s="1"/>
      <c r="S56" s="1"/>
    </row>
    <row r="57" spans="1:19" x14ac:dyDescent="0.25">
      <c r="A57" s="113"/>
      <c r="B57" s="16"/>
      <c r="C57" s="247" t="s">
        <v>132</v>
      </c>
      <c r="D57" s="151">
        <f>SUMIF('BASE BID'!E:E,C57,'BASE BID'!N:N)</f>
        <v>2634.2216505574202</v>
      </c>
      <c r="E57" s="151">
        <f>SUMIF('BASE BID'!E:E,C57,'BASE BID'!P:P)</f>
        <v>790.79000000000008</v>
      </c>
      <c r="F57" s="152">
        <f>SUMIF('BASE BID'!E:E,C57,'BASE BID'!Q:Q)</f>
        <v>3425.0116505574201</v>
      </c>
      <c r="G57" s="134">
        <f t="shared" si="7"/>
        <v>4.5930891547055434E-3</v>
      </c>
      <c r="H57" s="16"/>
      <c r="I57" s="16"/>
      <c r="J57" s="280">
        <f t="shared" si="6"/>
        <v>4026.9810306689042</v>
      </c>
      <c r="K57" s="281"/>
      <c r="L57" s="282">
        <f t="shared" si="8"/>
        <v>4026.9810306689042</v>
      </c>
      <c r="M57" s="279"/>
      <c r="N57" s="243"/>
      <c r="O57" s="243"/>
      <c r="P57" s="243"/>
      <c r="Q57" s="107"/>
      <c r="R57" s="1"/>
      <c r="S57" s="1"/>
    </row>
    <row r="58" spans="1:19" x14ac:dyDescent="0.25">
      <c r="A58" s="113"/>
      <c r="B58" s="16"/>
      <c r="C58" s="247" t="s">
        <v>222</v>
      </c>
      <c r="D58" s="151">
        <f>SUMIF('BASE BID'!E:E,C58,'BASE BID'!N:N)</f>
        <v>4158.8779382414778</v>
      </c>
      <c r="E58" s="151">
        <f>SUMIF('BASE BID'!E:E,C58,'BASE BID'!P:P)</f>
        <v>11343.923710102285</v>
      </c>
      <c r="F58" s="152">
        <f>SUMIF('BASE BID'!E:E,C58,'BASE BID'!Q:Q)</f>
        <v>15502.801648343759</v>
      </c>
      <c r="G58" s="134">
        <f t="shared" si="7"/>
        <v>2.0789929315122243E-2</v>
      </c>
      <c r="H58" s="16"/>
      <c r="I58" s="16"/>
      <c r="J58" s="280">
        <f t="shared" si="6"/>
        <v>17412.249988451775</v>
      </c>
      <c r="K58" s="281"/>
      <c r="L58" s="282">
        <f t="shared" si="8"/>
        <v>17412.249988451775</v>
      </c>
      <c r="M58" s="279"/>
      <c r="N58" s="243"/>
      <c r="O58" s="243"/>
      <c r="P58" s="243"/>
      <c r="Q58" s="107"/>
      <c r="R58" s="1"/>
      <c r="S58" s="1"/>
    </row>
    <row r="59" spans="1:19" x14ac:dyDescent="0.25">
      <c r="A59" s="113"/>
      <c r="B59" s="16"/>
      <c r="C59" s="247" t="s">
        <v>143</v>
      </c>
      <c r="D59" s="151">
        <f>SUMIF('BASE BID'!E:E,C59,'BASE BID'!N:N)</f>
        <v>1297.7204657818402</v>
      </c>
      <c r="E59" s="151">
        <f>SUMIF('BASE BID'!E:E,C59,'BASE BID'!P:P)</f>
        <v>7663.0930949999993</v>
      </c>
      <c r="F59" s="152">
        <f>SUMIF('BASE BID'!E:E,C59,'BASE BID'!Q:Q)</f>
        <v>8960.8135607818385</v>
      </c>
      <c r="G59" s="134">
        <f t="shared" si="7"/>
        <v>1.2016839585543306E-2</v>
      </c>
      <c r="H59" s="16"/>
      <c r="I59" s="16"/>
      <c r="J59" s="280">
        <f t="shared" si="6"/>
        <v>9948.3514979632073</v>
      </c>
      <c r="K59" s="281"/>
      <c r="L59" s="282">
        <f t="shared" si="8"/>
        <v>9948.3514979632073</v>
      </c>
      <c r="M59" s="279"/>
      <c r="N59" s="243"/>
      <c r="O59" s="243"/>
      <c r="P59" s="243"/>
      <c r="Q59" s="107"/>
      <c r="R59" s="1"/>
      <c r="S59" s="1"/>
    </row>
    <row r="60" spans="1:19" x14ac:dyDescent="0.25">
      <c r="A60" s="113"/>
      <c r="B60" s="16"/>
      <c r="C60" s="247" t="s">
        <v>205</v>
      </c>
      <c r="D60" s="151">
        <f>SUMIF('BASE BID'!E:E,C60,'BASE BID'!N:N)</f>
        <v>4776.536042062281</v>
      </c>
      <c r="E60" s="151">
        <f>SUMIF('BASE BID'!E:E,C60,'BASE BID'!P:P)</f>
        <v>0</v>
      </c>
      <c r="F60" s="152">
        <f>SUMIF('BASE BID'!E:E,C60,'BASE BID'!Q:Q)</f>
        <v>4776.536042062281</v>
      </c>
      <c r="G60" s="134">
        <f t="shared" si="7"/>
        <v>6.4055419748092896E-3</v>
      </c>
      <c r="H60" s="16"/>
      <c r="I60" s="16"/>
      <c r="J60" s="280">
        <f t="shared" si="6"/>
        <v>5731.843250474737</v>
      </c>
      <c r="K60" s="281"/>
      <c r="L60" s="282">
        <f t="shared" si="8"/>
        <v>5731.843250474737</v>
      </c>
      <c r="M60" s="279"/>
      <c r="N60" s="243"/>
      <c r="O60" s="243"/>
      <c r="P60" s="243"/>
      <c r="Q60" s="107"/>
      <c r="R60" s="1"/>
      <c r="S60" s="1"/>
    </row>
    <row r="61" spans="1:19" x14ac:dyDescent="0.25">
      <c r="A61" s="113"/>
      <c r="B61" s="16"/>
      <c r="C61" s="247" t="s">
        <v>201</v>
      </c>
      <c r="D61" s="151">
        <f>SUMIF('BASE BID'!E:E,C61,'BASE BID'!N:N)</f>
        <v>1249.6872248437501</v>
      </c>
      <c r="E61" s="151">
        <f>SUMIF('BASE BID'!E:E,C61,'BASE BID'!P:P)</f>
        <v>0</v>
      </c>
      <c r="F61" s="152">
        <f>SUMIF('BASE BID'!E:E,C61,'BASE BID'!Q:Q)</f>
        <v>1249.6872248437501</v>
      </c>
      <c r="G61" s="134">
        <f t="shared" si="7"/>
        <v>1.6758847632736443E-3</v>
      </c>
      <c r="H61" s="16"/>
      <c r="I61" s="16"/>
      <c r="J61" s="280">
        <f t="shared" si="6"/>
        <v>1499.6246698125001</v>
      </c>
      <c r="K61" s="281"/>
      <c r="L61" s="282">
        <f t="shared" si="8"/>
        <v>1499.6246698125001</v>
      </c>
      <c r="M61" s="279"/>
      <c r="N61" s="243"/>
      <c r="O61" s="243"/>
      <c r="P61" s="243"/>
      <c r="Q61" s="107"/>
      <c r="R61" s="1"/>
      <c r="S61" s="1"/>
    </row>
    <row r="62" spans="1:19" x14ac:dyDescent="0.25">
      <c r="A62" s="113"/>
      <c r="B62" s="16"/>
      <c r="C62" s="247" t="s">
        <v>139</v>
      </c>
      <c r="D62" s="151">
        <f>SUMIF('BASE BID'!E:E,C62,'BASE BID'!N:N)</f>
        <v>9034.0089001592642</v>
      </c>
      <c r="E62" s="151">
        <f>SUMIF('BASE BID'!E:E,C62,'BASE BID'!P:P)</f>
        <v>48456.876235000011</v>
      </c>
      <c r="F62" s="152">
        <f>SUMIF('BASE BID'!E:E,C62,'BASE BID'!Q:Q)</f>
        <v>57490.885135159253</v>
      </c>
      <c r="G62" s="134">
        <f t="shared" si="7"/>
        <v>7.7097770153788006E-2</v>
      </c>
      <c r="H62" s="16"/>
      <c r="I62" s="16"/>
      <c r="J62" s="280">
        <f t="shared" si="6"/>
        <v>63901.090157516126</v>
      </c>
      <c r="K62" s="281"/>
      <c r="L62" s="282">
        <f t="shared" si="8"/>
        <v>63901.090157516126</v>
      </c>
      <c r="M62" s="279"/>
      <c r="N62" s="243"/>
      <c r="O62" s="243"/>
      <c r="P62" s="243"/>
      <c r="Q62" s="107"/>
      <c r="R62" s="1"/>
      <c r="S62" s="1"/>
    </row>
    <row r="63" spans="1:19" x14ac:dyDescent="0.25">
      <c r="A63" s="113"/>
      <c r="B63" s="16"/>
      <c r="C63" s="247" t="s">
        <v>124</v>
      </c>
      <c r="D63" s="151">
        <f>SUMIF('BASE BID'!E:E,C63,'BASE BID'!N:N)</f>
        <v>8306.8729760540446</v>
      </c>
      <c r="E63" s="151">
        <f>SUMIF('BASE BID'!E:E,C63,'BASE BID'!P:P)</f>
        <v>8232.0747704687474</v>
      </c>
      <c r="F63" s="152">
        <f>SUMIF('BASE BID'!E:E,C63,'BASE BID'!Q:Q)</f>
        <v>16538.94774652279</v>
      </c>
      <c r="G63" s="134">
        <f t="shared" si="7"/>
        <v>2.2179446166973545E-2</v>
      </c>
      <c r="H63" s="16"/>
      <c r="I63" s="16"/>
      <c r="J63" s="280">
        <f t="shared" si="6"/>
        <v>18982.369444928132</v>
      </c>
      <c r="K63" s="281"/>
      <c r="L63" s="282">
        <f t="shared" si="8"/>
        <v>18982.369444928132</v>
      </c>
      <c r="M63" s="279"/>
      <c r="N63" s="243"/>
      <c r="O63" s="243"/>
      <c r="P63" s="243"/>
      <c r="Q63" s="107"/>
      <c r="R63" s="1"/>
      <c r="S63" s="1"/>
    </row>
    <row r="64" spans="1:19" x14ac:dyDescent="0.25">
      <c r="A64" s="113"/>
      <c r="B64" s="16"/>
      <c r="C64" s="247" t="s">
        <v>125</v>
      </c>
      <c r="D64" s="151">
        <f>SUMIF('BASE BID'!E:E,C64,'BASE BID'!N:N)</f>
        <v>10861.554700111723</v>
      </c>
      <c r="E64" s="151">
        <f>SUMIF('BASE BID'!E:E,C64,'BASE BID'!P:P)</f>
        <v>3432.4873148170755</v>
      </c>
      <c r="F64" s="152">
        <f>SUMIF('BASE BID'!E:E,C64,'BASE BID'!Q:Q)</f>
        <v>14294.042014928798</v>
      </c>
      <c r="G64" s="134">
        <f t="shared" si="7"/>
        <v>1.9168930226847458E-2</v>
      </c>
      <c r="H64" s="16"/>
      <c r="I64" s="16"/>
      <c r="J64" s="280">
        <f t="shared" si="6"/>
        <v>16792.439249858766</v>
      </c>
      <c r="K64" s="281"/>
      <c r="L64" s="282">
        <f t="shared" si="8"/>
        <v>16792.439249858766</v>
      </c>
      <c r="M64" s="279"/>
      <c r="N64" s="243"/>
      <c r="O64" s="243"/>
      <c r="P64" s="243"/>
      <c r="Q64" s="107"/>
      <c r="R64" s="1"/>
      <c r="S64" s="1"/>
    </row>
    <row r="65" spans="1:19" x14ac:dyDescent="0.25">
      <c r="A65" s="113"/>
      <c r="B65" s="16"/>
      <c r="C65" s="247" t="s">
        <v>147</v>
      </c>
      <c r="D65" s="151">
        <f>SUMIF('BASE BID'!E:E,C65,'BASE BID'!N:N)</f>
        <v>55195.859718112682</v>
      </c>
      <c r="E65" s="151">
        <f>SUMIF('BASE BID'!E:E,C65,'BASE BID'!P:P)</f>
        <v>26651.741515151523</v>
      </c>
      <c r="F65" s="152">
        <f>SUMIF('BASE BID'!E:E,C65,'BASE BID'!Q:Q)</f>
        <v>81847.601233264199</v>
      </c>
      <c r="G65" s="134">
        <f t="shared" si="7"/>
        <v>0.10976118271071771</v>
      </c>
      <c r="H65" s="16"/>
      <c r="I65" s="16"/>
      <c r="J65" s="280">
        <f t="shared" si="6"/>
        <v>95418.688620826142</v>
      </c>
      <c r="K65" s="281"/>
      <c r="L65" s="282">
        <f t="shared" si="8"/>
        <v>95418.688620826142</v>
      </c>
      <c r="M65" s="279"/>
      <c r="N65" s="243"/>
      <c r="O65" s="243"/>
      <c r="P65" s="243"/>
      <c r="Q65" s="107"/>
      <c r="R65" s="1"/>
      <c r="S65" s="1"/>
    </row>
    <row r="66" spans="1:19" x14ac:dyDescent="0.25">
      <c r="A66" s="113"/>
      <c r="B66" s="16"/>
      <c r="C66" s="247" t="s">
        <v>250</v>
      </c>
      <c r="D66" s="151">
        <f>SUMIF('BASE BID'!E:E,C66,'BASE BID'!N:N)</f>
        <v>8454.3648758100026</v>
      </c>
      <c r="E66" s="151">
        <f>SUMIF('BASE BID'!E:E,C66,'BASE BID'!P:P)</f>
        <v>40000</v>
      </c>
      <c r="F66" s="152">
        <f>SUMIF('BASE BID'!E:E,C66,'BASE BID'!Q:Q)</f>
        <v>48454.364875810003</v>
      </c>
      <c r="G66" s="134">
        <f t="shared" si="7"/>
        <v>6.4979404602319324E-2</v>
      </c>
      <c r="H66" s="16"/>
      <c r="I66" s="16"/>
      <c r="J66" s="280">
        <f t="shared" si="6"/>
        <v>53945.237850972</v>
      </c>
      <c r="K66" s="281"/>
      <c r="L66" s="282">
        <f t="shared" si="8"/>
        <v>53945.237850972</v>
      </c>
      <c r="M66" s="279"/>
      <c r="N66" s="243"/>
      <c r="O66" s="243"/>
      <c r="P66" s="243"/>
      <c r="Q66" s="107"/>
      <c r="R66" s="1"/>
      <c r="S66" s="1"/>
    </row>
    <row r="67" spans="1:19" x14ac:dyDescent="0.25">
      <c r="A67" s="113"/>
      <c r="B67" s="16"/>
      <c r="C67" s="247" t="s">
        <v>171</v>
      </c>
      <c r="D67" s="151">
        <f>SUMIF('BASE BID'!E:E,C67,'BASE BID'!N:N)</f>
        <v>467.59488912000006</v>
      </c>
      <c r="E67" s="151">
        <f>SUMIF('BASE BID'!E:E,C67,'BASE BID'!P:P)</f>
        <v>7656.17</v>
      </c>
      <c r="F67" s="152">
        <f>SUMIF('BASE BID'!E:E,C67,'BASE BID'!Q:Q)</f>
        <v>8123.7648891199988</v>
      </c>
      <c r="G67" s="134">
        <f t="shared" si="7"/>
        <v>1.0894321016841513E-2</v>
      </c>
      <c r="H67" s="16"/>
      <c r="I67" s="16"/>
      <c r="J67" s="280">
        <f t="shared" si="6"/>
        <v>8944.6200169439999</v>
      </c>
      <c r="K67" s="281"/>
      <c r="L67" s="282">
        <f t="shared" si="8"/>
        <v>8944.6200169439999</v>
      </c>
      <c r="M67" s="279"/>
      <c r="N67" s="243"/>
      <c r="O67" s="243"/>
      <c r="P67" s="243"/>
      <c r="Q67" s="107"/>
      <c r="R67" s="1"/>
      <c r="S67" s="1"/>
    </row>
    <row r="68" spans="1:19" x14ac:dyDescent="0.25">
      <c r="A68" s="113"/>
      <c r="B68" s="16"/>
      <c r="C68" s="247" t="s">
        <v>70</v>
      </c>
      <c r="D68" s="151">
        <f>SUMIF('BASE BID'!E:E,C68,'BASE BID'!N:N)</f>
        <v>632.28085294696871</v>
      </c>
      <c r="E68" s="151">
        <f>SUMIF('BASE BID'!E:E,C68,'BASE BID'!P:P)</f>
        <v>3686.4299393006249</v>
      </c>
      <c r="F68" s="152">
        <f>SUMIF('BASE BID'!E:E,C68,'BASE BID'!Q:Q)</f>
        <v>4318.7107922475934</v>
      </c>
      <c r="G68" s="134">
        <f t="shared" si="7"/>
        <v>5.7915784604568752E-3</v>
      </c>
      <c r="H68" s="16"/>
      <c r="I68" s="16"/>
      <c r="J68" s="280">
        <f t="shared" si="6"/>
        <v>4795.3778070705466</v>
      </c>
      <c r="K68" s="281"/>
      <c r="L68" s="282">
        <f t="shared" si="8"/>
        <v>4795.3778070705466</v>
      </c>
      <c r="M68" s="279"/>
      <c r="N68" s="243"/>
      <c r="O68" s="243"/>
      <c r="P68" s="243"/>
      <c r="Q68" s="107"/>
      <c r="R68" s="1"/>
      <c r="S68" s="1"/>
    </row>
    <row r="69" spans="1:19" x14ac:dyDescent="0.25">
      <c r="A69" s="113"/>
      <c r="B69" s="16"/>
      <c r="C69" s="247" t="s">
        <v>57</v>
      </c>
      <c r="D69" s="151">
        <f>SUMIF('BASE BID'!E:E,C69,'BASE BID'!N:N)</f>
        <v>292.73150088</v>
      </c>
      <c r="E69" s="151">
        <f>SUMIF('BASE BID'!E:E,C69,'BASE BID'!P:P)</f>
        <v>265.65000000000003</v>
      </c>
      <c r="F69" s="152">
        <f>SUMIF('BASE BID'!E:E,C69,'BASE BID'!Q:Q)</f>
        <v>558.38150087999998</v>
      </c>
      <c r="G69" s="134">
        <f t="shared" si="7"/>
        <v>7.4881380781952305E-4</v>
      </c>
      <c r="H69" s="16"/>
      <c r="I69" s="16"/>
      <c r="J69" s="280">
        <f t="shared" si="6"/>
        <v>642.16455105599994</v>
      </c>
      <c r="K69" s="281"/>
      <c r="L69" s="282">
        <f t="shared" si="8"/>
        <v>642.16455105599994</v>
      </c>
      <c r="M69" s="279"/>
      <c r="N69" s="243"/>
      <c r="O69" s="243"/>
      <c r="P69" s="243"/>
      <c r="Q69" s="107"/>
      <c r="R69" s="1"/>
      <c r="S69" s="1"/>
    </row>
    <row r="70" spans="1:19" x14ac:dyDescent="0.25">
      <c r="A70" s="113"/>
      <c r="B70" s="16"/>
      <c r="C70" s="247" t="s">
        <v>223</v>
      </c>
      <c r="D70" s="151">
        <f>SUMIF('BASE BID'!E:E,C70,'BASE BID'!N:N)</f>
        <v>329.51333856065628</v>
      </c>
      <c r="E70" s="151">
        <f>SUMIF('BASE BID'!E:E,C70,'BASE BID'!P:P)</f>
        <v>1215.2014875</v>
      </c>
      <c r="F70" s="152">
        <f>SUMIF('BASE BID'!E:E,C70,'BASE BID'!Q:Q)</f>
        <v>1544.7148260606564</v>
      </c>
      <c r="G70" s="134">
        <f t="shared" si="7"/>
        <v>2.0715295708665245E-3</v>
      </c>
      <c r="H70" s="16"/>
      <c r="I70" s="16"/>
      <c r="J70" s="280">
        <f t="shared" si="6"/>
        <v>1726.0616350852874</v>
      </c>
      <c r="K70" s="281"/>
      <c r="L70" s="282">
        <f t="shared" si="8"/>
        <v>1726.0616350852874</v>
      </c>
      <c r="M70" s="279"/>
      <c r="N70" s="243"/>
      <c r="O70" s="243"/>
      <c r="P70" s="243"/>
      <c r="Q70" s="107"/>
      <c r="R70" s="1"/>
      <c r="S70" s="1"/>
    </row>
    <row r="71" spans="1:19" x14ac:dyDescent="0.25">
      <c r="A71" s="113"/>
      <c r="B71" s="16"/>
      <c r="C71" s="247" t="s">
        <v>67</v>
      </c>
      <c r="D71" s="151">
        <f>SUMIF('BASE BID'!E:E,C71,'BASE BID'!N:N)</f>
        <v>728.49672570675</v>
      </c>
      <c r="E71" s="151">
        <f>SUMIF('BASE BID'!E:E,C71,'BASE BID'!P:P)</f>
        <v>1366.8270000000002</v>
      </c>
      <c r="F71" s="152">
        <f>SUMIF('BASE BID'!E:E,C71,'BASE BID'!Q:Q)</f>
        <v>2095.3237257067503</v>
      </c>
      <c r="G71" s="134">
        <f t="shared" si="7"/>
        <v>2.8099199833596421E-3</v>
      </c>
      <c r="H71" s="16"/>
      <c r="I71" s="16"/>
      <c r="J71" s="280">
        <f t="shared" si="6"/>
        <v>2370.8716358481001</v>
      </c>
      <c r="K71" s="281"/>
      <c r="L71" s="282">
        <f t="shared" si="8"/>
        <v>2370.8716358481001</v>
      </c>
      <c r="M71" s="279"/>
      <c r="N71" s="243"/>
      <c r="O71" s="243"/>
      <c r="P71" s="243"/>
      <c r="Q71" s="107"/>
      <c r="R71" s="1"/>
      <c r="S71" s="1"/>
    </row>
    <row r="72" spans="1:19" x14ac:dyDescent="0.25">
      <c r="A72" s="113"/>
      <c r="B72" s="16"/>
      <c r="C72" s="247" t="s">
        <v>120</v>
      </c>
      <c r="D72" s="151">
        <f>SUMIF('BASE BID'!E:E,C72,'BASE BID'!N:N)</f>
        <v>12729.521386612796</v>
      </c>
      <c r="E72" s="151">
        <f>SUMIF('BASE BID'!E:E,C72,'BASE BID'!P:P)</f>
        <v>9912</v>
      </c>
      <c r="F72" s="152">
        <f>SUMIF('BASE BID'!E:E,C72,'BASE BID'!Q:Q)</f>
        <v>22641.521386612796</v>
      </c>
      <c r="G72" s="134">
        <f t="shared" si="7"/>
        <v>3.0363262066556693E-2</v>
      </c>
      <c r="H72" s="16"/>
      <c r="I72" s="16"/>
      <c r="J72" s="280">
        <f t="shared" si="6"/>
        <v>26129.065663935355</v>
      </c>
      <c r="K72" s="281"/>
      <c r="L72" s="282">
        <f t="shared" si="8"/>
        <v>26129.065663935355</v>
      </c>
      <c r="M72" s="279"/>
      <c r="N72" s="243"/>
      <c r="O72" s="243"/>
      <c r="P72" s="243"/>
      <c r="Q72" s="107"/>
      <c r="R72" s="1"/>
      <c r="S72" s="1"/>
    </row>
    <row r="73" spans="1:19" x14ac:dyDescent="0.25">
      <c r="A73" s="113"/>
      <c r="B73" s="16"/>
      <c r="C73" s="247" t="s">
        <v>58</v>
      </c>
      <c r="D73" s="151">
        <f>SUMIF('BASE BID'!E:E,C73,'BASE BID'!N:N)</f>
        <v>2876.3165419828138</v>
      </c>
      <c r="E73" s="151">
        <f>SUMIF('BASE BID'!E:E,C73,'BASE BID'!P:P)</f>
        <v>7034.8955600000018</v>
      </c>
      <c r="F73" s="152">
        <f>SUMIF('BASE BID'!E:E,C73,'BASE BID'!Q:Q)</f>
        <v>9911.2121019828155</v>
      </c>
      <c r="G73" s="134">
        <f t="shared" si="7"/>
        <v>1.3291365244902079E-2</v>
      </c>
      <c r="H73" s="16"/>
      <c r="I73" s="16"/>
      <c r="J73" s="280">
        <f t="shared" si="6"/>
        <v>11154.790488579378</v>
      </c>
      <c r="K73" s="281"/>
      <c r="L73" s="282">
        <f t="shared" si="8"/>
        <v>11154.790488579378</v>
      </c>
      <c r="M73" s="279"/>
      <c r="N73" s="243"/>
      <c r="O73" s="243"/>
      <c r="P73" s="243"/>
      <c r="Q73" s="107"/>
      <c r="R73" s="1"/>
      <c r="S73" s="1"/>
    </row>
    <row r="74" spans="1:19" x14ac:dyDescent="0.25">
      <c r="A74" s="113"/>
      <c r="B74" s="16"/>
      <c r="C74" s="247" t="s">
        <v>63</v>
      </c>
      <c r="D74" s="151">
        <f>SUMIF('BASE BID'!E:E,C74,'BASE BID'!N:N)</f>
        <v>27888.93296463869</v>
      </c>
      <c r="E74" s="151">
        <f>SUMIF('BASE BID'!E:E,C74,'BASE BID'!P:P)</f>
        <v>36797.730200398524</v>
      </c>
      <c r="F74" s="152">
        <f>SUMIF('BASE BID'!E:E,C74,'BASE BID'!Q:Q)</f>
        <v>64686.663165037171</v>
      </c>
      <c r="G74" s="134">
        <f t="shared" si="7"/>
        <v>8.6747620548697377E-2</v>
      </c>
      <c r="H74" s="16"/>
      <c r="I74" s="16"/>
      <c r="J74" s="280">
        <f t="shared" si="6"/>
        <v>73760.234127002812</v>
      </c>
      <c r="K74" s="281"/>
      <c r="L74" s="282">
        <f t="shared" si="8"/>
        <v>73760.234127002812</v>
      </c>
      <c r="M74" s="279"/>
      <c r="N74" s="243"/>
      <c r="O74" s="243"/>
      <c r="P74" s="243"/>
      <c r="Q74" s="107"/>
      <c r="R74" s="1"/>
      <c r="S74" s="1"/>
    </row>
    <row r="75" spans="1:19" x14ac:dyDescent="0.25">
      <c r="A75" s="113"/>
      <c r="B75" s="16"/>
      <c r="C75" s="247" t="s">
        <v>55</v>
      </c>
      <c r="D75" s="151">
        <f>SUMIF('BASE BID'!E:E,C75,'BASE BID'!N:N)</f>
        <v>3700.8425021647399</v>
      </c>
      <c r="E75" s="151">
        <f>SUMIF('BASE BID'!E:E,C75,'BASE BID'!P:P)</f>
        <v>16033.828722660421</v>
      </c>
      <c r="F75" s="152">
        <f>SUMIF('BASE BID'!E:E,C75,'BASE BID'!Q:Q)</f>
        <v>19734.671224825157</v>
      </c>
      <c r="G75" s="134">
        <f t="shared" si="7"/>
        <v>2.646504993922337E-2</v>
      </c>
      <c r="H75" s="16"/>
      <c r="I75" s="16"/>
      <c r="J75" s="280">
        <f t="shared" si="6"/>
        <v>21998.053453910848</v>
      </c>
      <c r="K75" s="281"/>
      <c r="L75" s="282">
        <f t="shared" si="8"/>
        <v>21998.053453910848</v>
      </c>
      <c r="M75" s="279"/>
      <c r="N75" s="243"/>
      <c r="O75" s="243"/>
      <c r="P75" s="243"/>
      <c r="Q75" s="107"/>
      <c r="R75" s="1"/>
      <c r="S75" s="1"/>
    </row>
    <row r="76" spans="1:19" x14ac:dyDescent="0.25">
      <c r="A76" s="113"/>
      <c r="B76" s="16"/>
      <c r="C76" s="247" t="s">
        <v>56</v>
      </c>
      <c r="D76" s="151">
        <f>SUMIF('BASE BID'!E:E,C76,'BASE BID'!N:N)</f>
        <v>5020.185224523193</v>
      </c>
      <c r="E76" s="151">
        <f>SUMIF('BASE BID'!E:E,C76,'BASE BID'!P:P)</f>
        <v>5390.6313977499995</v>
      </c>
      <c r="F76" s="152">
        <f>SUMIF('BASE BID'!E:E,C76,'BASE BID'!Q:Q)</f>
        <v>10410.816622273189</v>
      </c>
      <c r="G76" s="134">
        <f t="shared" si="7"/>
        <v>1.3961356572789711E-2</v>
      </c>
      <c r="H76" s="16"/>
      <c r="I76" s="16"/>
      <c r="J76" s="280">
        <f t="shared" si="6"/>
        <v>11926.96364996408</v>
      </c>
      <c r="K76" s="281"/>
      <c r="L76" s="282">
        <f t="shared" si="8"/>
        <v>11926.96364996408</v>
      </c>
      <c r="M76" s="279"/>
      <c r="N76" s="243"/>
      <c r="O76" s="243"/>
      <c r="P76" s="243"/>
      <c r="Q76" s="107"/>
      <c r="R76" s="1"/>
      <c r="S76" s="1"/>
    </row>
    <row r="77" spans="1:19" x14ac:dyDescent="0.25">
      <c r="A77" s="113"/>
      <c r="B77" s="16"/>
      <c r="C77" s="247" t="s">
        <v>220</v>
      </c>
      <c r="D77" s="151">
        <f>SUMIF('BASE BID'!E:E,C77,'BASE BID'!N:N)</f>
        <v>4496.2360155342003</v>
      </c>
      <c r="E77" s="151">
        <f>SUMIF('BASE BID'!E:E,C77,'BASE BID'!P:P)</f>
        <v>353.84088599999995</v>
      </c>
      <c r="F77" s="152">
        <f>SUMIF('BASE BID'!E:E,C77,'BASE BID'!Q:Q)</f>
        <v>4850.0769015341994</v>
      </c>
      <c r="G77" s="134">
        <f t="shared" si="7"/>
        <v>6.5041634565824154E-3</v>
      </c>
      <c r="H77" s="16"/>
      <c r="I77" s="16"/>
      <c r="J77" s="280">
        <f t="shared" si="6"/>
        <v>5782.93898881104</v>
      </c>
      <c r="K77" s="281"/>
      <c r="L77" s="282">
        <f t="shared" si="8"/>
        <v>5782.93898881104</v>
      </c>
      <c r="M77" s="279"/>
      <c r="N77" s="243"/>
      <c r="O77" s="243"/>
      <c r="P77" s="243"/>
      <c r="Q77" s="107"/>
      <c r="R77" s="1"/>
      <c r="S77" s="1"/>
    </row>
    <row r="78" spans="1:19" x14ac:dyDescent="0.25">
      <c r="A78" s="113"/>
      <c r="B78" s="16"/>
      <c r="C78" s="247" t="s">
        <v>156</v>
      </c>
      <c r="D78" s="151">
        <f>SUMIF('BASE BID'!E:E,C78,'BASE BID'!N:N)</f>
        <v>1100.0056606437502</v>
      </c>
      <c r="E78" s="151">
        <f>SUMIF('BASE BID'!E:E,C78,'BASE BID'!P:P)</f>
        <v>1970.0539453361112</v>
      </c>
      <c r="F78" s="152">
        <f>SUMIF('BASE BID'!E:E,C78,'BASE BID'!Q:Q)</f>
        <v>3070.0596059798613</v>
      </c>
      <c r="G78" s="134">
        <f t="shared" si="7"/>
        <v>4.1170830698432012E-3</v>
      </c>
      <c r="H78" s="16"/>
      <c r="I78" s="16"/>
      <c r="J78" s="280">
        <f t="shared" si="6"/>
        <v>3477.2158629155419</v>
      </c>
      <c r="K78" s="281"/>
      <c r="L78" s="282">
        <f t="shared" si="8"/>
        <v>3477.2158629155419</v>
      </c>
      <c r="M78" s="279"/>
      <c r="N78" s="243"/>
      <c r="O78" s="243"/>
      <c r="P78" s="243"/>
      <c r="Q78" s="107"/>
      <c r="R78" s="1"/>
      <c r="S78" s="1"/>
    </row>
    <row r="79" spans="1:19" x14ac:dyDescent="0.25">
      <c r="A79" s="113"/>
      <c r="B79" s="16"/>
      <c r="C79" s="247" t="s">
        <v>239</v>
      </c>
      <c r="D79" s="151">
        <f>SUMIF('BASE BID'!E:E,C79,'BASE BID'!N:N)</f>
        <v>4102.3562628808504</v>
      </c>
      <c r="E79" s="151">
        <f>SUMIF('BASE BID'!E:E,C79,'BASE BID'!P:P)</f>
        <v>3665.1102822237021</v>
      </c>
      <c r="F79" s="152">
        <f>SUMIF('BASE BID'!E:E,C79,'BASE BID'!Q:Q)</f>
        <v>7767.466545104553</v>
      </c>
      <c r="G79" s="134">
        <f t="shared" si="7"/>
        <v>1.0416509486048459E-2</v>
      </c>
      <c r="H79" s="16"/>
      <c r="I79" s="16"/>
      <c r="J79" s="280">
        <f t="shared" si="6"/>
        <v>8936.1232744919744</v>
      </c>
      <c r="K79" s="281"/>
      <c r="L79" s="282">
        <f t="shared" si="8"/>
        <v>8936.1232744919744</v>
      </c>
      <c r="M79" s="279"/>
      <c r="N79" s="243"/>
      <c r="O79" s="243"/>
      <c r="P79" s="243"/>
      <c r="Q79" s="107"/>
      <c r="R79" s="1"/>
      <c r="S79" s="1"/>
    </row>
    <row r="80" spans="1:19" x14ac:dyDescent="0.25">
      <c r="A80" s="113"/>
      <c r="B80" s="16"/>
      <c r="C80" s="247" t="s">
        <v>226</v>
      </c>
      <c r="D80" s="151">
        <f>SUMIF('BASE BID'!E:E,C80,'BASE BID'!N:N)</f>
        <v>7070.6952717187496</v>
      </c>
      <c r="E80" s="151">
        <f>SUMIF('BASE BID'!E:E,C80,'BASE BID'!P:P)</f>
        <v>4850.1371264062509</v>
      </c>
      <c r="F80" s="152">
        <f>SUMIF('BASE BID'!E:E,C80,'BASE BID'!Q:Q)</f>
        <v>11920.832398125001</v>
      </c>
      <c r="G80" s="134">
        <f t="shared" si="7"/>
        <v>1.5986353212544342E-2</v>
      </c>
      <c r="H80" s="16"/>
      <c r="I80" s="16"/>
      <c r="J80" s="280">
        <f t="shared" si="6"/>
        <v>13795.734479477343</v>
      </c>
      <c r="K80" s="281"/>
      <c r="L80" s="282">
        <f t="shared" si="8"/>
        <v>13795.734479477343</v>
      </c>
      <c r="M80" s="279"/>
      <c r="N80" s="243"/>
      <c r="O80" s="243"/>
      <c r="P80" s="243"/>
      <c r="Q80" s="107"/>
      <c r="R80" s="1"/>
      <c r="S80" s="1"/>
    </row>
    <row r="81" spans="1:19" x14ac:dyDescent="0.25">
      <c r="A81" s="113"/>
      <c r="B81" s="16"/>
      <c r="C81" s="247" t="s">
        <v>237</v>
      </c>
      <c r="D81" s="151">
        <f>SUMIF('BASE BID'!E:E,C81,'BASE BID'!N:N)</f>
        <v>33960.532849810414</v>
      </c>
      <c r="E81" s="151">
        <f>SUMIF('BASE BID'!E:E,C81,'BASE BID'!P:P)</f>
        <v>25335.518456000002</v>
      </c>
      <c r="F81" s="152">
        <f>SUMIF('BASE BID'!E:E,C81,'BASE BID'!Q:Q)</f>
        <v>59296.051305810433</v>
      </c>
      <c r="G81" s="134">
        <f t="shared" si="7"/>
        <v>7.9518576272654753E-2</v>
      </c>
      <c r="H81" s="16"/>
      <c r="I81" s="16"/>
      <c r="J81" s="280">
        <f t="shared" si="6"/>
        <v>68495.032129092491</v>
      </c>
      <c r="K81" s="281"/>
      <c r="L81" s="282">
        <f t="shared" si="8"/>
        <v>68495.032129092491</v>
      </c>
      <c r="M81" s="279"/>
      <c r="N81" s="243"/>
      <c r="O81" s="243"/>
      <c r="P81" s="243"/>
      <c r="Q81" s="107"/>
      <c r="R81" s="1"/>
      <c r="S81" s="1"/>
    </row>
    <row r="82" spans="1:19" x14ac:dyDescent="0.25">
      <c r="A82" s="113"/>
      <c r="B82" s="16"/>
      <c r="C82" s="247" t="s">
        <v>65</v>
      </c>
      <c r="D82" s="151">
        <f>SUMIF('BASE BID'!E:E,C82,'BASE BID'!N:N)</f>
        <v>707.6267318749999</v>
      </c>
      <c r="E82" s="151">
        <f>SUMIF('BASE BID'!E:E,C82,'BASE BID'!P:P)</f>
        <v>925.16434849999996</v>
      </c>
      <c r="F82" s="152">
        <f>SUMIF('BASE BID'!E:E,C82,'BASE BID'!Q:Q)</f>
        <v>1632.7910803749999</v>
      </c>
      <c r="G82" s="134">
        <f t="shared" ref="G82:G95" si="9">F82/F$40</f>
        <v>2.1896436474748361E-3</v>
      </c>
      <c r="H82" s="16"/>
      <c r="I82" s="16"/>
      <c r="J82" s="280">
        <f t="shared" si="6"/>
        <v>1862.2070398574997</v>
      </c>
      <c r="K82" s="281"/>
      <c r="L82" s="282">
        <f t="shared" si="8"/>
        <v>1862.2070398574997</v>
      </c>
      <c r="M82" s="279"/>
      <c r="N82" s="243"/>
      <c r="O82" s="243"/>
      <c r="P82" s="243"/>
      <c r="Q82" s="107"/>
      <c r="R82" s="1"/>
      <c r="S82" s="1"/>
    </row>
    <row r="83" spans="1:19" x14ac:dyDescent="0.25">
      <c r="A83" s="113"/>
      <c r="B83" s="16"/>
      <c r="C83" s="247" t="s">
        <v>123</v>
      </c>
      <c r="D83" s="151">
        <f>SUMIF('BASE BID'!E:E,C83,'BASE BID'!N:N)</f>
        <v>34129.008295341097</v>
      </c>
      <c r="E83" s="151">
        <f>SUMIF('BASE BID'!E:E,C83,'BASE BID'!P:P)</f>
        <v>32512.792205000002</v>
      </c>
      <c r="F83" s="152">
        <f>SUMIF('BASE BID'!E:E,C83,'BASE BID'!Q:Q)</f>
        <v>66641.800500341109</v>
      </c>
      <c r="G83" s="134">
        <f t="shared" si="9"/>
        <v>8.9369544503111631E-2</v>
      </c>
      <c r="H83" s="16"/>
      <c r="I83" s="16"/>
      <c r="J83" s="280">
        <f t="shared" si="6"/>
        <v>76556.317418884311</v>
      </c>
      <c r="K83" s="281"/>
      <c r="L83" s="282">
        <f t="shared" ref="L83:L95" si="10">J83-K83</f>
        <v>76556.317418884311</v>
      </c>
      <c r="M83" s="279"/>
      <c r="N83" s="243"/>
      <c r="O83" s="243"/>
      <c r="P83" s="243"/>
      <c r="Q83" s="107"/>
      <c r="R83" s="1"/>
      <c r="S83" s="1"/>
    </row>
    <row r="84" spans="1:19" x14ac:dyDescent="0.25">
      <c r="A84" s="113"/>
      <c r="B84" s="16"/>
      <c r="C84" s="247" t="s">
        <v>54</v>
      </c>
      <c r="D84" s="151">
        <f>SUMIF('BASE BID'!E:E,C84,'BASE BID'!N:N)</f>
        <v>5575.2218981319857</v>
      </c>
      <c r="E84" s="151">
        <f>SUMIF('BASE BID'!E:E,C84,'BASE BID'!P:P)</f>
        <v>15202.57808610625</v>
      </c>
      <c r="F84" s="152">
        <f>SUMIF('BASE BID'!E:E,C84,'BASE BID'!Q:Q)</f>
        <v>20777.799984238238</v>
      </c>
      <c r="G84" s="134">
        <f t="shared" si="9"/>
        <v>2.7863930842604211E-2</v>
      </c>
      <c r="H84" s="16"/>
      <c r="I84" s="16"/>
      <c r="J84" s="280">
        <f t="shared" si="6"/>
        <v>23337.089282044726</v>
      </c>
      <c r="K84" s="281"/>
      <c r="L84" s="282">
        <f t="shared" si="10"/>
        <v>23337.089282044726</v>
      </c>
      <c r="M84" s="279"/>
      <c r="N84" s="243"/>
      <c r="O84" s="243"/>
      <c r="P84" s="243"/>
      <c r="Q84" s="107"/>
      <c r="R84" s="1"/>
      <c r="S84" s="1"/>
    </row>
    <row r="85" spans="1:19" x14ac:dyDescent="0.25">
      <c r="A85" s="113"/>
      <c r="B85" s="16"/>
      <c r="C85" s="247" t="s">
        <v>37</v>
      </c>
      <c r="D85" s="151">
        <f>SUMIF('BASE BID'!E:E,C85,'BASE BID'!N:N)</f>
        <v>5781.8623418305369</v>
      </c>
      <c r="E85" s="151">
        <f>SUMIF('BASE BID'!E:E,C85,'BASE BID'!P:P)</f>
        <v>14364.224162500002</v>
      </c>
      <c r="F85" s="152">
        <f>SUMIF('BASE BID'!E:E,C85,'BASE BID'!Q:Q)</f>
        <v>20146.086504330538</v>
      </c>
      <c r="G85" s="134">
        <f t="shared" si="9"/>
        <v>2.7016775670745705E-2</v>
      </c>
      <c r="H85" s="16"/>
      <c r="I85" s="16"/>
      <c r="J85" s="280">
        <f t="shared" si="6"/>
        <v>22667.060268134148</v>
      </c>
      <c r="K85" s="281"/>
      <c r="L85" s="282">
        <f t="shared" si="10"/>
        <v>22667.060268134148</v>
      </c>
      <c r="M85" s="279"/>
      <c r="N85" s="243"/>
      <c r="O85" s="243"/>
      <c r="P85" s="243"/>
      <c r="Q85" s="107"/>
      <c r="R85" s="1"/>
      <c r="S85" s="1"/>
    </row>
    <row r="86" spans="1:19" x14ac:dyDescent="0.25">
      <c r="A86" s="113"/>
      <c r="B86" s="16"/>
      <c r="C86" s="247" t="s">
        <v>157</v>
      </c>
      <c r="D86" s="151">
        <f>SUMIF('BASE BID'!E:E,C86,'BASE BID'!N:N)</f>
        <v>1235.7283177239003</v>
      </c>
      <c r="E86" s="151">
        <f>SUMIF('BASE BID'!E:E,C86,'BASE BID'!P:P)</f>
        <v>0</v>
      </c>
      <c r="F86" s="152">
        <f>SUMIF('BASE BID'!E:E,C86,'BASE BID'!Q:Q)</f>
        <v>1235.7283177239003</v>
      </c>
      <c r="G86" s="134">
        <f t="shared" si="9"/>
        <v>1.6571652634747782E-3</v>
      </c>
      <c r="H86" s="16"/>
      <c r="I86" s="16"/>
      <c r="J86" s="280">
        <f t="shared" si="6"/>
        <v>1482.8739812686804</v>
      </c>
      <c r="K86" s="281"/>
      <c r="L86" s="282">
        <f t="shared" si="10"/>
        <v>1482.8739812686804</v>
      </c>
      <c r="M86" s="279"/>
      <c r="N86" s="243"/>
      <c r="O86" s="243"/>
      <c r="P86" s="243"/>
      <c r="Q86" s="107"/>
      <c r="R86" s="1"/>
      <c r="S86" s="1"/>
    </row>
    <row r="87" spans="1:19" x14ac:dyDescent="0.25">
      <c r="A87" s="113"/>
      <c r="B87" s="16"/>
      <c r="C87" s="247" t="s">
        <v>53</v>
      </c>
      <c r="D87" s="151">
        <f>SUMIF('BASE BID'!E:E,C87,'BASE BID'!N:N)</f>
        <v>11639.896360769253</v>
      </c>
      <c r="E87" s="151">
        <f>SUMIF('BASE BID'!E:E,C87,'BASE BID'!P:P)</f>
        <v>7858.62</v>
      </c>
      <c r="F87" s="152">
        <f>SUMIF('BASE BID'!E:E,C87,'BASE BID'!Q:Q)</f>
        <v>19498.516360769252</v>
      </c>
      <c r="G87" s="134">
        <f t="shared" si="9"/>
        <v>2.6148356025277236E-2</v>
      </c>
      <c r="H87" s="16"/>
      <c r="I87" s="16"/>
      <c r="J87" s="280">
        <f t="shared" si="6"/>
        <v>22573.064532923105</v>
      </c>
      <c r="K87" s="281"/>
      <c r="L87" s="282">
        <f t="shared" si="10"/>
        <v>22573.064532923105</v>
      </c>
      <c r="M87" s="279"/>
      <c r="N87" s="243"/>
      <c r="O87" s="243"/>
      <c r="P87" s="243"/>
      <c r="Q87" s="107"/>
      <c r="R87" s="1"/>
      <c r="S87" s="1"/>
    </row>
    <row r="88" spans="1:19" x14ac:dyDescent="0.25">
      <c r="A88" s="113"/>
      <c r="B88" s="16"/>
      <c r="C88" s="247" t="s">
        <v>145</v>
      </c>
      <c r="D88" s="151">
        <f>SUMIF('BASE BID'!E:E,C88,'BASE BID'!N:N)</f>
        <v>1618.8778950188057</v>
      </c>
      <c r="E88" s="151">
        <f>SUMIF('BASE BID'!E:E,C88,'BASE BID'!P:P)</f>
        <v>1977.1089289738889</v>
      </c>
      <c r="F88" s="152">
        <f>SUMIF('BASE BID'!E:E,C88,'BASE BID'!Q:Q)</f>
        <v>3595.986823992695</v>
      </c>
      <c r="G88" s="134">
        <f t="shared" si="9"/>
        <v>4.8223742769040769E-3</v>
      </c>
      <c r="H88" s="16"/>
      <c r="I88" s="16"/>
      <c r="J88" s="280">
        <f t="shared" si="6"/>
        <v>4107.5877512489751</v>
      </c>
      <c r="K88" s="281"/>
      <c r="L88" s="282">
        <f t="shared" si="10"/>
        <v>4107.5877512489751</v>
      </c>
      <c r="M88" s="279"/>
      <c r="N88" s="243"/>
      <c r="O88" s="243"/>
      <c r="P88" s="243"/>
      <c r="Q88" s="107"/>
      <c r="R88" s="1"/>
      <c r="S88" s="1"/>
    </row>
    <row r="89" spans="1:19" x14ac:dyDescent="0.25">
      <c r="A89" s="113"/>
      <c r="B89" s="16"/>
      <c r="C89" s="247" t="s">
        <v>206</v>
      </c>
      <c r="D89" s="151">
        <f>SUMIF('BASE BID'!E:E,C89,'BASE BID'!N:N)</f>
        <v>45.014362932499999</v>
      </c>
      <c r="E89" s="151">
        <f>SUMIF('BASE BID'!E:E,C89,'BASE BID'!P:P)</f>
        <v>144</v>
      </c>
      <c r="F89" s="152">
        <f>SUMIF('BASE BID'!E:E,C89,'BASE BID'!Q:Q)</f>
        <v>189.01436293250001</v>
      </c>
      <c r="G89" s="134">
        <f t="shared" si="9"/>
        <v>2.5347645761366981E-4</v>
      </c>
      <c r="H89" s="16"/>
      <c r="I89" s="16"/>
      <c r="J89" s="280">
        <f t="shared" si="6"/>
        <v>211.697235519</v>
      </c>
      <c r="K89" s="281"/>
      <c r="L89" s="282">
        <f t="shared" si="10"/>
        <v>211.697235519</v>
      </c>
      <c r="M89" s="279"/>
      <c r="N89" s="243"/>
      <c r="O89" s="243"/>
      <c r="P89" s="243"/>
      <c r="Q89" s="107"/>
      <c r="R89" s="1"/>
      <c r="S89" s="1"/>
    </row>
    <row r="90" spans="1:19" x14ac:dyDescent="0.25">
      <c r="A90" s="113"/>
      <c r="B90" s="16"/>
      <c r="C90" s="247" t="s">
        <v>200</v>
      </c>
      <c r="D90" s="151">
        <f>SUMIF('BASE BID'!E:E,C90,'BASE BID'!N:N)</f>
        <v>5514.3931231462502</v>
      </c>
      <c r="E90" s="151">
        <f>SUMIF('BASE BID'!E:E,C90,'BASE BID'!P:P)</f>
        <v>12932.703420000002</v>
      </c>
      <c r="F90" s="152">
        <f>SUMIF('BASE BID'!E:E,C90,'BASE BID'!Q:Q)</f>
        <v>18447.096543146254</v>
      </c>
      <c r="G90" s="134">
        <f t="shared" si="9"/>
        <v>2.4738356453281412E-2</v>
      </c>
      <c r="H90" s="16"/>
      <c r="I90" s="16"/>
      <c r="J90" s="280">
        <f t="shared" si="6"/>
        <v>20778.581992675503</v>
      </c>
      <c r="K90" s="281"/>
      <c r="L90" s="282">
        <f t="shared" si="10"/>
        <v>20778.581992675503</v>
      </c>
      <c r="M90" s="279"/>
      <c r="N90" s="243"/>
      <c r="O90" s="243"/>
      <c r="P90" s="243"/>
      <c r="Q90" s="107"/>
      <c r="R90" s="1"/>
      <c r="S90" s="1"/>
    </row>
    <row r="91" spans="1:19" x14ac:dyDescent="0.25">
      <c r="A91" s="113"/>
      <c r="B91" s="16"/>
      <c r="C91" s="247" t="s">
        <v>199</v>
      </c>
      <c r="D91" s="151">
        <f>SUMIF('BASE BID'!E:E,C91,'BASE BID'!N:N)</f>
        <v>2870.8531699714285</v>
      </c>
      <c r="E91" s="151">
        <f>SUMIF('BASE BID'!E:E,C91,'BASE BID'!P:P)</f>
        <v>11929.885714285714</v>
      </c>
      <c r="F91" s="152">
        <f>SUMIF('BASE BID'!E:E,C91,'BASE BID'!Q:Q)</f>
        <v>14800.738884257142</v>
      </c>
      <c r="G91" s="134">
        <f t="shared" si="9"/>
        <v>1.984843270236648E-2</v>
      </c>
      <c r="H91" s="16"/>
      <c r="I91" s="16"/>
      <c r="J91" s="280">
        <f t="shared" si="6"/>
        <v>16508.24866110857</v>
      </c>
      <c r="K91" s="281"/>
      <c r="L91" s="282">
        <f t="shared" si="10"/>
        <v>16508.24866110857</v>
      </c>
      <c r="M91" s="279"/>
      <c r="N91" s="243"/>
      <c r="O91" s="243"/>
      <c r="P91" s="243"/>
      <c r="Q91" s="107"/>
      <c r="R91" s="1"/>
      <c r="S91" s="1"/>
    </row>
    <row r="92" spans="1:19" x14ac:dyDescent="0.25">
      <c r="A92" s="113"/>
      <c r="B92" s="16"/>
      <c r="C92" s="247" t="s">
        <v>50</v>
      </c>
      <c r="D92" s="151">
        <f>SUMIF('BASE BID'!E:E,C92,'BASE BID'!N:N)</f>
        <v>296.22101429465999</v>
      </c>
      <c r="E92" s="151">
        <f>SUMIF('BASE BID'!E:E,C92,'BASE BID'!P:P)</f>
        <v>860.8710713113876</v>
      </c>
      <c r="F92" s="152">
        <f>SUMIF('BASE BID'!E:E,C92,'BASE BID'!Q:Q)</f>
        <v>1157.0920856060475</v>
      </c>
      <c r="G92" s="134">
        <f t="shared" si="9"/>
        <v>1.5517106660141724E-3</v>
      </c>
      <c r="H92" s="16"/>
      <c r="I92" s="16"/>
      <c r="J92" s="280">
        <f t="shared" si="6"/>
        <v>1298.1190402395614</v>
      </c>
      <c r="K92" s="281"/>
      <c r="L92" s="282">
        <f t="shared" si="10"/>
        <v>1298.1190402395614</v>
      </c>
      <c r="M92" s="279"/>
      <c r="N92" s="243"/>
      <c r="O92" s="243"/>
      <c r="P92" s="243"/>
      <c r="Q92" s="107"/>
      <c r="R92" s="1"/>
      <c r="S92" s="1"/>
    </row>
    <row r="93" spans="1:19" x14ac:dyDescent="0.25">
      <c r="A93" s="113"/>
      <c r="B93" s="16"/>
      <c r="C93" s="247" t="s">
        <v>60</v>
      </c>
      <c r="D93" s="151">
        <f>SUMIF('BASE BID'!E:E,C93,'BASE BID'!N:N)</f>
        <v>1903.0535936025321</v>
      </c>
      <c r="E93" s="151">
        <f>SUMIF('BASE BID'!E:E,C93,'BASE BID'!P:P)</f>
        <v>7063.9158975000009</v>
      </c>
      <c r="F93" s="152">
        <f>SUMIF('BASE BID'!E:E,C93,'BASE BID'!Q:Q)</f>
        <v>8966.9694911025326</v>
      </c>
      <c r="G93" s="134">
        <f t="shared" si="9"/>
        <v>1.202509495506548E-2</v>
      </c>
      <c r="H93" s="16"/>
      <c r="I93" s="16"/>
      <c r="J93" s="280">
        <f t="shared" si="6"/>
        <v>10018.65222008554</v>
      </c>
      <c r="K93" s="281"/>
      <c r="L93" s="282">
        <f t="shared" si="10"/>
        <v>10018.65222008554</v>
      </c>
      <c r="M93" s="279"/>
      <c r="N93" s="243"/>
      <c r="O93" s="243"/>
      <c r="P93" s="243"/>
      <c r="Q93" s="107"/>
      <c r="R93" s="1"/>
      <c r="S93" s="1"/>
    </row>
    <row r="94" spans="1:19" x14ac:dyDescent="0.25">
      <c r="A94" s="113"/>
      <c r="B94" s="16"/>
      <c r="C94" s="247" t="s">
        <v>122</v>
      </c>
      <c r="D94" s="151">
        <f>SUMIF('BASE BID'!E:E,C94,'BASE BID'!N:N)</f>
        <v>10476.879334795794</v>
      </c>
      <c r="E94" s="151">
        <f>SUMIF('BASE BID'!E:E,C94,'BASE BID'!P:P)</f>
        <v>10707.603813417125</v>
      </c>
      <c r="F94" s="152">
        <f>SUMIF('BASE BID'!E:E,C94,'BASE BID'!Q:Q)</f>
        <v>21184.483148212916</v>
      </c>
      <c r="G94" s="134">
        <f t="shared" si="9"/>
        <v>2.8409310601983838E-2</v>
      </c>
      <c r="H94" s="16"/>
      <c r="I94" s="16"/>
      <c r="J94" s="280">
        <f t="shared" si="6"/>
        <v>24297.081377446702</v>
      </c>
      <c r="K94" s="281"/>
      <c r="L94" s="282">
        <f t="shared" si="10"/>
        <v>24297.081377446702</v>
      </c>
      <c r="M94" s="279"/>
      <c r="N94" s="243"/>
      <c r="O94" s="243"/>
      <c r="P94" s="243"/>
      <c r="Q94" s="107"/>
      <c r="R94" s="1"/>
      <c r="S94" s="1"/>
    </row>
    <row r="95" spans="1:19" ht="16.5" thickBot="1" x14ac:dyDescent="0.3">
      <c r="A95" s="113"/>
      <c r="B95" s="16"/>
      <c r="C95" s="247" t="s">
        <v>243</v>
      </c>
      <c r="D95" s="151">
        <f>SUMIF('BASE BID'!E:E,C95,'BASE BID'!N:N)</f>
        <v>2218.8415536000002</v>
      </c>
      <c r="E95" s="151">
        <f>SUMIF('BASE BID'!E:E,C95,'BASE BID'!P:P)</f>
        <v>6105.7349284050015</v>
      </c>
      <c r="F95" s="152">
        <f>SUMIF('BASE BID'!E:E,C95,'BASE BID'!Q:Q)</f>
        <v>8324.5764820050008</v>
      </c>
      <c r="G95" s="134">
        <f t="shared" si="9"/>
        <v>1.1163618071427923E-2</v>
      </c>
      <c r="H95" s="16"/>
      <c r="I95" s="16"/>
      <c r="J95" s="280">
        <f t="shared" si="6"/>
        <v>9348.3896109234774</v>
      </c>
      <c r="K95" s="281"/>
      <c r="L95" s="282">
        <f t="shared" si="10"/>
        <v>9348.3896109234774</v>
      </c>
      <c r="M95" s="284"/>
      <c r="N95" s="285"/>
      <c r="O95" s="285"/>
      <c r="P95" s="285"/>
      <c r="Q95" s="107"/>
      <c r="R95" s="1"/>
      <c r="S95" s="1"/>
    </row>
    <row r="96" spans="1:19" ht="16.5" thickBot="1" x14ac:dyDescent="0.25">
      <c r="A96" s="113"/>
      <c r="B96" s="16"/>
      <c r="C96" s="62" t="s">
        <v>4</v>
      </c>
      <c r="D96" s="63">
        <f>SUM(D54:D95)</f>
        <v>337639.61509120942</v>
      </c>
      <c r="E96" s="63">
        <f>SUM(E54:E95)</f>
        <v>408048.42517871503</v>
      </c>
      <c r="F96" s="63">
        <f>SUM(F54:F95)</f>
        <v>745688.04026992421</v>
      </c>
      <c r="G96" s="147"/>
      <c r="I96" s="16"/>
      <c r="J96" s="275">
        <f>SUM(J54:J95)</f>
        <v>851980.56368014414</v>
      </c>
      <c r="K96" s="276"/>
      <c r="L96" s="277">
        <f>J96-K96</f>
        <v>851980.56368014414</v>
      </c>
      <c r="M96" s="279">
        <f>SUM(M54:M95)</f>
        <v>0</v>
      </c>
      <c r="N96" s="243"/>
      <c r="O96" s="243"/>
      <c r="P96" s="243"/>
      <c r="Q96" s="107"/>
      <c r="R96" s="1"/>
      <c r="S96" s="1"/>
    </row>
    <row r="97" spans="1:19" x14ac:dyDescent="0.2">
      <c r="A97" s="113"/>
      <c r="B97" s="16"/>
      <c r="C97" s="266" t="s">
        <v>160</v>
      </c>
      <c r="D97" s="66">
        <v>0</v>
      </c>
      <c r="E97" s="67">
        <f>E96*H97</f>
        <v>38764.600391977925</v>
      </c>
      <c r="F97" s="67">
        <f>D97+E97</f>
        <v>38764.600391977925</v>
      </c>
      <c r="G97" s="126"/>
      <c r="H97" s="127">
        <f>H41</f>
        <v>9.5000000000000001E-2</v>
      </c>
      <c r="I97" s="16"/>
      <c r="J97" s="106"/>
      <c r="K97" s="106"/>
      <c r="L97" s="106"/>
      <c r="M97" s="106"/>
      <c r="N97" s="106"/>
      <c r="O97" s="106"/>
      <c r="P97" s="106"/>
      <c r="Q97" s="107"/>
      <c r="R97" s="1"/>
      <c r="S97" s="1"/>
    </row>
    <row r="98" spans="1:19" x14ac:dyDescent="0.2">
      <c r="A98" s="113"/>
      <c r="B98" s="16"/>
      <c r="C98" s="64" t="s">
        <v>271</v>
      </c>
      <c r="D98" s="263">
        <v>0</v>
      </c>
      <c r="E98" s="264">
        <f>E96*H98</f>
        <v>0</v>
      </c>
      <c r="F98" s="264">
        <f>D98+E98</f>
        <v>0</v>
      </c>
      <c r="G98" s="126"/>
      <c r="H98" s="127">
        <f t="shared" ref="H98:H100" si="11">H42</f>
        <v>0</v>
      </c>
      <c r="I98" s="16"/>
      <c r="J98" s="106"/>
      <c r="K98" s="106"/>
      <c r="L98" s="106"/>
      <c r="M98" s="106"/>
      <c r="N98" s="106"/>
      <c r="O98" s="106"/>
      <c r="P98" s="106"/>
      <c r="Q98" s="107"/>
      <c r="R98" s="1"/>
      <c r="S98" s="1"/>
    </row>
    <row r="99" spans="1:19" ht="16.5" thickBot="1" x14ac:dyDescent="0.25">
      <c r="A99" s="113"/>
      <c r="B99" s="16"/>
      <c r="C99" s="68" t="s">
        <v>279</v>
      </c>
      <c r="D99" s="269">
        <f>D96*H99</f>
        <v>67527.923018241883</v>
      </c>
      <c r="E99" s="267">
        <v>0</v>
      </c>
      <c r="F99" s="267">
        <f>D99+E99</f>
        <v>67527.923018241883</v>
      </c>
      <c r="G99" s="268"/>
      <c r="H99" s="127">
        <f t="shared" si="11"/>
        <v>0.2</v>
      </c>
      <c r="I99" s="16"/>
      <c r="J99" s="106"/>
      <c r="K99" s="106"/>
      <c r="L99" s="106"/>
      <c r="M99" s="106"/>
      <c r="N99" s="106"/>
      <c r="O99" s="106"/>
      <c r="P99" s="106"/>
      <c r="Q99" s="107"/>
      <c r="R99" s="1"/>
      <c r="S99" s="1"/>
    </row>
    <row r="100" spans="1:19" ht="17.25" thickTop="1" thickBot="1" x14ac:dyDescent="0.25">
      <c r="A100" s="113"/>
      <c r="B100" s="16"/>
      <c r="C100" s="79" t="s">
        <v>177</v>
      </c>
      <c r="D100" s="73"/>
      <c r="E100" s="74"/>
      <c r="F100" s="74">
        <f>SUM(F96:F99)*H100</f>
        <v>0</v>
      </c>
      <c r="G100" s="60"/>
      <c r="H100" s="127">
        <f t="shared" si="11"/>
        <v>0</v>
      </c>
      <c r="I100" s="16"/>
      <c r="J100" s="106"/>
      <c r="K100" s="106"/>
      <c r="L100" s="106"/>
      <c r="M100" s="106"/>
      <c r="N100" s="106"/>
      <c r="O100" s="106"/>
      <c r="P100" s="106"/>
      <c r="Q100" s="107"/>
      <c r="R100" s="1"/>
      <c r="S100" s="1"/>
    </row>
    <row r="101" spans="1:19" ht="16.5" thickBot="1" x14ac:dyDescent="0.25">
      <c r="A101" s="113"/>
      <c r="B101" s="16"/>
      <c r="C101" s="71" t="s">
        <v>87</v>
      </c>
      <c r="D101" s="76"/>
      <c r="E101" s="77"/>
      <c r="F101" s="77">
        <f>F96+F97+F98+F99+F100</f>
        <v>851980.56368014403</v>
      </c>
      <c r="G101" s="61"/>
      <c r="I101" s="16"/>
      <c r="J101" s="106"/>
      <c r="K101" s="106"/>
      <c r="L101" s="106"/>
      <c r="M101" s="106"/>
      <c r="N101" s="106"/>
      <c r="O101" s="106"/>
      <c r="P101" s="106"/>
      <c r="Q101" s="107"/>
      <c r="R101" s="1"/>
      <c r="S101" s="1"/>
    </row>
    <row r="102" spans="1:19" x14ac:dyDescent="0.2">
      <c r="A102" s="113"/>
      <c r="B102" s="16"/>
      <c r="C102" s="16"/>
      <c r="D102" s="17"/>
      <c r="E102" s="15"/>
      <c r="F102" s="15"/>
      <c r="G102" s="15"/>
      <c r="H102" s="16"/>
      <c r="I102" s="16"/>
      <c r="J102" s="106"/>
      <c r="K102" s="106"/>
      <c r="L102" s="106"/>
      <c r="M102" s="106"/>
      <c r="N102" s="106"/>
      <c r="O102" s="106"/>
      <c r="P102" s="106"/>
      <c r="Q102" s="107"/>
      <c r="R102" s="1"/>
      <c r="S102" s="1"/>
    </row>
    <row r="103" spans="1:19" x14ac:dyDescent="0.2">
      <c r="A103" s="113"/>
      <c r="B103" s="16"/>
      <c r="C103" s="16"/>
      <c r="D103" s="17"/>
      <c r="E103" s="15"/>
      <c r="F103" s="15"/>
      <c r="G103" s="15"/>
      <c r="H103" s="16"/>
      <c r="I103" s="16"/>
      <c r="J103" s="106"/>
      <c r="K103" s="106"/>
      <c r="L103" s="106"/>
      <c r="M103" s="106"/>
      <c r="N103" s="106"/>
      <c r="O103" s="106"/>
      <c r="P103" s="106"/>
      <c r="Q103" s="107"/>
      <c r="R103" s="1"/>
      <c r="S103" s="1"/>
    </row>
    <row r="104" spans="1:19" x14ac:dyDescent="0.2">
      <c r="A104" s="128"/>
      <c r="B104" s="129"/>
      <c r="C104" s="129"/>
      <c r="D104" s="130"/>
      <c r="E104" s="131"/>
      <c r="F104" s="131"/>
      <c r="G104" s="131"/>
      <c r="H104" s="129"/>
      <c r="I104" s="129"/>
      <c r="J104" s="132"/>
      <c r="K104" s="132"/>
      <c r="L104" s="132"/>
      <c r="M104" s="132"/>
      <c r="N104" s="132"/>
      <c r="O104" s="132"/>
      <c r="P104" s="132"/>
      <c r="Q104" s="133"/>
      <c r="R104" s="1"/>
      <c r="S104" s="1"/>
    </row>
    <row r="105" spans="1:19" x14ac:dyDescent="0.2">
      <c r="R105" s="1"/>
      <c r="S105" s="1"/>
    </row>
    <row r="106" spans="1:19" x14ac:dyDescent="0.2">
      <c r="R106" s="1"/>
      <c r="S106" s="1"/>
    </row>
  </sheetData>
  <sortState ref="B38:C129">
    <sortCondition ref="B38:B129"/>
  </sortState>
  <mergeCells count="13">
    <mergeCell ref="N53:P53"/>
    <mergeCell ref="N17:P17"/>
    <mergeCell ref="J51:L52"/>
    <mergeCell ref="J49:L50"/>
    <mergeCell ref="C51:G52"/>
    <mergeCell ref="A2:Q2"/>
    <mergeCell ref="B9:C9"/>
    <mergeCell ref="B10:C10"/>
    <mergeCell ref="B15:G16"/>
    <mergeCell ref="J13:L14"/>
    <mergeCell ref="J15:L16"/>
    <mergeCell ref="B11:C11"/>
    <mergeCell ref="B12:D12"/>
  </mergeCells>
  <phoneticPr fontId="55" type="noConversion"/>
  <conditionalFormatting sqref="D10">
    <cfRule type="expression" dxfId="1" priority="7" stopIfTrue="1">
      <formula>$D$10&lt;&gt;SUM(#REF!)</formula>
    </cfRule>
  </conditionalFormatting>
  <conditionalFormatting sqref="D11">
    <cfRule type="expression" dxfId="0" priority="2" stopIfTrue="1">
      <formula>$D$10&lt;&gt;SUM(#REF!)</formula>
    </cfRule>
  </conditionalFormatting>
  <hyperlinks>
    <hyperlink ref="B10:C10" location="'BASE BID'!A1" display="Base bid"/>
    <hyperlink ref="B11" location="'HOURLY RATES'!A1" display="Hourly Rates"/>
  </hyperlinks>
  <printOptions horizontalCentered="1"/>
  <pageMargins left="0.43307086614173201" right="0.43307086614173201" top="0.39370078740157499" bottom="0.39370078740157499" header="0.196850393700787" footer="0.196850393700787"/>
  <pageSetup paperSize="9" scale="36" orientation="portrait" r:id="rId1"/>
  <headerFooter>
    <oddFooter>&amp;C&amp;P of &amp;N</oddFooter>
  </headerFooter>
  <rowBreaks count="1" manualBreakCount="1">
    <brk id="4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A1:Z1039"/>
  <sheetViews>
    <sheetView tabSelected="1" zoomScale="55" zoomScaleNormal="55" zoomScaleSheetLayoutView="40" workbookViewId="0">
      <pane ySplit="1" topLeftCell="A614" activePane="bottomLeft" state="frozen"/>
      <selection pane="bottomLeft" activeCell="F636" sqref="F636"/>
    </sheetView>
  </sheetViews>
  <sheetFormatPr defaultColWidth="8.77734375" defaultRowHeight="15.75" x14ac:dyDescent="0.2"/>
  <cols>
    <col min="1" max="1" width="5.21875" style="6" customWidth="1"/>
    <col min="2" max="2" width="16.5546875" style="6" customWidth="1"/>
    <col min="3" max="3" width="16.21875" style="6" customWidth="1"/>
    <col min="4" max="4" width="7.77734375" style="6" customWidth="1"/>
    <col min="5" max="5" width="23.33203125" style="6" customWidth="1"/>
    <col min="6" max="6" width="71.77734375" style="8" customWidth="1"/>
    <col min="7" max="7" width="10.77734375" style="7" customWidth="1"/>
    <col min="8" max="8" width="10.21875" style="7" customWidth="1"/>
    <col min="9" max="9" width="13.44140625" style="7" customWidth="1"/>
    <col min="10" max="10" width="10" style="6" customWidth="1"/>
    <col min="11" max="11" width="12.109375" style="6" customWidth="1"/>
    <col min="12" max="12" width="13.21875" style="6" customWidth="1"/>
    <col min="13" max="13" width="12.109375" style="8" customWidth="1"/>
    <col min="14" max="14" width="11.44140625" style="8" customWidth="1"/>
    <col min="15" max="15" width="12.109375" style="8" customWidth="1"/>
    <col min="16" max="16" width="14" style="8" customWidth="1"/>
    <col min="17" max="17" width="18.109375" style="8" customWidth="1"/>
    <col min="18" max="18" width="15.77734375" style="1" customWidth="1"/>
    <col min="19" max="19" width="13.77734375" style="1" customWidth="1"/>
    <col min="20" max="21" width="11.77734375" style="1" bestFit="1" customWidth="1"/>
    <col min="22" max="22" width="11.33203125" style="1" customWidth="1"/>
    <col min="23" max="23" width="10.77734375" style="1" bestFit="1" customWidth="1"/>
    <col min="24" max="24" width="11.77734375" style="254" bestFit="1" customWidth="1"/>
    <col min="25" max="25" width="11" style="1" customWidth="1"/>
    <col min="26" max="26" width="11.77734375" style="1" bestFit="1" customWidth="1"/>
    <col min="27" max="16384" width="8.77734375" style="1"/>
  </cols>
  <sheetData>
    <row r="1" spans="1:25" s="5" customFormat="1" ht="48" thickBot="1" x14ac:dyDescent="0.25">
      <c r="A1" s="465" t="s">
        <v>2</v>
      </c>
      <c r="B1" s="466" t="s">
        <v>10</v>
      </c>
      <c r="C1" s="466" t="s">
        <v>15</v>
      </c>
      <c r="D1" s="466" t="s">
        <v>11</v>
      </c>
      <c r="E1" s="466" t="s">
        <v>49</v>
      </c>
      <c r="F1" s="467" t="s">
        <v>1</v>
      </c>
      <c r="G1" s="467" t="s">
        <v>3</v>
      </c>
      <c r="H1" s="467" t="s">
        <v>13</v>
      </c>
      <c r="I1" s="467" t="s">
        <v>12</v>
      </c>
      <c r="J1" s="466" t="s">
        <v>0</v>
      </c>
      <c r="K1" s="466" t="s">
        <v>30</v>
      </c>
      <c r="L1" s="466" t="s">
        <v>31</v>
      </c>
      <c r="M1" s="466" t="s">
        <v>48</v>
      </c>
      <c r="N1" s="466" t="s">
        <v>23</v>
      </c>
      <c r="O1" s="466" t="s">
        <v>14</v>
      </c>
      <c r="P1" s="466" t="s">
        <v>22</v>
      </c>
      <c r="Q1" s="466" t="s">
        <v>5</v>
      </c>
      <c r="R1" s="468" t="s">
        <v>88</v>
      </c>
      <c r="S1" s="4"/>
      <c r="T1" s="4"/>
      <c r="U1" s="4"/>
      <c r="V1" s="4"/>
      <c r="W1" s="4"/>
      <c r="X1" s="252"/>
      <c r="Y1" s="4"/>
    </row>
    <row r="2" spans="1:25" s="3" customFormat="1" ht="26.25" thickBot="1" x14ac:dyDescent="0.4">
      <c r="A2" s="469" t="s">
        <v>6</v>
      </c>
      <c r="B2" s="470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1"/>
      <c r="X2" s="253"/>
    </row>
    <row r="3" spans="1:25" ht="21.75" thickBot="1" x14ac:dyDescent="0.35">
      <c r="A3" s="175"/>
      <c r="B3" s="449" t="s">
        <v>254</v>
      </c>
      <c r="C3" s="449"/>
      <c r="D3" s="449"/>
      <c r="E3" s="449"/>
      <c r="F3" s="384"/>
      <c r="G3" s="15"/>
      <c r="H3" s="15"/>
      <c r="I3" s="15"/>
      <c r="J3" s="15"/>
      <c r="K3" s="15"/>
      <c r="L3" s="15"/>
      <c r="M3" s="15"/>
      <c r="N3" s="106"/>
      <c r="O3" s="106"/>
      <c r="P3" s="106"/>
      <c r="Q3" s="106"/>
      <c r="R3" s="176"/>
    </row>
    <row r="4" spans="1:25" ht="23.25" x14ac:dyDescent="0.3">
      <c r="A4" s="175"/>
      <c r="B4" s="92"/>
      <c r="C4" s="36"/>
      <c r="D4" s="136" t="s">
        <v>85</v>
      </c>
      <c r="E4" s="137">
        <f>Q1015</f>
        <v>745688.04026992514</v>
      </c>
      <c r="F4" s="100"/>
      <c r="G4" s="51"/>
      <c r="H4" s="92"/>
      <c r="I4" s="103"/>
      <c r="J4" s="29" t="s">
        <v>7</v>
      </c>
      <c r="K4" s="86">
        <v>44757</v>
      </c>
      <c r="L4" s="104"/>
      <c r="M4" s="86"/>
      <c r="N4" s="93"/>
      <c r="O4" s="93"/>
      <c r="P4" s="93"/>
      <c r="Q4" s="100"/>
      <c r="R4" s="177"/>
    </row>
    <row r="5" spans="1:25" ht="20.25" x14ac:dyDescent="0.3">
      <c r="A5" s="175"/>
      <c r="B5" s="94"/>
      <c r="C5" s="37" t="s">
        <v>86</v>
      </c>
      <c r="D5" s="38">
        <v>9.5000000000000001E-2</v>
      </c>
      <c r="E5" s="39">
        <f>P1015*D5</f>
        <v>38764.600391977918</v>
      </c>
      <c r="F5" s="40" t="s">
        <v>227</v>
      </c>
      <c r="G5" s="51"/>
      <c r="H5" s="94"/>
      <c r="I5" s="98"/>
      <c r="J5" s="31" t="s">
        <v>8</v>
      </c>
      <c r="K5" s="87"/>
      <c r="L5" s="30"/>
      <c r="M5" s="87"/>
      <c r="N5" s="91"/>
      <c r="O5" s="91"/>
      <c r="P5" s="91"/>
      <c r="Q5" s="101"/>
      <c r="R5" s="177"/>
    </row>
    <row r="6" spans="1:25" ht="20.25" x14ac:dyDescent="0.3">
      <c r="A6" s="175"/>
      <c r="B6" s="94"/>
      <c r="C6" s="37" t="s">
        <v>270</v>
      </c>
      <c r="D6" s="38">
        <v>0</v>
      </c>
      <c r="E6" s="39">
        <f>P1015*D6</f>
        <v>0</v>
      </c>
      <c r="F6" s="40" t="s">
        <v>84</v>
      </c>
      <c r="G6" s="51"/>
      <c r="H6" s="94"/>
      <c r="I6" s="98"/>
      <c r="J6" s="31" t="s">
        <v>9</v>
      </c>
      <c r="K6" s="88"/>
      <c r="L6" s="30"/>
      <c r="M6" s="88"/>
      <c r="N6" s="91"/>
      <c r="O6" s="91"/>
      <c r="P6" s="91"/>
      <c r="Q6" s="101"/>
      <c r="R6" s="177"/>
    </row>
    <row r="7" spans="1:25" ht="20.25" x14ac:dyDescent="0.3">
      <c r="A7" s="175"/>
      <c r="B7" s="94"/>
      <c r="C7" s="37" t="s">
        <v>269</v>
      </c>
      <c r="D7" s="38">
        <v>0.2</v>
      </c>
      <c r="E7" s="41">
        <f>N1015*D7</f>
        <v>67527.923018241869</v>
      </c>
      <c r="F7" s="40" t="s">
        <v>84</v>
      </c>
      <c r="G7" s="51"/>
      <c r="H7" s="94"/>
      <c r="I7" s="98"/>
      <c r="J7" s="31" t="s">
        <v>62</v>
      </c>
      <c r="K7" s="89"/>
      <c r="L7" s="30"/>
      <c r="M7" s="89"/>
      <c r="N7" s="91"/>
      <c r="O7" s="91"/>
      <c r="P7" s="91"/>
      <c r="Q7" s="101"/>
      <c r="R7" s="177"/>
    </row>
    <row r="8" spans="1:25" ht="21" thickBot="1" x14ac:dyDescent="0.35">
      <c r="A8" s="175"/>
      <c r="B8" s="94"/>
      <c r="C8" s="49" t="s">
        <v>177</v>
      </c>
      <c r="D8" s="42">
        <v>0</v>
      </c>
      <c r="E8" s="43">
        <f>(E4+E5+E6+E7)*D8</f>
        <v>0</v>
      </c>
      <c r="F8" s="40" t="s">
        <v>178</v>
      </c>
      <c r="G8" s="51"/>
      <c r="H8" s="94"/>
      <c r="I8" s="98"/>
      <c r="J8" s="31"/>
      <c r="K8" s="89"/>
      <c r="L8" s="30"/>
      <c r="M8" s="303"/>
      <c r="N8" s="91"/>
      <c r="O8" s="91"/>
      <c r="P8" s="91"/>
      <c r="Q8" s="101"/>
      <c r="R8" s="177"/>
    </row>
    <row r="9" spans="1:25" ht="27.75" thickTop="1" thickBot="1" x14ac:dyDescent="0.35">
      <c r="A9" s="175"/>
      <c r="B9" s="95"/>
      <c r="C9" s="44"/>
      <c r="D9" s="45" t="s">
        <v>81</v>
      </c>
      <c r="E9" s="46">
        <f>E4+E5+E6+E7+E8</f>
        <v>851980.56368014496</v>
      </c>
      <c r="F9" s="102"/>
      <c r="G9" s="51"/>
      <c r="H9" s="94"/>
      <c r="I9" s="98"/>
      <c r="J9" s="32" t="s">
        <v>151</v>
      </c>
      <c r="K9" s="404">
        <v>4941</v>
      </c>
      <c r="L9" s="30"/>
      <c r="M9" s="303"/>
      <c r="N9" s="91"/>
      <c r="O9" s="91"/>
      <c r="P9" s="91"/>
      <c r="Q9" s="101"/>
      <c r="R9" s="177"/>
    </row>
    <row r="10" spans="1:25" ht="19.5" thickBot="1" x14ac:dyDescent="0.35">
      <c r="A10" s="175"/>
      <c r="B10" s="15"/>
      <c r="C10" s="15"/>
      <c r="D10" s="15"/>
      <c r="E10" s="15"/>
      <c r="F10" s="15"/>
      <c r="G10" s="51"/>
      <c r="H10" s="94"/>
      <c r="I10" s="98"/>
      <c r="J10" s="32" t="s">
        <v>152</v>
      </c>
      <c r="K10" s="323">
        <v>1648</v>
      </c>
      <c r="L10" s="30"/>
      <c r="M10" s="303"/>
      <c r="N10" s="91"/>
      <c r="O10" s="91"/>
      <c r="P10" s="91"/>
      <c r="Q10" s="101"/>
      <c r="R10" s="177"/>
    </row>
    <row r="11" spans="1:25" ht="18.75" x14ac:dyDescent="0.3">
      <c r="A11" s="175"/>
      <c r="B11" s="92"/>
      <c r="C11" s="48" t="s">
        <v>79</v>
      </c>
      <c r="D11" s="138">
        <v>0</v>
      </c>
      <c r="E11" s="141" t="s">
        <v>113</v>
      </c>
      <c r="F11" s="100"/>
      <c r="G11" s="51"/>
      <c r="H11" s="94"/>
      <c r="I11" s="98"/>
      <c r="J11" s="33" t="s">
        <v>77</v>
      </c>
      <c r="K11" s="323"/>
      <c r="L11" s="30"/>
      <c r="M11" s="303"/>
      <c r="N11" s="91"/>
      <c r="O11" s="91"/>
      <c r="P11" s="91"/>
      <c r="Q11" s="101"/>
      <c r="R11" s="177"/>
    </row>
    <row r="12" spans="1:25" ht="18.75" x14ac:dyDescent="0.3">
      <c r="A12" s="175"/>
      <c r="B12" s="94"/>
      <c r="C12" s="47" t="s">
        <v>80</v>
      </c>
      <c r="D12" s="139">
        <v>0.05</v>
      </c>
      <c r="E12" s="142" t="s">
        <v>232</v>
      </c>
      <c r="F12" s="101"/>
      <c r="G12" s="51"/>
      <c r="H12" s="94"/>
      <c r="I12" s="98"/>
      <c r="J12" s="33" t="s">
        <v>78</v>
      </c>
      <c r="K12" s="323">
        <v>3</v>
      </c>
      <c r="L12" s="30"/>
      <c r="M12" s="303"/>
      <c r="N12" s="91"/>
      <c r="O12" s="91"/>
      <c r="P12" s="91"/>
      <c r="Q12" s="101"/>
      <c r="R12" s="177"/>
    </row>
    <row r="13" spans="1:25" ht="19.5" thickBot="1" x14ac:dyDescent="0.35">
      <c r="A13" s="175"/>
      <c r="B13" s="50" t="s">
        <v>228</v>
      </c>
      <c r="C13" s="97"/>
      <c r="D13" s="97"/>
      <c r="E13" s="99"/>
      <c r="F13" s="102"/>
      <c r="G13" s="51"/>
      <c r="H13" s="94"/>
      <c r="I13" s="98"/>
      <c r="J13" s="32" t="s">
        <v>154</v>
      </c>
      <c r="K13" s="323">
        <f>63+190</f>
        <v>253</v>
      </c>
      <c r="L13" s="30"/>
      <c r="M13" s="303"/>
      <c r="N13" s="91"/>
      <c r="O13" s="91"/>
      <c r="P13" s="91"/>
      <c r="Q13" s="101"/>
      <c r="R13" s="177"/>
    </row>
    <row r="14" spans="1:25" ht="21.75" thickBot="1" x14ac:dyDescent="0.35">
      <c r="A14" s="175"/>
      <c r="B14" s="13"/>
      <c r="C14" s="13"/>
      <c r="D14" s="16"/>
      <c r="E14" s="16"/>
      <c r="F14" s="384"/>
      <c r="G14" s="51"/>
      <c r="H14" s="94"/>
      <c r="I14" s="98"/>
      <c r="J14" s="32" t="s">
        <v>155</v>
      </c>
      <c r="K14" s="323">
        <f>66+250</f>
        <v>316</v>
      </c>
      <c r="L14" s="30"/>
      <c r="M14" s="303"/>
      <c r="N14" s="91"/>
      <c r="O14" s="91"/>
      <c r="P14" s="91"/>
      <c r="Q14" s="101"/>
      <c r="R14" s="177"/>
    </row>
    <row r="15" spans="1:25" ht="21.75" thickBot="1" x14ac:dyDescent="0.35">
      <c r="A15" s="175"/>
      <c r="B15" s="111" t="s">
        <v>212</v>
      </c>
      <c r="C15" s="109"/>
      <c r="D15" s="110"/>
      <c r="E15" s="110"/>
      <c r="F15" s="385"/>
      <c r="G15" s="51"/>
      <c r="H15" s="95"/>
      <c r="I15" s="105"/>
      <c r="J15" s="35"/>
      <c r="K15" s="90"/>
      <c r="L15" s="34"/>
      <c r="M15" s="96"/>
      <c r="N15" s="96"/>
      <c r="O15" s="96"/>
      <c r="P15" s="96"/>
      <c r="Q15" s="102"/>
      <c r="R15" s="177"/>
    </row>
    <row r="16" spans="1:25" ht="16.5" customHeight="1" thickBot="1" x14ac:dyDescent="0.25">
      <c r="A16" s="175"/>
      <c r="B16" s="16"/>
      <c r="C16" s="16"/>
      <c r="D16" s="16"/>
      <c r="E16" s="448"/>
      <c r="F16" s="448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78"/>
    </row>
    <row r="17" spans="1:25" s="5" customFormat="1" ht="48" thickBot="1" x14ac:dyDescent="0.25">
      <c r="A17" s="465" t="s">
        <v>2</v>
      </c>
      <c r="B17" s="466" t="s">
        <v>10</v>
      </c>
      <c r="C17" s="466" t="s">
        <v>15</v>
      </c>
      <c r="D17" s="466" t="s">
        <v>11</v>
      </c>
      <c r="E17" s="466" t="s">
        <v>49</v>
      </c>
      <c r="F17" s="467" t="s">
        <v>1</v>
      </c>
      <c r="G17" s="467" t="s">
        <v>3</v>
      </c>
      <c r="H17" s="467" t="s">
        <v>13</v>
      </c>
      <c r="I17" s="467" t="s">
        <v>12</v>
      </c>
      <c r="J17" s="466" t="s">
        <v>0</v>
      </c>
      <c r="K17" s="466" t="s">
        <v>30</v>
      </c>
      <c r="L17" s="466" t="s">
        <v>31</v>
      </c>
      <c r="M17" s="466" t="s">
        <v>48</v>
      </c>
      <c r="N17" s="466" t="s">
        <v>23</v>
      </c>
      <c r="O17" s="466" t="s">
        <v>14</v>
      </c>
      <c r="P17" s="466" t="s">
        <v>22</v>
      </c>
      <c r="Q17" s="467" t="s">
        <v>5</v>
      </c>
      <c r="R17" s="472" t="s">
        <v>88</v>
      </c>
      <c r="S17" s="1"/>
      <c r="T17" s="4"/>
      <c r="U17" s="4"/>
      <c r="V17" s="4"/>
      <c r="W17" s="4"/>
      <c r="X17" s="252"/>
      <c r="Y17" s="4"/>
    </row>
    <row r="18" spans="1:25" s="12" customFormat="1" ht="20.100000000000001" customHeight="1" x14ac:dyDescent="0.2">
      <c r="A18" s="473"/>
      <c r="B18" s="474"/>
      <c r="C18" s="474"/>
      <c r="D18" s="474" t="s">
        <v>20</v>
      </c>
      <c r="E18" s="474"/>
      <c r="F18" s="475" t="s">
        <v>153</v>
      </c>
      <c r="G18" s="476"/>
      <c r="H18" s="477"/>
      <c r="I18" s="477"/>
      <c r="J18" s="477"/>
      <c r="K18" s="477"/>
      <c r="L18" s="477"/>
      <c r="M18" s="477"/>
      <c r="N18" s="477"/>
      <c r="O18" s="477"/>
      <c r="P18" s="477"/>
      <c r="Q18" s="477"/>
      <c r="R18" s="478">
        <f>SUM(Q19:Q66)</f>
        <v>39053.941388256368</v>
      </c>
      <c r="S18" s="1"/>
      <c r="X18" s="212"/>
    </row>
    <row r="19" spans="1:25" s="12" customFormat="1" x14ac:dyDescent="0.2">
      <c r="A19" s="191"/>
      <c r="B19" s="192"/>
      <c r="C19" s="192"/>
      <c r="D19" s="192"/>
      <c r="E19" s="192"/>
      <c r="F19" s="179"/>
      <c r="G19" s="180"/>
      <c r="H19" s="181"/>
      <c r="I19" s="182"/>
      <c r="J19" s="183"/>
      <c r="K19" s="184"/>
      <c r="L19" s="183"/>
      <c r="M19" s="185"/>
      <c r="N19" s="186"/>
      <c r="O19" s="187"/>
      <c r="P19" s="188"/>
      <c r="Q19" s="189"/>
      <c r="R19" s="190"/>
      <c r="S19" s="1"/>
      <c r="X19" s="212"/>
    </row>
    <row r="20" spans="1:25" s="12" customFormat="1" x14ac:dyDescent="0.2">
      <c r="A20" s="191"/>
      <c r="B20" s="192"/>
      <c r="C20" s="192"/>
      <c r="D20" s="192"/>
      <c r="E20" s="192"/>
      <c r="F20" s="193" t="s">
        <v>92</v>
      </c>
      <c r="G20" s="180"/>
      <c r="H20" s="181"/>
      <c r="I20" s="251"/>
      <c r="J20" s="183"/>
      <c r="K20" s="184"/>
      <c r="L20" s="194"/>
      <c r="M20" s="185"/>
      <c r="N20" s="186"/>
      <c r="O20" s="187"/>
      <c r="P20" s="188"/>
      <c r="Q20" s="189"/>
      <c r="R20" s="190"/>
      <c r="S20" s="1"/>
      <c r="X20" s="212"/>
    </row>
    <row r="21" spans="1:25" s="12" customFormat="1" x14ac:dyDescent="0.2">
      <c r="A21" s="195">
        <f>IF(J21&lt;&gt;"",1+MAX($A$18:A20),"")</f>
        <v>1</v>
      </c>
      <c r="B21" s="192"/>
      <c r="C21" s="192"/>
      <c r="D21" s="192" t="s">
        <v>20</v>
      </c>
      <c r="E21" s="192" t="s">
        <v>185</v>
      </c>
      <c r="F21" s="179" t="s">
        <v>251</v>
      </c>
      <c r="G21" s="249">
        <v>1</v>
      </c>
      <c r="H21" s="196">
        <f>IF(VLOOKUP(J21,'HOURLY RATES'!B$116:C$124,2,0)=0,$J$3,VLOOKUP(J21,'HOURLY RATES'!B$116:C$124,2,0))</f>
        <v>0</v>
      </c>
      <c r="I21" s="251">
        <f t="shared" ref="I21:I31" si="0">(G21*(1+H21))</f>
        <v>1</v>
      </c>
      <c r="J21" s="183" t="s">
        <v>18</v>
      </c>
      <c r="K21" s="184"/>
      <c r="L21" s="194">
        <f t="shared" ref="L21:L31" si="1">K21*I21</f>
        <v>0</v>
      </c>
      <c r="M21" s="185">
        <f>IF(VLOOKUP(E21,'HOURLY RATES'!C$6:D$105,2,0)=0,$E$3,VLOOKUP(E21,'HOURLY RATES'!C$6:D$105,2,0))</f>
        <v>35</v>
      </c>
      <c r="N21" s="197">
        <f t="shared" ref="N21:N31" si="2">M21*L21</f>
        <v>0</v>
      </c>
      <c r="O21" s="187"/>
      <c r="P21" s="209"/>
      <c r="Q21" s="189">
        <f t="shared" ref="Q21:Q31" si="3">P21+N21</f>
        <v>0</v>
      </c>
      <c r="R21" s="190"/>
      <c r="S21" s="1"/>
      <c r="X21" s="212"/>
    </row>
    <row r="22" spans="1:25" s="12" customFormat="1" x14ac:dyDescent="0.2">
      <c r="A22" s="195">
        <f>IF(J22&lt;&gt;"",1+MAX($A$18:A21),"")</f>
        <v>2</v>
      </c>
      <c r="B22" s="192"/>
      <c r="C22" s="192"/>
      <c r="D22" s="192" t="s">
        <v>20</v>
      </c>
      <c r="E22" s="192" t="s">
        <v>185</v>
      </c>
      <c r="F22" s="179" t="s">
        <v>148</v>
      </c>
      <c r="G22" s="249">
        <v>1</v>
      </c>
      <c r="H22" s="196">
        <f>IF(VLOOKUP(J22,'HOURLY RATES'!B$116:C$124,2,0)=0,$J$3,VLOOKUP(J22,'HOURLY RATES'!B$116:C$124,2,0))</f>
        <v>0</v>
      </c>
      <c r="I22" s="251">
        <f t="shared" si="0"/>
        <v>1</v>
      </c>
      <c r="J22" s="183" t="s">
        <v>18</v>
      </c>
      <c r="K22" s="184"/>
      <c r="L22" s="194">
        <f t="shared" si="1"/>
        <v>0</v>
      </c>
      <c r="M22" s="185">
        <f>IF(VLOOKUP(E22,'HOURLY RATES'!C$6:D$105,2,0)=0,$E$3,VLOOKUP(E22,'HOURLY RATES'!C$6:D$105,2,0))</f>
        <v>35</v>
      </c>
      <c r="N22" s="197">
        <f t="shared" si="2"/>
        <v>0</v>
      </c>
      <c r="O22" s="187"/>
      <c r="P22" s="188"/>
      <c r="Q22" s="189">
        <f t="shared" si="3"/>
        <v>0</v>
      </c>
      <c r="R22" s="190"/>
      <c r="S22" s="1"/>
      <c r="X22" s="212"/>
    </row>
    <row r="23" spans="1:25" s="12" customFormat="1" x14ac:dyDescent="0.2">
      <c r="A23" s="195">
        <f>IF(J23&lt;&gt;"",1+MAX($A$18:A22),"")</f>
        <v>3</v>
      </c>
      <c r="B23" s="192"/>
      <c r="C23" s="192"/>
      <c r="D23" s="192" t="s">
        <v>20</v>
      </c>
      <c r="E23" s="192" t="s">
        <v>185</v>
      </c>
      <c r="F23" s="179" t="s">
        <v>89</v>
      </c>
      <c r="G23" s="249">
        <v>1</v>
      </c>
      <c r="H23" s="196">
        <f>IF(VLOOKUP(J23,'HOURLY RATES'!B$116:C$124,2,0)=0,$J$3,VLOOKUP(J23,'HOURLY RATES'!B$116:C$124,2,0))</f>
        <v>0</v>
      </c>
      <c r="I23" s="251">
        <f t="shared" si="0"/>
        <v>1</v>
      </c>
      <c r="J23" s="183" t="s">
        <v>18</v>
      </c>
      <c r="K23" s="184"/>
      <c r="L23" s="194">
        <f t="shared" si="1"/>
        <v>0</v>
      </c>
      <c r="M23" s="185">
        <f>IF(VLOOKUP(E23,'HOURLY RATES'!C$6:D$105,2,0)=0,$E$3,VLOOKUP(E23,'HOURLY RATES'!C$6:D$105,2,0))</f>
        <v>35</v>
      </c>
      <c r="N23" s="197">
        <f t="shared" si="2"/>
        <v>0</v>
      </c>
      <c r="O23" s="198"/>
      <c r="P23" s="188"/>
      <c r="Q23" s="189">
        <f t="shared" si="3"/>
        <v>0</v>
      </c>
      <c r="R23" s="190"/>
      <c r="S23" s="1"/>
      <c r="X23" s="212"/>
    </row>
    <row r="24" spans="1:25" s="12" customFormat="1" x14ac:dyDescent="0.2">
      <c r="A24" s="195">
        <f>IF(J24&lt;&gt;"",1+MAX($A$18:A23),"")</f>
        <v>4</v>
      </c>
      <c r="B24" s="192"/>
      <c r="C24" s="192"/>
      <c r="D24" s="192" t="s">
        <v>20</v>
      </c>
      <c r="E24" s="192" t="s">
        <v>185</v>
      </c>
      <c r="F24" s="179" t="s">
        <v>149</v>
      </c>
      <c r="G24" s="249">
        <v>1</v>
      </c>
      <c r="H24" s="196">
        <f>IF(VLOOKUP(J24,'HOURLY RATES'!B$116:C$124,2,0)=0,$J$3,VLOOKUP(J24,'HOURLY RATES'!B$116:C$124,2,0))</f>
        <v>0</v>
      </c>
      <c r="I24" s="251">
        <f t="shared" si="0"/>
        <v>1</v>
      </c>
      <c r="J24" s="183" t="s">
        <v>18</v>
      </c>
      <c r="K24" s="184"/>
      <c r="L24" s="194">
        <f t="shared" si="1"/>
        <v>0</v>
      </c>
      <c r="M24" s="185">
        <f>IF(VLOOKUP(E24,'HOURLY RATES'!C$6:D$105,2,0)=0,$E$3,VLOOKUP(E24,'HOURLY RATES'!C$6:D$105,2,0))</f>
        <v>35</v>
      </c>
      <c r="N24" s="197">
        <f t="shared" si="2"/>
        <v>0</v>
      </c>
      <c r="O24" s="187"/>
      <c r="P24" s="188"/>
      <c r="Q24" s="189">
        <f t="shared" si="3"/>
        <v>0</v>
      </c>
      <c r="R24" s="190"/>
      <c r="S24" s="1"/>
      <c r="X24" s="212"/>
    </row>
    <row r="25" spans="1:25" s="12" customFormat="1" x14ac:dyDescent="0.2">
      <c r="A25" s="195">
        <f>IF(J25&lt;&gt;"",1+MAX($A$18:A24),"")</f>
        <v>5</v>
      </c>
      <c r="B25" s="192"/>
      <c r="C25" s="192"/>
      <c r="D25" s="192" t="s">
        <v>20</v>
      </c>
      <c r="E25" s="192" t="s">
        <v>185</v>
      </c>
      <c r="F25" s="179" t="s">
        <v>233</v>
      </c>
      <c r="G25" s="249">
        <v>1</v>
      </c>
      <c r="H25" s="196">
        <f>IF(VLOOKUP(J25,'HOURLY RATES'!B$116:C$124,2,0)=0,$J$3,VLOOKUP(J25,'HOURLY RATES'!B$116:C$124,2,0))</f>
        <v>0</v>
      </c>
      <c r="I25" s="251">
        <f t="shared" si="0"/>
        <v>1</v>
      </c>
      <c r="J25" s="183" t="s">
        <v>18</v>
      </c>
      <c r="K25" s="184"/>
      <c r="L25" s="194">
        <f t="shared" si="1"/>
        <v>0</v>
      </c>
      <c r="M25" s="185">
        <f>IF(VLOOKUP(E25,'HOURLY RATES'!C$6:D$105,2,0)=0,$E$3,VLOOKUP(E25,'HOURLY RATES'!C$6:D$105,2,0))</f>
        <v>35</v>
      </c>
      <c r="N25" s="197">
        <f t="shared" si="2"/>
        <v>0</v>
      </c>
      <c r="O25" s="187"/>
      <c r="P25" s="188"/>
      <c r="Q25" s="189">
        <f t="shared" si="3"/>
        <v>0</v>
      </c>
      <c r="R25" s="190"/>
      <c r="X25" s="212"/>
    </row>
    <row r="26" spans="1:25" s="12" customFormat="1" x14ac:dyDescent="0.2">
      <c r="A26" s="195">
        <f>IF(J26&lt;&gt;"",1+MAX($A$18:A25),"")</f>
        <v>6</v>
      </c>
      <c r="B26" s="192"/>
      <c r="C26" s="192"/>
      <c r="D26" s="192" t="s">
        <v>20</v>
      </c>
      <c r="E26" s="192" t="s">
        <v>185</v>
      </c>
      <c r="F26" s="179" t="s">
        <v>90</v>
      </c>
      <c r="G26" s="249">
        <v>1</v>
      </c>
      <c r="H26" s="196">
        <f>IF(VLOOKUP(J26,'HOURLY RATES'!B$116:C$124,2,0)=0,$J$3,VLOOKUP(J26,'HOURLY RATES'!B$116:C$124,2,0))</f>
        <v>0</v>
      </c>
      <c r="I26" s="251">
        <f t="shared" si="0"/>
        <v>1</v>
      </c>
      <c r="J26" s="183" t="s">
        <v>18</v>
      </c>
      <c r="K26" s="184"/>
      <c r="L26" s="194">
        <f t="shared" si="1"/>
        <v>0</v>
      </c>
      <c r="M26" s="185">
        <f>IF(VLOOKUP(E26,'HOURLY RATES'!C$6:D$105,2,0)=0,$E$3,VLOOKUP(E26,'HOURLY RATES'!C$6:D$105,2,0))</f>
        <v>35</v>
      </c>
      <c r="N26" s="197">
        <f t="shared" si="2"/>
        <v>0</v>
      </c>
      <c r="O26" s="187"/>
      <c r="P26" s="188"/>
      <c r="Q26" s="189">
        <f t="shared" si="3"/>
        <v>0</v>
      </c>
      <c r="R26" s="190"/>
      <c r="X26" s="212"/>
    </row>
    <row r="27" spans="1:25" s="12" customFormat="1" x14ac:dyDescent="0.2">
      <c r="A27" s="195">
        <f>IF(J27&lt;&gt;"",1+MAX($A$18:A26),"")</f>
        <v>7</v>
      </c>
      <c r="B27" s="192"/>
      <c r="C27" s="192"/>
      <c r="D27" s="192" t="s">
        <v>20</v>
      </c>
      <c r="E27" s="192" t="s">
        <v>185</v>
      </c>
      <c r="F27" s="179" t="s">
        <v>256</v>
      </c>
      <c r="G27" s="249">
        <v>1</v>
      </c>
      <c r="H27" s="196">
        <f>IF(VLOOKUP(J27,'HOURLY RATES'!B$116:C$124,2,0)=0,$J$3,VLOOKUP(J27,'HOURLY RATES'!B$116:C$124,2,0))</f>
        <v>0</v>
      </c>
      <c r="I27" s="251">
        <f t="shared" si="0"/>
        <v>1</v>
      </c>
      <c r="J27" s="183" t="s">
        <v>18</v>
      </c>
      <c r="K27" s="368">
        <v>40.379091364666742</v>
      </c>
      <c r="L27" s="194">
        <f t="shared" si="1"/>
        <v>40.379091364666742</v>
      </c>
      <c r="M27" s="185">
        <f>IF(VLOOKUP(E27,'HOURLY RATES'!C$6:D$105,2,0)=0,$E$3,VLOOKUP(E27,'HOURLY RATES'!C$6:D$105,2,0))</f>
        <v>35</v>
      </c>
      <c r="N27" s="197">
        <f t="shared" si="2"/>
        <v>1413.268197763336</v>
      </c>
      <c r="O27" s="187"/>
      <c r="P27" s="188"/>
      <c r="Q27" s="189">
        <f t="shared" si="3"/>
        <v>1413.268197763336</v>
      </c>
      <c r="R27" s="190"/>
      <c r="X27" s="212"/>
    </row>
    <row r="28" spans="1:25" s="12" customFormat="1" x14ac:dyDescent="0.2">
      <c r="A28" s="195">
        <f>IF(J28&lt;&gt;"",1+MAX($A$18:A27),"")</f>
        <v>8</v>
      </c>
      <c r="B28" s="192"/>
      <c r="C28" s="192"/>
      <c r="D28" s="192" t="s">
        <v>20</v>
      </c>
      <c r="E28" s="192" t="s">
        <v>185</v>
      </c>
      <c r="F28" s="179" t="s">
        <v>131</v>
      </c>
      <c r="G28" s="249">
        <v>1</v>
      </c>
      <c r="H28" s="196">
        <f>IF(VLOOKUP(J28,'HOURLY RATES'!B$116:C$124,2,0)=0,$J$3,VLOOKUP(J28,'HOURLY RATES'!B$116:C$124,2,0))</f>
        <v>0</v>
      </c>
      <c r="I28" s="251">
        <f t="shared" si="0"/>
        <v>1</v>
      </c>
      <c r="J28" s="183" t="s">
        <v>18</v>
      </c>
      <c r="K28" s="403"/>
      <c r="L28" s="194">
        <f t="shared" si="1"/>
        <v>0</v>
      </c>
      <c r="M28" s="185">
        <f>IF(VLOOKUP(E28,'HOURLY RATES'!C$6:D$105,2,0)=0,$E$3,VLOOKUP(E28,'HOURLY RATES'!C$6:D$105,2,0))</f>
        <v>35</v>
      </c>
      <c r="N28" s="197">
        <f t="shared" si="2"/>
        <v>0</v>
      </c>
      <c r="O28" s="198"/>
      <c r="P28" s="188"/>
      <c r="Q28" s="189">
        <f t="shared" si="3"/>
        <v>0</v>
      </c>
      <c r="R28" s="190"/>
      <c r="X28" s="212"/>
    </row>
    <row r="29" spans="1:25" s="12" customFormat="1" x14ac:dyDescent="0.2">
      <c r="A29" s="195">
        <f>IF(J29&lt;&gt;"",1+MAX($A$18:A28),"")</f>
        <v>9</v>
      </c>
      <c r="B29" s="192"/>
      <c r="C29" s="192"/>
      <c r="D29" s="192" t="s">
        <v>20</v>
      </c>
      <c r="E29" s="192" t="s">
        <v>185</v>
      </c>
      <c r="F29" s="179" t="s">
        <v>91</v>
      </c>
      <c r="G29" s="249">
        <v>1</v>
      </c>
      <c r="H29" s="196">
        <f>IF(VLOOKUP(J29,'HOURLY RATES'!B$116:C$124,2,0)=0,$J$3,VLOOKUP(J29,'HOURLY RATES'!B$116:C$124,2,0))</f>
        <v>0</v>
      </c>
      <c r="I29" s="251">
        <f t="shared" si="0"/>
        <v>1</v>
      </c>
      <c r="J29" s="183" t="s">
        <v>18</v>
      </c>
      <c r="K29" s="403"/>
      <c r="L29" s="194">
        <f t="shared" si="1"/>
        <v>0</v>
      </c>
      <c r="M29" s="185">
        <f>IF(VLOOKUP(E29,'HOURLY RATES'!C$6:D$105,2,0)=0,$E$3,VLOOKUP(E29,'HOURLY RATES'!C$6:D$105,2,0))</f>
        <v>35</v>
      </c>
      <c r="N29" s="197">
        <f t="shared" si="2"/>
        <v>0</v>
      </c>
      <c r="O29" s="187"/>
      <c r="P29" s="188"/>
      <c r="Q29" s="189">
        <f t="shared" si="3"/>
        <v>0</v>
      </c>
      <c r="R29" s="190"/>
      <c r="X29" s="212"/>
    </row>
    <row r="30" spans="1:25" s="12" customFormat="1" x14ac:dyDescent="0.2">
      <c r="A30" s="195">
        <f>IF(J30&lt;&gt;"",1+MAX($A$18:A29),"")</f>
        <v>10</v>
      </c>
      <c r="B30" s="192"/>
      <c r="C30" s="192"/>
      <c r="D30" s="192" t="s">
        <v>20</v>
      </c>
      <c r="E30" s="192" t="s">
        <v>185</v>
      </c>
      <c r="F30" s="179" t="s">
        <v>150</v>
      </c>
      <c r="G30" s="249">
        <v>1</v>
      </c>
      <c r="H30" s="196">
        <f>IF(VLOOKUP(J30,'HOURLY RATES'!B$116:C$124,2,0)=0,$J$3,VLOOKUP(J30,'HOURLY RATES'!B$116:C$124,2,0))</f>
        <v>0</v>
      </c>
      <c r="I30" s="251">
        <f t="shared" si="0"/>
        <v>1</v>
      </c>
      <c r="J30" s="183" t="s">
        <v>18</v>
      </c>
      <c r="K30" s="368"/>
      <c r="L30" s="194">
        <f t="shared" si="1"/>
        <v>0</v>
      </c>
      <c r="M30" s="185">
        <f>IF(VLOOKUP(E30,'HOURLY RATES'!C$6:D$105,2,0)=0,$E$3,VLOOKUP(E30,'HOURLY RATES'!C$6:D$105,2,0))</f>
        <v>35</v>
      </c>
      <c r="N30" s="197">
        <f t="shared" si="2"/>
        <v>0</v>
      </c>
      <c r="O30" s="198"/>
      <c r="P30" s="188"/>
      <c r="Q30" s="189">
        <f t="shared" si="3"/>
        <v>0</v>
      </c>
      <c r="R30" s="190"/>
      <c r="X30" s="212"/>
    </row>
    <row r="31" spans="1:25" s="12" customFormat="1" x14ac:dyDescent="0.2">
      <c r="A31" s="195">
        <f>IF(J31&lt;&gt;"",1+MAX($A$18:A30),"")</f>
        <v>11</v>
      </c>
      <c r="B31" s="192"/>
      <c r="C31" s="192"/>
      <c r="D31" s="192" t="s">
        <v>20</v>
      </c>
      <c r="E31" s="192" t="s">
        <v>185</v>
      </c>
      <c r="F31" s="179" t="s">
        <v>846</v>
      </c>
      <c r="G31" s="249">
        <v>1</v>
      </c>
      <c r="H31" s="196">
        <f>IF(VLOOKUP(J31,'HOURLY RATES'!B$116:C$124,2,0)=0,$J$3,VLOOKUP(J31,'HOURLY RATES'!B$116:C$124,2,0))</f>
        <v>0</v>
      </c>
      <c r="I31" s="251">
        <f t="shared" si="0"/>
        <v>1</v>
      </c>
      <c r="J31" s="183" t="s">
        <v>18</v>
      </c>
      <c r="K31" s="368">
        <v>46.285714285714285</v>
      </c>
      <c r="L31" s="194">
        <f t="shared" si="1"/>
        <v>46.285714285714285</v>
      </c>
      <c r="M31" s="185">
        <f>IF(VLOOKUP(E31,'HOURLY RATES'!C$6:D$105,2,0)=0,$E$3,VLOOKUP(E31,'HOURLY RATES'!C$6:D$105,2,0))</f>
        <v>35</v>
      </c>
      <c r="N31" s="197">
        <f t="shared" si="2"/>
        <v>1620</v>
      </c>
      <c r="O31" s="198"/>
      <c r="P31" s="188"/>
      <c r="Q31" s="189">
        <f t="shared" si="3"/>
        <v>1620</v>
      </c>
      <c r="R31" s="190"/>
      <c r="X31" s="212"/>
    </row>
    <row r="32" spans="1:25" s="12" customFormat="1" x14ac:dyDescent="0.2">
      <c r="A32" s="195" t="str">
        <f>IF(J32&lt;&gt;"",1+MAX($A$18:A31),"")</f>
        <v/>
      </c>
      <c r="B32" s="192"/>
      <c r="C32" s="192"/>
      <c r="D32" s="192"/>
      <c r="E32" s="192"/>
      <c r="F32" s="179"/>
      <c r="G32" s="249"/>
      <c r="H32" s="196"/>
      <c r="I32" s="251"/>
      <c r="J32" s="183"/>
      <c r="K32" s="368"/>
      <c r="L32" s="183"/>
      <c r="M32" s="185"/>
      <c r="N32" s="186"/>
      <c r="O32" s="198"/>
      <c r="P32" s="188"/>
      <c r="Q32" s="189"/>
      <c r="R32" s="190"/>
      <c r="X32" s="212"/>
    </row>
    <row r="33" spans="1:24" s="12" customFormat="1" x14ac:dyDescent="0.2">
      <c r="A33" s="195" t="str">
        <f>IF(J33&lt;&gt;"",1+MAX($A$18:A32),"")</f>
        <v/>
      </c>
      <c r="B33" s="192"/>
      <c r="C33" s="192"/>
      <c r="D33" s="192"/>
      <c r="E33" s="192"/>
      <c r="F33" s="193" t="s">
        <v>122</v>
      </c>
      <c r="G33" s="249"/>
      <c r="H33" s="196"/>
      <c r="I33" s="251"/>
      <c r="J33" s="183"/>
      <c r="K33" s="368"/>
      <c r="L33" s="183"/>
      <c r="M33" s="185"/>
      <c r="N33" s="186"/>
      <c r="O33" s="198"/>
      <c r="P33" s="188"/>
      <c r="Q33" s="189"/>
      <c r="R33" s="190"/>
      <c r="X33" s="212"/>
    </row>
    <row r="34" spans="1:24" s="12" customFormat="1" x14ac:dyDescent="0.2">
      <c r="A34" s="195">
        <f>IF(J34&lt;&gt;"",1+MAX($A$18:A33),"")</f>
        <v>12</v>
      </c>
      <c r="B34" s="192"/>
      <c r="C34" s="192"/>
      <c r="D34" s="192" t="s">
        <v>20</v>
      </c>
      <c r="E34" s="192" t="s">
        <v>185</v>
      </c>
      <c r="F34" s="179" t="s">
        <v>133</v>
      </c>
      <c r="G34" s="249">
        <v>1</v>
      </c>
      <c r="H34" s="196">
        <f>IF(VLOOKUP(J34,'HOURLY RATES'!B$116:C$124,2,0)=0,$J$3,VLOOKUP(J34,'HOURLY RATES'!B$116:C$124,2,0))</f>
        <v>0</v>
      </c>
      <c r="I34" s="251">
        <f>(G34*(1+H34))</f>
        <v>1</v>
      </c>
      <c r="J34" s="183" t="s">
        <v>18</v>
      </c>
      <c r="K34" s="368">
        <v>29.072945782560055</v>
      </c>
      <c r="L34" s="194">
        <f>K34*I34</f>
        <v>29.072945782560055</v>
      </c>
      <c r="M34" s="185">
        <f>IF(VLOOKUP(E34,'HOURLY RATES'!C$6:D$105,2,0)=0,$E$3,VLOOKUP(E34,'HOURLY RATES'!C$6:D$105,2,0))</f>
        <v>35</v>
      </c>
      <c r="N34" s="197">
        <f>M34*L34</f>
        <v>1017.5531023896019</v>
      </c>
      <c r="O34" s="198"/>
      <c r="P34" s="188"/>
      <c r="Q34" s="189">
        <f>P34+N34</f>
        <v>1017.5531023896019</v>
      </c>
      <c r="R34" s="190"/>
      <c r="X34" s="212"/>
    </row>
    <row r="35" spans="1:24" s="12" customFormat="1" x14ac:dyDescent="0.2">
      <c r="A35" s="195">
        <f>IF(J35&lt;&gt;"",1+MAX($A$18:A34),"")</f>
        <v>13</v>
      </c>
      <c r="B35" s="192"/>
      <c r="C35" s="192"/>
      <c r="D35" s="192" t="s">
        <v>20</v>
      </c>
      <c r="E35" s="192" t="s">
        <v>185</v>
      </c>
      <c r="F35" s="179" t="s">
        <v>134</v>
      </c>
      <c r="G35" s="249">
        <v>1</v>
      </c>
      <c r="H35" s="196">
        <f>IF(VLOOKUP(J35,'HOURLY RATES'!B$116:C$124,2,0)=0,$J$3,VLOOKUP(J35,'HOURLY RATES'!B$116:C$124,2,0))</f>
        <v>0</v>
      </c>
      <c r="I35" s="251">
        <f>(G35*(1+H35))</f>
        <v>1</v>
      </c>
      <c r="J35" s="183" t="s">
        <v>18</v>
      </c>
      <c r="K35" s="368">
        <v>25.943566201798387</v>
      </c>
      <c r="L35" s="194">
        <f>K35*I35</f>
        <v>25.943566201798387</v>
      </c>
      <c r="M35" s="185">
        <f>IF(VLOOKUP(E35,'HOURLY RATES'!C$6:D$105,2,0)=0,$E$3,VLOOKUP(E35,'HOURLY RATES'!C$6:D$105,2,0))</f>
        <v>35</v>
      </c>
      <c r="N35" s="197">
        <f>M35*L35</f>
        <v>908.0248170629435</v>
      </c>
      <c r="O35" s="198"/>
      <c r="P35" s="188"/>
      <c r="Q35" s="189">
        <f>P35+N35</f>
        <v>908.0248170629435</v>
      </c>
      <c r="R35" s="190"/>
      <c r="X35" s="212"/>
    </row>
    <row r="36" spans="1:24" s="12" customFormat="1" x14ac:dyDescent="0.2">
      <c r="A36" s="195">
        <f>IF(J36&lt;&gt;"",1+MAX($A$18:A35),"")</f>
        <v>14</v>
      </c>
      <c r="B36" s="192"/>
      <c r="C36" s="192"/>
      <c r="D36" s="192" t="s">
        <v>20</v>
      </c>
      <c r="E36" s="192" t="s">
        <v>185</v>
      </c>
      <c r="F36" s="179" t="s">
        <v>135</v>
      </c>
      <c r="G36" s="249">
        <v>1</v>
      </c>
      <c r="H36" s="196">
        <f>IF(VLOOKUP(J36,'HOURLY RATES'!B$116:C$124,2,0)=0,$J$3,VLOOKUP(J36,'HOURLY RATES'!B$116:C$124,2,0))</f>
        <v>0</v>
      </c>
      <c r="I36" s="251">
        <f>(G36*(1+H36))</f>
        <v>1</v>
      </c>
      <c r="J36" s="183" t="s">
        <v>18</v>
      </c>
      <c r="K36" s="368">
        <v>65.616023467583474</v>
      </c>
      <c r="L36" s="194">
        <f>K36*I36</f>
        <v>65.616023467583474</v>
      </c>
      <c r="M36" s="185">
        <f>IF(VLOOKUP(E36,'HOURLY RATES'!C$6:D$105,2,0)=0,$E$3,VLOOKUP(E36,'HOURLY RATES'!C$6:D$105,2,0))</f>
        <v>35</v>
      </c>
      <c r="N36" s="197">
        <f>M36*L36</f>
        <v>2296.5608213654218</v>
      </c>
      <c r="O36" s="198"/>
      <c r="P36" s="188"/>
      <c r="Q36" s="189">
        <f>P36+N36</f>
        <v>2296.5608213654218</v>
      </c>
      <c r="R36" s="190"/>
      <c r="X36" s="212"/>
    </row>
    <row r="37" spans="1:24" s="12" customFormat="1" x14ac:dyDescent="0.2">
      <c r="A37" s="195" t="str">
        <f>IF(J37&lt;&gt;"",1+MAX($A$18:A36),"")</f>
        <v/>
      </c>
      <c r="B37" s="192"/>
      <c r="C37" s="192"/>
      <c r="D37" s="192"/>
      <c r="E37" s="192"/>
      <c r="F37" s="179"/>
      <c r="G37" s="249"/>
      <c r="H37" s="196"/>
      <c r="I37" s="251"/>
      <c r="J37" s="183"/>
      <c r="K37" s="368"/>
      <c r="L37" s="194"/>
      <c r="M37" s="185"/>
      <c r="N37" s="197"/>
      <c r="O37" s="198"/>
      <c r="P37" s="188"/>
      <c r="Q37" s="189"/>
      <c r="R37" s="190"/>
      <c r="X37" s="212"/>
    </row>
    <row r="38" spans="1:24" s="12" customFormat="1" x14ac:dyDescent="0.2">
      <c r="A38" s="195" t="str">
        <f>IF(J38&lt;&gt;"",1+MAX($A$18:A37),"")</f>
        <v/>
      </c>
      <c r="B38" s="192"/>
      <c r="C38" s="192"/>
      <c r="D38" s="192"/>
      <c r="E38" s="192"/>
      <c r="F38" s="193" t="s">
        <v>97</v>
      </c>
      <c r="G38" s="249"/>
      <c r="H38" s="196"/>
      <c r="I38" s="251"/>
      <c r="J38" s="183"/>
      <c r="K38" s="368"/>
      <c r="L38" s="183"/>
      <c r="M38" s="185"/>
      <c r="N38" s="186"/>
      <c r="O38" s="198"/>
      <c r="P38" s="188"/>
      <c r="Q38" s="189"/>
      <c r="R38" s="190"/>
      <c r="X38" s="212"/>
    </row>
    <row r="39" spans="1:24" s="12" customFormat="1" x14ac:dyDescent="0.2">
      <c r="A39" s="195">
        <f>IF(J39&lt;&gt;"",1+MAX($A$18:A38),"")</f>
        <v>15</v>
      </c>
      <c r="B39" s="192"/>
      <c r="C39" s="192"/>
      <c r="D39" s="192" t="s">
        <v>20</v>
      </c>
      <c r="E39" s="192" t="s">
        <v>185</v>
      </c>
      <c r="F39" s="179" t="s">
        <v>93</v>
      </c>
      <c r="G39" s="249">
        <v>1</v>
      </c>
      <c r="H39" s="196">
        <f>IF(VLOOKUP(J39,'HOURLY RATES'!B$116:C$124,2,0)=0,$J$3,VLOOKUP(J39,'HOURLY RATES'!B$116:C$124,2,0))</f>
        <v>0</v>
      </c>
      <c r="I39" s="251">
        <f t="shared" ref="I39:I44" si="4">(G39*(1+H39))</f>
        <v>1</v>
      </c>
      <c r="J39" s="183" t="s">
        <v>18</v>
      </c>
      <c r="K39" s="368"/>
      <c r="L39" s="194">
        <f t="shared" ref="L39:L44" si="5">K39*I39</f>
        <v>0</v>
      </c>
      <c r="M39" s="185">
        <f>IF(VLOOKUP(E39,'HOURLY RATES'!C$6:D$105,2,0)=0,$E$3,VLOOKUP(E39,'HOURLY RATES'!C$6:D$105,2,0))</f>
        <v>35</v>
      </c>
      <c r="N39" s="197">
        <f t="shared" ref="N39:N44" si="6">M39*L39</f>
        <v>0</v>
      </c>
      <c r="O39" s="198"/>
      <c r="P39" s="188"/>
      <c r="Q39" s="189">
        <f t="shared" ref="Q39:Q44" si="7">P39+N39</f>
        <v>0</v>
      </c>
      <c r="R39" s="190"/>
      <c r="X39" s="212"/>
    </row>
    <row r="40" spans="1:24" s="12" customFormat="1" x14ac:dyDescent="0.2">
      <c r="A40" s="195">
        <f>IF(J40&lt;&gt;"",1+MAX($A$18:A39),"")</f>
        <v>16</v>
      </c>
      <c r="B40" s="192"/>
      <c r="C40" s="192"/>
      <c r="D40" s="192" t="s">
        <v>20</v>
      </c>
      <c r="E40" s="192" t="s">
        <v>185</v>
      </c>
      <c r="F40" s="179" t="s">
        <v>94</v>
      </c>
      <c r="G40" s="249">
        <v>1</v>
      </c>
      <c r="H40" s="196">
        <f>IF(VLOOKUP(J40,'HOURLY RATES'!B$116:C$124,2,0)=0,$J$3,VLOOKUP(J40,'HOURLY RATES'!B$116:C$124,2,0))</f>
        <v>0</v>
      </c>
      <c r="I40" s="251">
        <f t="shared" si="4"/>
        <v>1</v>
      </c>
      <c r="J40" s="183" t="s">
        <v>18</v>
      </c>
      <c r="K40" s="368"/>
      <c r="L40" s="194">
        <f t="shared" si="5"/>
        <v>0</v>
      </c>
      <c r="M40" s="185">
        <f>IF(VLOOKUP(E40,'HOURLY RATES'!C$6:D$105,2,0)=0,$E$3,VLOOKUP(E40,'HOURLY RATES'!C$6:D$105,2,0))</f>
        <v>35</v>
      </c>
      <c r="N40" s="197">
        <f t="shared" si="6"/>
        <v>0</v>
      </c>
      <c r="O40" s="198"/>
      <c r="P40" s="188"/>
      <c r="Q40" s="189">
        <f t="shared" si="7"/>
        <v>0</v>
      </c>
      <c r="R40" s="190"/>
      <c r="X40" s="212"/>
    </row>
    <row r="41" spans="1:24" s="12" customFormat="1" x14ac:dyDescent="0.2">
      <c r="A41" s="195">
        <f>IF(J41&lt;&gt;"",1+MAX($A$18:A40),"")</f>
        <v>17</v>
      </c>
      <c r="B41" s="192"/>
      <c r="C41" s="192"/>
      <c r="D41" s="192" t="s">
        <v>20</v>
      </c>
      <c r="E41" s="192" t="s">
        <v>185</v>
      </c>
      <c r="F41" s="179" t="s">
        <v>95</v>
      </c>
      <c r="G41" s="249">
        <v>1</v>
      </c>
      <c r="H41" s="196">
        <f>IF(VLOOKUP(J41,'HOURLY RATES'!B$116:C$124,2,0)=0,$J$3,VLOOKUP(J41,'HOURLY RATES'!B$116:C$124,2,0))</f>
        <v>0</v>
      </c>
      <c r="I41" s="251">
        <f t="shared" si="4"/>
        <v>1</v>
      </c>
      <c r="J41" s="183" t="s">
        <v>18</v>
      </c>
      <c r="K41" s="368"/>
      <c r="L41" s="194">
        <f t="shared" si="5"/>
        <v>0</v>
      </c>
      <c r="M41" s="185">
        <f>IF(VLOOKUP(E41,'HOURLY RATES'!C$6:D$105,2,0)=0,$E$3,VLOOKUP(E41,'HOURLY RATES'!C$6:D$105,2,0))</f>
        <v>35</v>
      </c>
      <c r="N41" s="197">
        <f t="shared" si="6"/>
        <v>0</v>
      </c>
      <c r="O41" s="187"/>
      <c r="P41" s="188"/>
      <c r="Q41" s="189">
        <f t="shared" si="7"/>
        <v>0</v>
      </c>
      <c r="R41" s="190"/>
      <c r="X41" s="212"/>
    </row>
    <row r="42" spans="1:24" s="12" customFormat="1" x14ac:dyDescent="0.2">
      <c r="A42" s="195">
        <f>IF(J42&lt;&gt;"",1+MAX($A$18:A41),"")</f>
        <v>18</v>
      </c>
      <c r="B42" s="192"/>
      <c r="C42" s="192"/>
      <c r="D42" s="192" t="s">
        <v>20</v>
      </c>
      <c r="E42" s="192" t="s">
        <v>185</v>
      </c>
      <c r="F42" s="179" t="s">
        <v>96</v>
      </c>
      <c r="G42" s="249">
        <v>1</v>
      </c>
      <c r="H42" s="196">
        <f>IF(VLOOKUP(J42,'HOURLY RATES'!B$116:C$124,2,0)=0,$J$3,VLOOKUP(J42,'HOURLY RATES'!B$116:C$124,2,0))</f>
        <v>0</v>
      </c>
      <c r="I42" s="251">
        <f t="shared" si="4"/>
        <v>1</v>
      </c>
      <c r="J42" s="183" t="s">
        <v>18</v>
      </c>
      <c r="K42" s="368"/>
      <c r="L42" s="194">
        <f t="shared" si="5"/>
        <v>0</v>
      </c>
      <c r="M42" s="185">
        <f>IF(VLOOKUP(E42,'HOURLY RATES'!C$6:D$105,2,0)=0,$E$3,VLOOKUP(E42,'HOURLY RATES'!C$6:D$105,2,0))</f>
        <v>35</v>
      </c>
      <c r="N42" s="197">
        <f t="shared" si="6"/>
        <v>0</v>
      </c>
      <c r="O42" s="187"/>
      <c r="P42" s="188"/>
      <c r="Q42" s="189">
        <f t="shared" si="7"/>
        <v>0</v>
      </c>
      <c r="R42" s="190"/>
      <c r="X42" s="212"/>
    </row>
    <row r="43" spans="1:24" s="12" customFormat="1" x14ac:dyDescent="0.2">
      <c r="A43" s="195">
        <f>IF(J43&lt;&gt;"",1+MAX($A$18:A42),"")</f>
        <v>19</v>
      </c>
      <c r="B43" s="192"/>
      <c r="C43" s="192"/>
      <c r="D43" s="192" t="s">
        <v>20</v>
      </c>
      <c r="E43" s="192" t="s">
        <v>185</v>
      </c>
      <c r="F43" s="179" t="s">
        <v>229</v>
      </c>
      <c r="G43" s="249">
        <v>1</v>
      </c>
      <c r="H43" s="196">
        <f>IF(VLOOKUP(J43,'HOURLY RATES'!B$116:C$124,2,0)=0,$J$3,VLOOKUP(J43,'HOURLY RATES'!B$116:C$124,2,0))</f>
        <v>0</v>
      </c>
      <c r="I43" s="251">
        <f t="shared" si="4"/>
        <v>1</v>
      </c>
      <c r="J43" s="183" t="s">
        <v>18</v>
      </c>
      <c r="K43" s="368"/>
      <c r="L43" s="194">
        <f t="shared" si="5"/>
        <v>0</v>
      </c>
      <c r="M43" s="185">
        <f>IF(VLOOKUP(E43,'HOURLY RATES'!C$6:D$105,2,0)=0,$E$3,VLOOKUP(E43,'HOURLY RATES'!C$6:D$105,2,0))</f>
        <v>35</v>
      </c>
      <c r="N43" s="197">
        <f t="shared" si="6"/>
        <v>0</v>
      </c>
      <c r="O43" s="187"/>
      <c r="P43" s="188"/>
      <c r="Q43" s="189">
        <f t="shared" si="7"/>
        <v>0</v>
      </c>
      <c r="R43" s="190"/>
      <c r="X43" s="212"/>
    </row>
    <row r="44" spans="1:24" s="12" customFormat="1" x14ac:dyDescent="0.2">
      <c r="A44" s="200">
        <f>IF(J44&lt;&gt;"",1+MAX($A$18:A43),"")</f>
        <v>20</v>
      </c>
      <c r="B44" s="201"/>
      <c r="C44" s="201"/>
      <c r="D44" s="192" t="s">
        <v>20</v>
      </c>
      <c r="E44" s="192" t="s">
        <v>185</v>
      </c>
      <c r="F44" s="179" t="s">
        <v>257</v>
      </c>
      <c r="G44" s="249">
        <v>1</v>
      </c>
      <c r="H44" s="196">
        <f>IF(VLOOKUP(J44,'HOURLY RATES'!B$116:C$124,2,0)=0,$J$3,VLOOKUP(J44,'HOURLY RATES'!B$116:C$124,2,0))</f>
        <v>0</v>
      </c>
      <c r="I44" s="251">
        <f t="shared" si="4"/>
        <v>1</v>
      </c>
      <c r="J44" s="183" t="s">
        <v>18</v>
      </c>
      <c r="K44" s="368">
        <v>403.79091364666749</v>
      </c>
      <c r="L44" s="202">
        <f t="shared" si="5"/>
        <v>403.79091364666749</v>
      </c>
      <c r="M44" s="185">
        <f>IF(VLOOKUP(E44,'HOURLY RATES'!C$6:D$105,2,0)=0,$E$3,VLOOKUP(E44,'HOURLY RATES'!C$6:D$105,2,0))</f>
        <v>35</v>
      </c>
      <c r="N44" s="203">
        <f t="shared" si="6"/>
        <v>14132.681977633361</v>
      </c>
      <c r="O44" s="204"/>
      <c r="P44" s="205"/>
      <c r="Q44" s="206">
        <f t="shared" si="7"/>
        <v>14132.681977633361</v>
      </c>
      <c r="R44" s="190"/>
      <c r="X44" s="212"/>
    </row>
    <row r="45" spans="1:24" s="12" customFormat="1" x14ac:dyDescent="0.2">
      <c r="A45" s="195" t="str">
        <f>IF(J45&lt;&gt;"",1+MAX($A$18:A44),"")</f>
        <v/>
      </c>
      <c r="B45" s="192"/>
      <c r="C45" s="192"/>
      <c r="D45" s="192"/>
      <c r="E45" s="192"/>
      <c r="F45" s="179"/>
      <c r="G45" s="249"/>
      <c r="H45" s="196"/>
      <c r="I45" s="251"/>
      <c r="J45" s="183"/>
      <c r="K45" s="368"/>
      <c r="L45" s="183"/>
      <c r="M45" s="185"/>
      <c r="N45" s="197"/>
      <c r="O45" s="187"/>
      <c r="P45" s="188"/>
      <c r="Q45" s="189"/>
      <c r="R45" s="190"/>
      <c r="X45" s="212"/>
    </row>
    <row r="46" spans="1:24" s="12" customFormat="1" x14ac:dyDescent="0.2">
      <c r="A46" s="195" t="str">
        <f>IF(J46&lt;&gt;"",1+MAX($A$18:A45),"")</f>
        <v/>
      </c>
      <c r="B46" s="192"/>
      <c r="C46" s="192"/>
      <c r="D46" s="192"/>
      <c r="E46" s="192"/>
      <c r="F46" s="193" t="s">
        <v>98</v>
      </c>
      <c r="G46" s="249"/>
      <c r="H46" s="196"/>
      <c r="I46" s="251"/>
      <c r="J46" s="183"/>
      <c r="K46" s="368"/>
      <c r="L46" s="183"/>
      <c r="M46" s="185"/>
      <c r="N46" s="197"/>
      <c r="O46" s="187"/>
      <c r="P46" s="188"/>
      <c r="Q46" s="189"/>
      <c r="R46" s="190"/>
      <c r="X46" s="212"/>
    </row>
    <row r="47" spans="1:24" s="12" customFormat="1" x14ac:dyDescent="0.2">
      <c r="A47" s="195">
        <f>IF(J47&lt;&gt;"",1+MAX($A$18:A46),"")</f>
        <v>21</v>
      </c>
      <c r="B47" s="192"/>
      <c r="C47" s="192"/>
      <c r="D47" s="192" t="s">
        <v>20</v>
      </c>
      <c r="E47" s="192" t="s">
        <v>185</v>
      </c>
      <c r="F47" s="179" t="s">
        <v>99</v>
      </c>
      <c r="G47" s="249">
        <v>1</v>
      </c>
      <c r="H47" s="196">
        <f>IF(VLOOKUP(J47,'HOURLY RATES'!B$116:C$124,2,0)=0,$J$3,VLOOKUP(J47,'HOURLY RATES'!B$116:C$124,2,0))</f>
        <v>0</v>
      </c>
      <c r="I47" s="251">
        <f>(G47*(1+H47))</f>
        <v>1</v>
      </c>
      <c r="J47" s="183" t="s">
        <v>18</v>
      </c>
      <c r="K47" s="368"/>
      <c r="L47" s="194">
        <f>K47*I47</f>
        <v>0</v>
      </c>
      <c r="M47" s="185">
        <f>IF(VLOOKUP(E47,'HOURLY RATES'!C$6:D$105,2,0)=0,$E$3,VLOOKUP(E47,'HOURLY RATES'!C$6:D$105,2,0))</f>
        <v>35</v>
      </c>
      <c r="N47" s="197">
        <f>M47*L47</f>
        <v>0</v>
      </c>
      <c r="O47" s="187"/>
      <c r="P47" s="188"/>
      <c r="Q47" s="189">
        <f>P47+N47</f>
        <v>0</v>
      </c>
      <c r="R47" s="190"/>
      <c r="X47" s="212"/>
    </row>
    <row r="48" spans="1:24" s="12" customFormat="1" x14ac:dyDescent="0.2">
      <c r="A48" s="195">
        <f>IF(J48&lt;&gt;"",1+MAX($A$18:A47),"")</f>
        <v>22</v>
      </c>
      <c r="B48" s="192"/>
      <c r="C48" s="192"/>
      <c r="D48" s="192" t="s">
        <v>20</v>
      </c>
      <c r="E48" s="192" t="s">
        <v>185</v>
      </c>
      <c r="F48" s="179" t="s">
        <v>100</v>
      </c>
      <c r="G48" s="249">
        <v>1</v>
      </c>
      <c r="H48" s="196">
        <f>IF(VLOOKUP(J48,'HOURLY RATES'!B$116:C$124,2,0)=0,$J$3,VLOOKUP(J48,'HOURLY RATES'!B$116:C$124,2,0))</f>
        <v>0</v>
      </c>
      <c r="I48" s="251">
        <f>(G48*(1+H48))</f>
        <v>1</v>
      </c>
      <c r="J48" s="183" t="s">
        <v>18</v>
      </c>
      <c r="K48" s="368"/>
      <c r="L48" s="194">
        <f>K48*I48</f>
        <v>0</v>
      </c>
      <c r="M48" s="185">
        <f>IF(VLOOKUP(E48,'HOURLY RATES'!C$6:D$105,2,0)=0,$E$3,VLOOKUP(E48,'HOURLY RATES'!C$6:D$105,2,0))</f>
        <v>35</v>
      </c>
      <c r="N48" s="197">
        <f>M48*L48</f>
        <v>0</v>
      </c>
      <c r="O48" s="187"/>
      <c r="P48" s="188"/>
      <c r="Q48" s="189">
        <f>P48+N48</f>
        <v>0</v>
      </c>
      <c r="R48" s="190"/>
      <c r="X48" s="212"/>
    </row>
    <row r="49" spans="1:24" s="12" customFormat="1" x14ac:dyDescent="0.2">
      <c r="A49" s="195">
        <f>IF(J49&lt;&gt;"",1+MAX($A$18:A48),"")</f>
        <v>23</v>
      </c>
      <c r="B49" s="192"/>
      <c r="C49" s="192"/>
      <c r="D49" s="192" t="s">
        <v>20</v>
      </c>
      <c r="E49" s="192" t="s">
        <v>185</v>
      </c>
      <c r="F49" s="179" t="s">
        <v>136</v>
      </c>
      <c r="G49" s="249">
        <v>1</v>
      </c>
      <c r="H49" s="196">
        <f>IF(VLOOKUP(J49,'HOURLY RATES'!B$116:C$124,2,0)=0,$J$3,VLOOKUP(J49,'HOURLY RATES'!B$116:C$124,2,0))</f>
        <v>0</v>
      </c>
      <c r="I49" s="251">
        <f>(G49*(1+H49))</f>
        <v>1</v>
      </c>
      <c r="J49" s="183" t="s">
        <v>18</v>
      </c>
      <c r="K49" s="368"/>
      <c r="L49" s="194">
        <f>K49*I49</f>
        <v>0</v>
      </c>
      <c r="M49" s="185">
        <f>IF(VLOOKUP(E49,'HOURLY RATES'!C$6:D$105,2,0)=0,$E$3,VLOOKUP(E49,'HOURLY RATES'!C$6:D$105,2,0))</f>
        <v>35</v>
      </c>
      <c r="N49" s="197">
        <f>M49*L49</f>
        <v>0</v>
      </c>
      <c r="O49" s="187"/>
      <c r="P49" s="188"/>
      <c r="Q49" s="189">
        <f>P49+N49</f>
        <v>0</v>
      </c>
      <c r="R49" s="190"/>
      <c r="X49" s="212"/>
    </row>
    <row r="50" spans="1:24" s="12" customFormat="1" x14ac:dyDescent="0.2">
      <c r="A50" s="195">
        <f>IF(J50&lt;&gt;"",1+MAX($A$18:A49),"")</f>
        <v>24</v>
      </c>
      <c r="B50" s="192"/>
      <c r="C50" s="192"/>
      <c r="D50" s="192" t="s">
        <v>20</v>
      </c>
      <c r="E50" s="192" t="s">
        <v>185</v>
      </c>
      <c r="F50" s="179" t="s">
        <v>101</v>
      </c>
      <c r="G50" s="249">
        <v>1</v>
      </c>
      <c r="H50" s="196">
        <f>IF(VLOOKUP(J50,'HOURLY RATES'!B$116:C$124,2,0)=0,$J$3,VLOOKUP(J50,'HOURLY RATES'!B$116:C$124,2,0))</f>
        <v>0</v>
      </c>
      <c r="I50" s="251">
        <f>(G50*(1+H50))</f>
        <v>1</v>
      </c>
      <c r="J50" s="183" t="s">
        <v>18</v>
      </c>
      <c r="K50" s="368"/>
      <c r="L50" s="194">
        <f>K50*I50</f>
        <v>0</v>
      </c>
      <c r="M50" s="185">
        <f>IF(VLOOKUP(E50,'HOURLY RATES'!C$6:D$105,2,0)=0,$E$3,VLOOKUP(E50,'HOURLY RATES'!C$6:D$105,2,0))</f>
        <v>35</v>
      </c>
      <c r="N50" s="197">
        <f>M50*L50</f>
        <v>0</v>
      </c>
      <c r="O50" s="187"/>
      <c r="P50" s="188"/>
      <c r="Q50" s="189">
        <f>P50+N50</f>
        <v>0</v>
      </c>
      <c r="R50" s="190"/>
      <c r="X50" s="212"/>
    </row>
    <row r="51" spans="1:24" s="12" customFormat="1" x14ac:dyDescent="0.2">
      <c r="A51" s="195">
        <f>IF(J51&lt;&gt;"",1+MAX($A$18:A50),"")</f>
        <v>25</v>
      </c>
      <c r="B51" s="192"/>
      <c r="C51" s="192"/>
      <c r="D51" s="192" t="s">
        <v>20</v>
      </c>
      <c r="E51" s="192" t="s">
        <v>185</v>
      </c>
      <c r="F51" s="179" t="s">
        <v>102</v>
      </c>
      <c r="G51" s="249">
        <v>1</v>
      </c>
      <c r="H51" s="196">
        <f>IF(VLOOKUP(J51,'HOURLY RATES'!B$116:C$124,2,0)=0,$J$3,VLOOKUP(J51,'HOURLY RATES'!B$116:C$124,2,0))</f>
        <v>0</v>
      </c>
      <c r="I51" s="251">
        <f>(G51*(1+H51))</f>
        <v>1</v>
      </c>
      <c r="J51" s="183" t="s">
        <v>18</v>
      </c>
      <c r="K51" s="368"/>
      <c r="L51" s="194">
        <f>K51*I51</f>
        <v>0</v>
      </c>
      <c r="M51" s="185">
        <f>IF(VLOOKUP(E51,'HOURLY RATES'!C$6:D$105,2,0)=0,$E$3,VLOOKUP(E51,'HOURLY RATES'!C$6:D$105,2,0))</f>
        <v>35</v>
      </c>
      <c r="N51" s="197">
        <f>M51*L51</f>
        <v>0</v>
      </c>
      <c r="O51" s="187"/>
      <c r="P51" s="188"/>
      <c r="Q51" s="189">
        <f>P51+N51</f>
        <v>0</v>
      </c>
      <c r="R51" s="190"/>
      <c r="X51" s="212"/>
    </row>
    <row r="52" spans="1:24" s="12" customFormat="1" x14ac:dyDescent="0.2">
      <c r="A52" s="195" t="str">
        <f>IF(J52&lt;&gt;"",1+MAX($A$18:A51),"")</f>
        <v/>
      </c>
      <c r="B52" s="192"/>
      <c r="C52" s="192"/>
      <c r="D52" s="192"/>
      <c r="E52" s="192"/>
      <c r="F52" s="179"/>
      <c r="G52" s="249"/>
      <c r="H52" s="196"/>
      <c r="I52" s="251"/>
      <c r="J52" s="183"/>
      <c r="K52" s="368"/>
      <c r="L52" s="183"/>
      <c r="M52" s="185"/>
      <c r="N52" s="197"/>
      <c r="O52" s="187"/>
      <c r="P52" s="188"/>
      <c r="Q52" s="189"/>
      <c r="R52" s="190"/>
      <c r="X52" s="212"/>
    </row>
    <row r="53" spans="1:24" s="12" customFormat="1" x14ac:dyDescent="0.2">
      <c r="A53" s="195" t="str">
        <f>IF(J53&lt;&gt;"",1+MAX($A$18:A52),"")</f>
        <v/>
      </c>
      <c r="B53" s="192"/>
      <c r="C53" s="192"/>
      <c r="D53" s="192"/>
      <c r="E53" s="192"/>
      <c r="F53" s="193" t="s">
        <v>105</v>
      </c>
      <c r="G53" s="250"/>
      <c r="H53" s="196"/>
      <c r="I53" s="251"/>
      <c r="J53" s="183"/>
      <c r="K53" s="368"/>
      <c r="L53" s="183"/>
      <c r="M53" s="185"/>
      <c r="N53" s="197"/>
      <c r="O53" s="187"/>
      <c r="P53" s="188"/>
      <c r="Q53" s="189"/>
      <c r="R53" s="190"/>
      <c r="X53" s="212"/>
    </row>
    <row r="54" spans="1:24" s="12" customFormat="1" x14ac:dyDescent="0.2">
      <c r="A54" s="195">
        <f>IF(J54&lt;&gt;"",1+MAX($A$18:A53),"")</f>
        <v>26</v>
      </c>
      <c r="B54" s="192"/>
      <c r="C54" s="192"/>
      <c r="D54" s="192" t="s">
        <v>20</v>
      </c>
      <c r="E54" s="192" t="s">
        <v>185</v>
      </c>
      <c r="F54" s="179" t="s">
        <v>103</v>
      </c>
      <c r="G54" s="249">
        <v>1</v>
      </c>
      <c r="H54" s="196">
        <f>IF(VLOOKUP(J54,'HOURLY RATES'!B$116:C$124,2,0)=0,$J$3,VLOOKUP(J54,'HOURLY RATES'!B$116:C$124,2,0))</f>
        <v>0</v>
      </c>
      <c r="I54" s="251">
        <f>(G54*(1+H54))</f>
        <v>1</v>
      </c>
      <c r="J54" s="183" t="s">
        <v>18</v>
      </c>
      <c r="K54" s="368"/>
      <c r="L54" s="194">
        <f>K54*I54</f>
        <v>0</v>
      </c>
      <c r="M54" s="185">
        <f>IF(VLOOKUP(E54,'HOURLY RATES'!C$6:D$105,2,0)=0,$E$3,VLOOKUP(E54,'HOURLY RATES'!C$6:D$105,2,0))</f>
        <v>35</v>
      </c>
      <c r="N54" s="197">
        <f>M54*L54</f>
        <v>0</v>
      </c>
      <c r="O54" s="187"/>
      <c r="P54" s="188"/>
      <c r="Q54" s="189">
        <f>P54+N54</f>
        <v>0</v>
      </c>
      <c r="R54" s="190"/>
      <c r="X54" s="212"/>
    </row>
    <row r="55" spans="1:24" s="12" customFormat="1" x14ac:dyDescent="0.2">
      <c r="A55" s="195">
        <f>IF(J55&lt;&gt;"",1+MAX($A$18:A54),"")</f>
        <v>27</v>
      </c>
      <c r="B55" s="192"/>
      <c r="C55" s="192"/>
      <c r="D55" s="192" t="s">
        <v>20</v>
      </c>
      <c r="E55" s="192" t="s">
        <v>185</v>
      </c>
      <c r="F55" s="179" t="s">
        <v>71</v>
      </c>
      <c r="G55" s="249">
        <v>1</v>
      </c>
      <c r="H55" s="196">
        <f>IF(VLOOKUP(J55,'HOURLY RATES'!B$116:C$124,2,0)=0,$J$3,VLOOKUP(J55,'HOURLY RATES'!B$116:C$124,2,0))</f>
        <v>0</v>
      </c>
      <c r="I55" s="251">
        <f>(G55*(1+H55))</f>
        <v>1</v>
      </c>
      <c r="J55" s="183" t="s">
        <v>18</v>
      </c>
      <c r="K55" s="368"/>
      <c r="L55" s="194">
        <f>K55*I55</f>
        <v>0</v>
      </c>
      <c r="M55" s="185">
        <f>IF(VLOOKUP(E55,'HOURLY RATES'!C$6:D$105,2,0)=0,$E$3,VLOOKUP(E55,'HOURLY RATES'!C$6:D$105,2,0))</f>
        <v>35</v>
      </c>
      <c r="N55" s="197">
        <f>M55*L55</f>
        <v>0</v>
      </c>
      <c r="O55" s="187"/>
      <c r="P55" s="188"/>
      <c r="Q55" s="189">
        <f>P55+N55</f>
        <v>0</v>
      </c>
      <c r="R55" s="190"/>
      <c r="X55" s="212"/>
    </row>
    <row r="56" spans="1:24" s="12" customFormat="1" x14ac:dyDescent="0.2">
      <c r="A56" s="195">
        <f>IF(J56&lt;&gt;"",1+MAX($A$18:A55),"")</f>
        <v>28</v>
      </c>
      <c r="B56" s="192"/>
      <c r="C56" s="192"/>
      <c r="D56" s="192" t="s">
        <v>20</v>
      </c>
      <c r="E56" s="192" t="s">
        <v>185</v>
      </c>
      <c r="F56" s="179" t="s">
        <v>179</v>
      </c>
      <c r="G56" s="249">
        <v>1</v>
      </c>
      <c r="H56" s="196">
        <f>IF(VLOOKUP(J56,'HOURLY RATES'!B$116:C$124,2,0)=0,$J$3,VLOOKUP(J56,'HOURLY RATES'!B$116:C$124,2,0))</f>
        <v>0</v>
      </c>
      <c r="I56" s="251">
        <f>(G56*(1+H56))</f>
        <v>1</v>
      </c>
      <c r="J56" s="183" t="s">
        <v>18</v>
      </c>
      <c r="K56" s="368"/>
      <c r="L56" s="194">
        <f>K56*I56</f>
        <v>0</v>
      </c>
      <c r="M56" s="185">
        <f>IF(VLOOKUP(E56,'HOURLY RATES'!C$6:D$105,2,0)=0,$E$3,VLOOKUP(E56,'HOURLY RATES'!C$6:D$105,2,0))</f>
        <v>35</v>
      </c>
      <c r="N56" s="197">
        <f>M56*L56</f>
        <v>0</v>
      </c>
      <c r="O56" s="187"/>
      <c r="P56" s="188"/>
      <c r="Q56" s="189">
        <f>P56+N56</f>
        <v>0</v>
      </c>
      <c r="R56" s="190"/>
      <c r="X56" s="212"/>
    </row>
    <row r="57" spans="1:24" s="12" customFormat="1" x14ac:dyDescent="0.2">
      <c r="A57" s="195">
        <f>IF(J57&lt;&gt;"",1+MAX($A$18:A56),"")</f>
        <v>29</v>
      </c>
      <c r="B57" s="192"/>
      <c r="C57" s="192"/>
      <c r="D57" s="192" t="s">
        <v>20</v>
      </c>
      <c r="E57" s="192" t="s">
        <v>185</v>
      </c>
      <c r="F57" s="179" t="s">
        <v>104</v>
      </c>
      <c r="G57" s="249">
        <v>1</v>
      </c>
      <c r="H57" s="196">
        <f>IF(VLOOKUP(J57,'HOURLY RATES'!B$116:C$124,2,0)=0,$J$3,VLOOKUP(J57,'HOURLY RATES'!B$116:C$124,2,0))</f>
        <v>0</v>
      </c>
      <c r="I57" s="251">
        <f>(G57*(1+H57))</f>
        <v>1</v>
      </c>
      <c r="J57" s="183" t="s">
        <v>18</v>
      </c>
      <c r="K57" s="368"/>
      <c r="L57" s="194">
        <f>K57*I57</f>
        <v>0</v>
      </c>
      <c r="M57" s="185">
        <f>IF(VLOOKUP(E57,'HOURLY RATES'!C$6:D$105,2,0)=0,$E$3,VLOOKUP(E57,'HOURLY RATES'!C$6:D$105,2,0))</f>
        <v>35</v>
      </c>
      <c r="N57" s="197">
        <f>M57*L57</f>
        <v>0</v>
      </c>
      <c r="O57" s="187"/>
      <c r="P57" s="188"/>
      <c r="Q57" s="189">
        <f>P57+N57</f>
        <v>0</v>
      </c>
      <c r="R57" s="190"/>
      <c r="X57" s="212"/>
    </row>
    <row r="58" spans="1:24" s="12" customFormat="1" x14ac:dyDescent="0.2">
      <c r="A58" s="195" t="str">
        <f>IF(J58&lt;&gt;"",1+MAX($A$18:A57),"")</f>
        <v/>
      </c>
      <c r="B58" s="192"/>
      <c r="C58" s="192"/>
      <c r="D58" s="192"/>
      <c r="E58" s="192"/>
      <c r="F58" s="179"/>
      <c r="G58" s="249"/>
      <c r="H58" s="196"/>
      <c r="I58" s="251"/>
      <c r="J58" s="183"/>
      <c r="K58" s="368"/>
      <c r="L58" s="183"/>
      <c r="M58" s="185"/>
      <c r="N58" s="197"/>
      <c r="O58" s="187"/>
      <c r="P58" s="188"/>
      <c r="Q58" s="189"/>
      <c r="R58" s="190"/>
      <c r="X58" s="212"/>
    </row>
    <row r="59" spans="1:24" s="12" customFormat="1" x14ac:dyDescent="0.2">
      <c r="A59" s="195" t="str">
        <f>IF(J59&lt;&gt;"",1+MAX($A$18:A58),"")</f>
        <v/>
      </c>
      <c r="B59" s="192"/>
      <c r="C59" s="192"/>
      <c r="D59" s="192"/>
      <c r="E59" s="192"/>
      <c r="F59" s="193" t="s">
        <v>109</v>
      </c>
      <c r="G59" s="249"/>
      <c r="H59" s="196"/>
      <c r="I59" s="251"/>
      <c r="J59" s="183"/>
      <c r="K59" s="368"/>
      <c r="L59" s="183"/>
      <c r="M59" s="185"/>
      <c r="N59" s="197"/>
      <c r="O59" s="187"/>
      <c r="P59" s="188"/>
      <c r="Q59" s="189"/>
      <c r="R59" s="190"/>
      <c r="X59" s="212"/>
    </row>
    <row r="60" spans="1:24" s="12" customFormat="1" x14ac:dyDescent="0.2">
      <c r="A60" s="195">
        <f>IF(J60&lt;&gt;"",1+MAX($A$18:A59),"")</f>
        <v>30</v>
      </c>
      <c r="B60" s="192"/>
      <c r="C60" s="192"/>
      <c r="D60" s="192" t="s">
        <v>20</v>
      </c>
      <c r="E60" s="192" t="s">
        <v>185</v>
      </c>
      <c r="F60" s="179" t="s">
        <v>106</v>
      </c>
      <c r="G60" s="249">
        <v>1</v>
      </c>
      <c r="H60" s="196">
        <f>IF(VLOOKUP(J60,'HOURLY RATES'!B$116:C$124,2,0)=0,$J$3,VLOOKUP(J60,'HOURLY RATES'!B$116:C$124,2,0))</f>
        <v>0</v>
      </c>
      <c r="I60" s="251">
        <f>(G60*(1+H60))</f>
        <v>1</v>
      </c>
      <c r="J60" s="183" t="s">
        <v>18</v>
      </c>
      <c r="K60" s="368"/>
      <c r="L60" s="194">
        <f>K60*I60</f>
        <v>0</v>
      </c>
      <c r="M60" s="185">
        <f>IF(VLOOKUP(E60,'HOURLY RATES'!C$6:D$105,2,0)=0,$E$3,VLOOKUP(E60,'HOURLY RATES'!C$6:D$105,2,0))</f>
        <v>35</v>
      </c>
      <c r="N60" s="197">
        <f>M60*L60</f>
        <v>0</v>
      </c>
      <c r="O60" s="187"/>
      <c r="P60" s="188"/>
      <c r="Q60" s="189">
        <f>P60+N60</f>
        <v>0</v>
      </c>
      <c r="R60" s="190"/>
      <c r="X60" s="212"/>
    </row>
    <row r="61" spans="1:24" s="12" customFormat="1" x14ac:dyDescent="0.2">
      <c r="A61" s="195">
        <f>IF(J61&lt;&gt;"",1+MAX($A$18:A60),"")</f>
        <v>31</v>
      </c>
      <c r="B61" s="192"/>
      <c r="C61" s="192"/>
      <c r="D61" s="192" t="s">
        <v>20</v>
      </c>
      <c r="E61" s="192" t="s">
        <v>185</v>
      </c>
      <c r="F61" s="179" t="s">
        <v>107</v>
      </c>
      <c r="G61" s="249">
        <v>1</v>
      </c>
      <c r="H61" s="196">
        <f>IF(VLOOKUP(J61,'HOURLY RATES'!B$116:C$124,2,0)=0,$J$3,VLOOKUP(J61,'HOURLY RATES'!B$116:C$124,2,0))</f>
        <v>0</v>
      </c>
      <c r="I61" s="251">
        <f>(G61*(1+H61))</f>
        <v>1</v>
      </c>
      <c r="J61" s="183" t="s">
        <v>18</v>
      </c>
      <c r="K61" s="368"/>
      <c r="L61" s="194">
        <f>K61*I61</f>
        <v>0</v>
      </c>
      <c r="M61" s="185">
        <f>IF(VLOOKUP(E61,'HOURLY RATES'!C$6:D$105,2,0)=0,$E$3,VLOOKUP(E61,'HOURLY RATES'!C$6:D$105,2,0))</f>
        <v>35</v>
      </c>
      <c r="N61" s="197">
        <f>M61*L61</f>
        <v>0</v>
      </c>
      <c r="O61" s="187"/>
      <c r="P61" s="188"/>
      <c r="Q61" s="189">
        <f>P61+N61</f>
        <v>0</v>
      </c>
      <c r="R61" s="190"/>
      <c r="X61" s="212"/>
    </row>
    <row r="62" spans="1:24" s="12" customFormat="1" x14ac:dyDescent="0.2">
      <c r="A62" s="195">
        <f>IF(J62&lt;&gt;"",1+MAX($A$18:A61),"")</f>
        <v>32</v>
      </c>
      <c r="B62" s="192"/>
      <c r="C62" s="192"/>
      <c r="D62" s="192" t="s">
        <v>20</v>
      </c>
      <c r="E62" s="192" t="s">
        <v>185</v>
      </c>
      <c r="F62" s="179" t="s">
        <v>108</v>
      </c>
      <c r="G62" s="249">
        <v>1</v>
      </c>
      <c r="H62" s="196">
        <f>IF(VLOOKUP(J62,'HOURLY RATES'!B$116:C$124,2,0)=0,$J$3,VLOOKUP(J62,'HOURLY RATES'!B$116:C$124,2,0))</f>
        <v>0</v>
      </c>
      <c r="I62" s="251">
        <f>(G62*(1+H62))</f>
        <v>1</v>
      </c>
      <c r="J62" s="183" t="s">
        <v>18</v>
      </c>
      <c r="K62" s="368"/>
      <c r="L62" s="194">
        <f>K62*I62</f>
        <v>0</v>
      </c>
      <c r="M62" s="185">
        <f>IF(VLOOKUP(E62,'HOURLY RATES'!C$6:D$105,2,0)=0,$E$3,VLOOKUP(E62,'HOURLY RATES'!C$6:D$105,2,0))</f>
        <v>35</v>
      </c>
      <c r="N62" s="197">
        <f>M62*L62</f>
        <v>0</v>
      </c>
      <c r="O62" s="187"/>
      <c r="P62" s="188"/>
      <c r="Q62" s="189">
        <f>P62+N62</f>
        <v>0</v>
      </c>
      <c r="R62" s="190"/>
      <c r="X62" s="212"/>
    </row>
    <row r="63" spans="1:24" s="12" customFormat="1" x14ac:dyDescent="0.2">
      <c r="A63" s="195" t="str">
        <f>IF(J63&lt;&gt;"",1+MAX($A$18:A62),"")</f>
        <v/>
      </c>
      <c r="B63" s="192"/>
      <c r="C63" s="192"/>
      <c r="D63" s="192"/>
      <c r="E63" s="192"/>
      <c r="F63" s="179"/>
      <c r="G63" s="249"/>
      <c r="H63" s="196"/>
      <c r="I63" s="251"/>
      <c r="J63" s="183"/>
      <c r="K63" s="368"/>
      <c r="L63" s="183"/>
      <c r="M63" s="185"/>
      <c r="N63" s="197"/>
      <c r="O63" s="187"/>
      <c r="P63" s="188"/>
      <c r="Q63" s="189"/>
      <c r="R63" s="190"/>
      <c r="X63" s="212"/>
    </row>
    <row r="64" spans="1:24" s="12" customFormat="1" x14ac:dyDescent="0.2">
      <c r="A64" s="195" t="str">
        <f>IF(J64&lt;&gt;"",1+MAX($A$18:A63),"")</f>
        <v/>
      </c>
      <c r="B64" s="300"/>
      <c r="C64" s="300"/>
      <c r="D64" s="192"/>
      <c r="E64" s="192"/>
      <c r="F64" s="193" t="s">
        <v>258</v>
      </c>
      <c r="G64" s="249"/>
      <c r="H64" s="196"/>
      <c r="I64" s="251"/>
      <c r="J64" s="183"/>
      <c r="K64" s="368"/>
      <c r="L64" s="194"/>
      <c r="M64" s="185"/>
      <c r="N64" s="197"/>
      <c r="O64" s="187"/>
      <c r="P64" s="188"/>
      <c r="Q64" s="189"/>
      <c r="R64" s="190"/>
      <c r="X64" s="212"/>
    </row>
    <row r="65" spans="1:24" s="12" customFormat="1" x14ac:dyDescent="0.2">
      <c r="A65" s="195">
        <f>IF(J65&lt;&gt;"",1+MAX($A$18:A64),"")</f>
        <v>33</v>
      </c>
      <c r="B65" s="300"/>
      <c r="C65" s="300"/>
      <c r="D65" s="192" t="s">
        <v>20</v>
      </c>
      <c r="E65" s="192" t="s">
        <v>185</v>
      </c>
      <c r="F65" s="179" t="s">
        <v>258</v>
      </c>
      <c r="G65" s="249">
        <v>1</v>
      </c>
      <c r="H65" s="196">
        <f>IF(VLOOKUP(J65,'HOURLY RATES'!B$116:C$124,2,0)=0,$J$3,VLOOKUP(J65,'HOURLY RATES'!B$116:C$124,2,0))</f>
        <v>0</v>
      </c>
      <c r="I65" s="251">
        <f>(G65*(1+H65))</f>
        <v>1</v>
      </c>
      <c r="J65" s="183" t="s">
        <v>18</v>
      </c>
      <c r="K65" s="368">
        <v>504.73864205833434</v>
      </c>
      <c r="L65" s="194">
        <f>K65*I65</f>
        <v>504.73864205833434</v>
      </c>
      <c r="M65" s="185">
        <f>IF(VLOOKUP(E65,'HOURLY RATES'!C$6:D$105,2,0)=0,$E$3,VLOOKUP(E65,'HOURLY RATES'!C$6:D$105,2,0))</f>
        <v>35</v>
      </c>
      <c r="N65" s="197">
        <f>M65*L65</f>
        <v>17665.852472041701</v>
      </c>
      <c r="O65" s="187"/>
      <c r="P65" s="188"/>
      <c r="Q65" s="189">
        <f>P65+N65</f>
        <v>17665.852472041701</v>
      </c>
      <c r="R65" s="190"/>
      <c r="X65" s="212"/>
    </row>
    <row r="66" spans="1:24" s="12" customFormat="1" ht="16.5" thickBot="1" x14ac:dyDescent="0.25">
      <c r="A66" s="214" t="str">
        <f>IF(J66&lt;&gt;"",1+MAX($A$18:A65),"")</f>
        <v/>
      </c>
      <c r="B66" s="215"/>
      <c r="C66" s="215"/>
      <c r="D66" s="215"/>
      <c r="E66" s="215"/>
      <c r="F66" s="216"/>
      <c r="G66" s="217"/>
      <c r="H66" s="218"/>
      <c r="I66" s="219"/>
      <c r="J66" s="220"/>
      <c r="K66" s="221"/>
      <c r="L66" s="222"/>
      <c r="M66" s="223"/>
      <c r="N66" s="224"/>
      <c r="O66" s="225"/>
      <c r="P66" s="226"/>
      <c r="Q66" s="227"/>
      <c r="R66" s="228"/>
      <c r="X66" s="212"/>
    </row>
    <row r="67" spans="1:24" s="12" customFormat="1" ht="20.100000000000001" customHeight="1" x14ac:dyDescent="0.2">
      <c r="A67" s="479" t="str">
        <f>IF(J67&lt;&gt;"",1+MAX($A$18:A66),"")</f>
        <v/>
      </c>
      <c r="B67" s="480"/>
      <c r="C67" s="480"/>
      <c r="D67" s="474" t="s">
        <v>38</v>
      </c>
      <c r="E67" s="474"/>
      <c r="F67" s="475" t="s">
        <v>284</v>
      </c>
      <c r="G67" s="481"/>
      <c r="H67" s="482"/>
      <c r="I67" s="483"/>
      <c r="J67" s="483"/>
      <c r="K67" s="482"/>
      <c r="L67" s="482"/>
      <c r="M67" s="482"/>
      <c r="N67" s="482"/>
      <c r="O67" s="482"/>
      <c r="P67" s="482"/>
      <c r="Q67" s="482"/>
      <c r="R67" s="484">
        <f>SUM(Q68:Q88)</f>
        <v>4776.536042062281</v>
      </c>
      <c r="X67" s="212"/>
    </row>
    <row r="68" spans="1:24" s="12" customFormat="1" x14ac:dyDescent="0.2">
      <c r="A68" s="195" t="str">
        <f>IF(J68&lt;&gt;"",1+MAX($A$18:A67),"")</f>
        <v/>
      </c>
      <c r="B68" s="192"/>
      <c r="C68" s="192"/>
      <c r="D68" s="192"/>
      <c r="E68" s="192"/>
      <c r="F68" s="179"/>
      <c r="G68" s="249"/>
      <c r="H68" s="196"/>
      <c r="I68" s="251"/>
      <c r="J68" s="183"/>
      <c r="K68" s="184"/>
      <c r="L68" s="183"/>
      <c r="M68" s="185"/>
      <c r="N68" s="197"/>
      <c r="O68" s="187"/>
      <c r="P68" s="188"/>
      <c r="Q68" s="189"/>
      <c r="R68" s="190"/>
      <c r="X68" s="212"/>
    </row>
    <row r="69" spans="1:24" s="12" customFormat="1" x14ac:dyDescent="0.2">
      <c r="A69" s="287" t="str">
        <f>IF(J69&lt;&gt;"",1+MAX($A$18:A68),"")</f>
        <v/>
      </c>
      <c r="B69" s="301"/>
      <c r="C69" s="301"/>
      <c r="D69" s="201"/>
      <c r="E69" s="192"/>
      <c r="F69" s="193" t="s">
        <v>675</v>
      </c>
      <c r="G69" s="288"/>
      <c r="H69" s="289"/>
      <c r="I69" s="290"/>
      <c r="J69" s="291"/>
      <c r="K69" s="292"/>
      <c r="L69" s="293"/>
      <c r="M69" s="294"/>
      <c r="N69" s="295"/>
      <c r="O69" s="296"/>
      <c r="P69" s="295"/>
      <c r="Q69" s="297"/>
      <c r="R69" s="304"/>
      <c r="S69" s="310"/>
      <c r="X69" s="212"/>
    </row>
    <row r="70" spans="1:24" s="12" customFormat="1" ht="31.5" x14ac:dyDescent="0.2">
      <c r="A70" s="195">
        <f>IF(J70&lt;&gt;"",1+MAX($A$18:A69),"")</f>
        <v>34</v>
      </c>
      <c r="B70" s="300" t="s">
        <v>566</v>
      </c>
      <c r="C70" s="300" t="s">
        <v>688</v>
      </c>
      <c r="D70" s="192" t="s">
        <v>38</v>
      </c>
      <c r="E70" s="192" t="s">
        <v>205</v>
      </c>
      <c r="F70" s="179" t="s">
        <v>860</v>
      </c>
      <c r="G70" s="249">
        <v>22.05</v>
      </c>
      <c r="H70" s="196">
        <f>IF(VLOOKUP(J70,'HOURLY RATES'!B$116:C$124,2,0)=0,$J$3,VLOOKUP(J70,'HOURLY RATES'!B$116:C$124,2,0))</f>
        <v>0.05</v>
      </c>
      <c r="I70" s="251">
        <f t="shared" ref="I70:I77" si="8">(G70*(1+H70))</f>
        <v>23.152500000000003</v>
      </c>
      <c r="J70" s="183" t="s">
        <v>19</v>
      </c>
      <c r="K70" s="368">
        <f>0.12*(1.2)</f>
        <v>0.14399999999999999</v>
      </c>
      <c r="L70" s="194">
        <f t="shared" ref="L70:L80" si="9">K70*I70</f>
        <v>3.3339600000000003</v>
      </c>
      <c r="M70" s="185">
        <f>IF(VLOOKUP(E70,'HOURLY RATES'!C$6:D$105,2,0)=0,$E$3,VLOOKUP(E70,'HOURLY RATES'!C$6:D$105,2,0))</f>
        <v>25.276104</v>
      </c>
      <c r="N70" s="197">
        <f t="shared" ref="N70:N80" si="10">M70*L70</f>
        <v>84.269519691840003</v>
      </c>
      <c r="O70" s="187"/>
      <c r="P70" s="188">
        <f t="shared" ref="P70:P80" si="11">O70*I70</f>
        <v>0</v>
      </c>
      <c r="Q70" s="189">
        <f t="shared" ref="Q70:Q80" si="12">P70+N70</f>
        <v>84.269519691840003</v>
      </c>
      <c r="R70" s="190"/>
      <c r="S70" s="309"/>
      <c r="X70" s="212"/>
    </row>
    <row r="71" spans="1:24" s="12" customFormat="1" x14ac:dyDescent="0.2">
      <c r="A71" s="195">
        <f>IF(J71&lt;&gt;"",1+MAX($A$18:A70),"")</f>
        <v>35</v>
      </c>
      <c r="B71" s="300" t="s">
        <v>566</v>
      </c>
      <c r="C71" s="300" t="s">
        <v>689</v>
      </c>
      <c r="D71" s="192" t="s">
        <v>38</v>
      </c>
      <c r="E71" s="192" t="s">
        <v>205</v>
      </c>
      <c r="F71" s="179" t="s">
        <v>676</v>
      </c>
      <c r="G71" s="249">
        <v>16.02</v>
      </c>
      <c r="H71" s="196">
        <f>IF(VLOOKUP(J71,'HOURLY RATES'!B$116:C$124,2,0)=0,$J$3,VLOOKUP(J71,'HOURLY RATES'!B$116:C$124,2,0))</f>
        <v>0.05</v>
      </c>
      <c r="I71" s="251">
        <f t="shared" si="8"/>
        <v>16.821000000000002</v>
      </c>
      <c r="J71" s="183" t="s">
        <v>19</v>
      </c>
      <c r="K71" s="368">
        <f>0.16*(1.2)</f>
        <v>0.192</v>
      </c>
      <c r="L71" s="194">
        <f t="shared" si="9"/>
        <v>3.2296320000000005</v>
      </c>
      <c r="M71" s="185">
        <f>IF(VLOOKUP(E71,'HOURLY RATES'!C$6:D$105,2,0)=0,$E$3,VLOOKUP(E71,'HOURLY RATES'!C$6:D$105,2,0))</f>
        <v>25.276104</v>
      </c>
      <c r="N71" s="197">
        <f t="shared" si="10"/>
        <v>81.632514313728009</v>
      </c>
      <c r="O71" s="187"/>
      <c r="P71" s="188">
        <f t="shared" si="11"/>
        <v>0</v>
      </c>
      <c r="Q71" s="189">
        <f t="shared" si="12"/>
        <v>81.632514313728009</v>
      </c>
      <c r="R71" s="190"/>
      <c r="S71" s="309"/>
      <c r="X71" s="212"/>
    </row>
    <row r="72" spans="1:24" s="12" customFormat="1" ht="31.5" x14ac:dyDescent="0.2">
      <c r="A72" s="195">
        <f>IF(J72&lt;&gt;"",1+MAX($A$18:A71),"")</f>
        <v>36</v>
      </c>
      <c r="B72" s="300" t="s">
        <v>566</v>
      </c>
      <c r="C72" s="300" t="s">
        <v>690</v>
      </c>
      <c r="D72" s="192" t="s">
        <v>38</v>
      </c>
      <c r="E72" s="192" t="s">
        <v>205</v>
      </c>
      <c r="F72" s="179" t="s">
        <v>677</v>
      </c>
      <c r="G72" s="249">
        <f>36.29*4</f>
        <v>145.16</v>
      </c>
      <c r="H72" s="196">
        <f>IF(VLOOKUP(J72,'HOURLY RATES'!B$116:C$124,2,0)=0,$J$3,VLOOKUP(J72,'HOURLY RATES'!B$116:C$124,2,0))</f>
        <v>0.05</v>
      </c>
      <c r="I72" s="251">
        <f t="shared" si="8"/>
        <v>152.41800000000001</v>
      </c>
      <c r="J72" s="183" t="s">
        <v>17</v>
      </c>
      <c r="K72" s="368">
        <v>0.2</v>
      </c>
      <c r="L72" s="194">
        <f t="shared" si="9"/>
        <v>30.483600000000003</v>
      </c>
      <c r="M72" s="185">
        <f>IF(VLOOKUP(E72,'HOURLY RATES'!C$6:D$105,2,0)=0,$E$3,VLOOKUP(E72,'HOURLY RATES'!C$6:D$105,2,0))</f>
        <v>25.276104</v>
      </c>
      <c r="N72" s="197">
        <f t="shared" si="10"/>
        <v>770.5066438944001</v>
      </c>
      <c r="O72" s="187"/>
      <c r="P72" s="188">
        <f t="shared" si="11"/>
        <v>0</v>
      </c>
      <c r="Q72" s="189">
        <f t="shared" si="12"/>
        <v>770.5066438944001</v>
      </c>
      <c r="R72" s="190"/>
      <c r="X72" s="212"/>
    </row>
    <row r="73" spans="1:24" s="12" customFormat="1" ht="31.5" x14ac:dyDescent="0.2">
      <c r="A73" s="195">
        <f>IF(J73&lt;&gt;"",1+MAX($A$18:A72),"")</f>
        <v>37</v>
      </c>
      <c r="B73" s="300" t="s">
        <v>566</v>
      </c>
      <c r="C73" s="300" t="s">
        <v>691</v>
      </c>
      <c r="D73" s="192" t="s">
        <v>38</v>
      </c>
      <c r="E73" s="192" t="s">
        <v>205</v>
      </c>
      <c r="F73" s="179" t="s">
        <v>678</v>
      </c>
      <c r="G73" s="249">
        <v>5</v>
      </c>
      <c r="H73" s="196">
        <f>IF(VLOOKUP(J73,'HOURLY RATES'!B$116:C$124,2,0)=0,$J$3,VLOOKUP(J73,'HOURLY RATES'!B$116:C$124,2,0))</f>
        <v>0</v>
      </c>
      <c r="I73" s="251">
        <f t="shared" si="8"/>
        <v>5</v>
      </c>
      <c r="J73" s="183" t="s">
        <v>16</v>
      </c>
      <c r="K73" s="368">
        <v>4</v>
      </c>
      <c r="L73" s="194">
        <f t="shared" si="9"/>
        <v>20</v>
      </c>
      <c r="M73" s="185">
        <f>IF(VLOOKUP(E73,'HOURLY RATES'!C$6:D$105,2,0)=0,$E$3,VLOOKUP(E73,'HOURLY RATES'!C$6:D$105,2,0))</f>
        <v>25.276104</v>
      </c>
      <c r="N73" s="197">
        <f t="shared" si="10"/>
        <v>505.52208000000002</v>
      </c>
      <c r="O73" s="187"/>
      <c r="P73" s="188">
        <f t="shared" si="11"/>
        <v>0</v>
      </c>
      <c r="Q73" s="189">
        <f t="shared" si="12"/>
        <v>505.52208000000002</v>
      </c>
      <c r="R73" s="190"/>
      <c r="S73" s="309"/>
      <c r="X73" s="212"/>
    </row>
    <row r="74" spans="1:24" s="12" customFormat="1" ht="31.5" x14ac:dyDescent="0.2">
      <c r="A74" s="195">
        <f>IF(J74&lt;&gt;"",1+MAX($A$18:A73),"")</f>
        <v>38</v>
      </c>
      <c r="B74" s="300" t="s">
        <v>566</v>
      </c>
      <c r="C74" s="300" t="s">
        <v>692</v>
      </c>
      <c r="D74" s="192" t="s">
        <v>38</v>
      </c>
      <c r="E74" s="192" t="s">
        <v>205</v>
      </c>
      <c r="F74" s="179" t="s">
        <v>679</v>
      </c>
      <c r="G74" s="249">
        <f>90.23</f>
        <v>90.23</v>
      </c>
      <c r="H74" s="196">
        <f>IF(VLOOKUP(J74,'HOURLY RATES'!B$116:C$124,2,0)=0,$J$3,VLOOKUP(J74,'HOURLY RATES'!B$116:C$124,2,0))</f>
        <v>0.05</v>
      </c>
      <c r="I74" s="251">
        <f t="shared" si="8"/>
        <v>94.741500000000002</v>
      </c>
      <c r="J74" s="183" t="s">
        <v>19</v>
      </c>
      <c r="K74" s="368">
        <v>0.22</v>
      </c>
      <c r="L74" s="194">
        <f t="shared" si="9"/>
        <v>20.843130000000002</v>
      </c>
      <c r="M74" s="185">
        <f>IF(VLOOKUP(E74,'HOURLY RATES'!C$6:D$105,2,0)=0,$E$3,VLOOKUP(E74,'HOURLY RATES'!C$6:D$105,2,0))</f>
        <v>25.276104</v>
      </c>
      <c r="N74" s="197">
        <f t="shared" si="10"/>
        <v>526.83312156552006</v>
      </c>
      <c r="O74" s="187"/>
      <c r="P74" s="188">
        <f t="shared" si="11"/>
        <v>0</v>
      </c>
      <c r="Q74" s="189">
        <f t="shared" si="12"/>
        <v>526.83312156552006</v>
      </c>
      <c r="R74" s="190"/>
      <c r="X74" s="212"/>
    </row>
    <row r="75" spans="1:24" s="12" customFormat="1" ht="31.5" x14ac:dyDescent="0.2">
      <c r="A75" s="195">
        <f>IF(J75&lt;&gt;"",1+MAX($A$18:A74),"")</f>
        <v>39</v>
      </c>
      <c r="B75" s="300" t="s">
        <v>566</v>
      </c>
      <c r="C75" s="300" t="s">
        <v>692</v>
      </c>
      <c r="D75" s="192" t="s">
        <v>38</v>
      </c>
      <c r="E75" s="192" t="s">
        <v>205</v>
      </c>
      <c r="F75" s="179" t="s">
        <v>680</v>
      </c>
      <c r="G75" s="249">
        <v>162.83000000000001</v>
      </c>
      <c r="H75" s="196">
        <f>IF(VLOOKUP(J75,'HOURLY RATES'!B$116:C$124,2,0)=0,$J$3,VLOOKUP(J75,'HOURLY RATES'!B$116:C$124,2,0))</f>
        <v>0.05</v>
      </c>
      <c r="I75" s="251">
        <f t="shared" si="8"/>
        <v>170.97150000000002</v>
      </c>
      <c r="J75" s="183" t="s">
        <v>17</v>
      </c>
      <c r="K75" s="368">
        <f>0.044*2</f>
        <v>8.7999999999999995E-2</v>
      </c>
      <c r="L75" s="194">
        <f t="shared" si="9"/>
        <v>15.045492000000001</v>
      </c>
      <c r="M75" s="185">
        <f>IF(VLOOKUP(E75,'HOURLY RATES'!C$6:D$105,2,0)=0,$E$3,VLOOKUP(E75,'HOURLY RATES'!C$6:D$105,2,0))</f>
        <v>25.276104</v>
      </c>
      <c r="N75" s="197">
        <f t="shared" si="10"/>
        <v>380.29142052316803</v>
      </c>
      <c r="O75" s="187"/>
      <c r="P75" s="188">
        <f t="shared" si="11"/>
        <v>0</v>
      </c>
      <c r="Q75" s="189">
        <f t="shared" si="12"/>
        <v>380.29142052316803</v>
      </c>
      <c r="R75" s="190"/>
      <c r="X75" s="212"/>
    </row>
    <row r="76" spans="1:24" s="12" customFormat="1" x14ac:dyDescent="0.2">
      <c r="A76" s="195">
        <f>IF(J76&lt;&gt;"",1+MAX($A$18:A75),"")</f>
        <v>40</v>
      </c>
      <c r="B76" s="300" t="s">
        <v>566</v>
      </c>
      <c r="C76" s="300"/>
      <c r="D76" s="192" t="s">
        <v>38</v>
      </c>
      <c r="E76" s="192" t="s">
        <v>205</v>
      </c>
      <c r="F76" s="179" t="s">
        <v>681</v>
      </c>
      <c r="G76" s="249">
        <f>1300</f>
        <v>1300</v>
      </c>
      <c r="H76" s="196">
        <f>IF(VLOOKUP(J76,'HOURLY RATES'!B$116:C$124,2,0)=0,$J$3,VLOOKUP(J76,'HOURLY RATES'!B$116:C$124,2,0))</f>
        <v>0.05</v>
      </c>
      <c r="I76" s="251">
        <f t="shared" si="8"/>
        <v>1365</v>
      </c>
      <c r="J76" s="183" t="s">
        <v>17</v>
      </c>
      <c r="K76" s="368">
        <v>0.01</v>
      </c>
      <c r="L76" s="194">
        <f t="shared" si="9"/>
        <v>13.65</v>
      </c>
      <c r="M76" s="185">
        <f>IF(VLOOKUP(E76,'HOURLY RATES'!C$6:D$105,2,0)=0,$E$3,VLOOKUP(E76,'HOURLY RATES'!C$6:D$105,2,0))</f>
        <v>25.276104</v>
      </c>
      <c r="N76" s="197">
        <f t="shared" si="10"/>
        <v>345.01881960000003</v>
      </c>
      <c r="O76" s="187"/>
      <c r="P76" s="188">
        <f t="shared" si="11"/>
        <v>0</v>
      </c>
      <c r="Q76" s="189">
        <f t="shared" si="12"/>
        <v>345.01881960000003</v>
      </c>
      <c r="R76" s="190"/>
      <c r="X76" s="212"/>
    </row>
    <row r="77" spans="1:24" s="12" customFormat="1" x14ac:dyDescent="0.2">
      <c r="A77" s="195">
        <f>IF(J77&lt;&gt;"",1+MAX($A$18:A76),"")</f>
        <v>41</v>
      </c>
      <c r="B77" s="300" t="s">
        <v>566</v>
      </c>
      <c r="C77" s="300"/>
      <c r="D77" s="192" t="s">
        <v>38</v>
      </c>
      <c r="E77" s="192" t="s">
        <v>205</v>
      </c>
      <c r="F77" s="179" t="s">
        <v>682</v>
      </c>
      <c r="G77" s="249">
        <f>294</f>
        <v>294</v>
      </c>
      <c r="H77" s="196">
        <f>IF(VLOOKUP(J77,'HOURLY RATES'!B$116:C$124,2,0)=0,$J$3,VLOOKUP(J77,'HOURLY RATES'!B$116:C$124,2,0))</f>
        <v>0.05</v>
      </c>
      <c r="I77" s="251">
        <f t="shared" si="8"/>
        <v>308.7</v>
      </c>
      <c r="J77" s="183" t="s">
        <v>17</v>
      </c>
      <c r="K77" s="368">
        <v>0.15</v>
      </c>
      <c r="L77" s="194">
        <f t="shared" si="9"/>
        <v>46.305</v>
      </c>
      <c r="M77" s="185">
        <f>IF(VLOOKUP(E77,'HOURLY RATES'!C$6:D$105,2,0)=0,$E$3,VLOOKUP(E77,'HOURLY RATES'!C$6:D$105,2,0))</f>
        <v>25.276104</v>
      </c>
      <c r="N77" s="197">
        <f t="shared" si="10"/>
        <v>1170.4099957200001</v>
      </c>
      <c r="O77" s="187"/>
      <c r="P77" s="188">
        <f t="shared" si="11"/>
        <v>0</v>
      </c>
      <c r="Q77" s="189">
        <f t="shared" si="12"/>
        <v>1170.4099957200001</v>
      </c>
      <c r="R77" s="190"/>
      <c r="X77" s="212"/>
    </row>
    <row r="78" spans="1:24" s="12" customFormat="1" x14ac:dyDescent="0.2">
      <c r="A78" s="195" t="str">
        <f>IF(J78&lt;&gt;"",1+MAX($A$18:A77),"")</f>
        <v/>
      </c>
      <c r="B78" s="300"/>
      <c r="C78" s="300"/>
      <c r="D78" s="192"/>
      <c r="E78" s="192"/>
      <c r="F78" s="179"/>
      <c r="G78" s="249"/>
      <c r="H78" s="196"/>
      <c r="I78" s="251"/>
      <c r="J78" s="183"/>
      <c r="K78" s="368"/>
      <c r="L78" s="194"/>
      <c r="M78" s="185"/>
      <c r="N78" s="197"/>
      <c r="O78" s="187"/>
      <c r="P78" s="188"/>
      <c r="Q78" s="189"/>
      <c r="R78" s="190"/>
      <c r="X78" s="212"/>
    </row>
    <row r="79" spans="1:24" s="12" customFormat="1" x14ac:dyDescent="0.2">
      <c r="A79" s="195">
        <f>IF(J79&lt;&gt;"",1+MAX($A$18:A78),"")</f>
        <v>42</v>
      </c>
      <c r="B79" s="300" t="s">
        <v>609</v>
      </c>
      <c r="C79" s="300"/>
      <c r="D79" s="192" t="s">
        <v>38</v>
      </c>
      <c r="E79" s="192" t="s">
        <v>205</v>
      </c>
      <c r="F79" s="179" t="s">
        <v>683</v>
      </c>
      <c r="G79" s="249">
        <f>25</f>
        <v>25</v>
      </c>
      <c r="H79" s="196">
        <f>IF(VLOOKUP(J79,'HOURLY RATES'!B$116:C$124,2,0)=0,$J$3,VLOOKUP(J79,'HOURLY RATES'!B$116:C$124,2,0))</f>
        <v>0.05</v>
      </c>
      <c r="I79" s="251">
        <f>(G79*(1+H79))</f>
        <v>26.25</v>
      </c>
      <c r="J79" s="183" t="s">
        <v>19</v>
      </c>
      <c r="K79" s="368">
        <v>0.22</v>
      </c>
      <c r="L79" s="194">
        <f t="shared" si="9"/>
        <v>5.7750000000000004</v>
      </c>
      <c r="M79" s="185">
        <f>IF(VLOOKUP(E79,'HOURLY RATES'!C$6:D$105,2,0)=0,$E$3,VLOOKUP(E79,'HOURLY RATES'!C$6:D$105,2,0))</f>
        <v>25.276104</v>
      </c>
      <c r="N79" s="197">
        <f t="shared" si="10"/>
        <v>145.9695006</v>
      </c>
      <c r="O79" s="187"/>
      <c r="P79" s="188">
        <f t="shared" si="11"/>
        <v>0</v>
      </c>
      <c r="Q79" s="189">
        <f t="shared" si="12"/>
        <v>145.9695006</v>
      </c>
      <c r="R79" s="190"/>
      <c r="X79" s="212"/>
    </row>
    <row r="80" spans="1:24" s="12" customFormat="1" x14ac:dyDescent="0.2">
      <c r="A80" s="195">
        <f>IF(J80&lt;&gt;"",1+MAX($A$18:A79),"")</f>
        <v>43</v>
      </c>
      <c r="B80" s="300" t="s">
        <v>609</v>
      </c>
      <c r="C80" s="300"/>
      <c r="D80" s="192" t="s">
        <v>38</v>
      </c>
      <c r="E80" s="192" t="s">
        <v>205</v>
      </c>
      <c r="F80" s="179" t="s">
        <v>684</v>
      </c>
      <c r="G80" s="249">
        <f>65</f>
        <v>65</v>
      </c>
      <c r="H80" s="196">
        <f>IF(VLOOKUP(J80,'HOURLY RATES'!B$116:C$124,2,0)=0,$J$3,VLOOKUP(J80,'HOURLY RATES'!B$116:C$124,2,0))</f>
        <v>0.05</v>
      </c>
      <c r="I80" s="251">
        <f>(G80*(1+H80))</f>
        <v>68.25</v>
      </c>
      <c r="J80" s="183" t="s">
        <v>17</v>
      </c>
      <c r="K80" s="368">
        <f>0.044*2</f>
        <v>8.7999999999999995E-2</v>
      </c>
      <c r="L80" s="194">
        <f t="shared" si="9"/>
        <v>6.0059999999999993</v>
      </c>
      <c r="M80" s="185">
        <f>IF(VLOOKUP(E80,'HOURLY RATES'!C$6:D$105,2,0)=0,$E$3,VLOOKUP(E80,'HOURLY RATES'!C$6:D$105,2,0))</f>
        <v>25.276104</v>
      </c>
      <c r="N80" s="197">
        <f t="shared" si="10"/>
        <v>151.80828062399999</v>
      </c>
      <c r="O80" s="187"/>
      <c r="P80" s="188">
        <f t="shared" si="11"/>
        <v>0</v>
      </c>
      <c r="Q80" s="189">
        <f t="shared" si="12"/>
        <v>151.80828062399999</v>
      </c>
      <c r="R80" s="190"/>
      <c r="X80" s="212"/>
    </row>
    <row r="81" spans="1:24" s="12" customFormat="1" x14ac:dyDescent="0.2">
      <c r="A81" s="195" t="str">
        <f>IF(J81&lt;&gt;"",1+MAX($A$18:A80),"")</f>
        <v/>
      </c>
      <c r="B81" s="300"/>
      <c r="C81" s="300"/>
      <c r="D81" s="192"/>
      <c r="E81" s="192"/>
      <c r="F81" s="179"/>
      <c r="G81" s="249"/>
      <c r="H81" s="196"/>
      <c r="I81" s="251"/>
      <c r="J81" s="183"/>
      <c r="K81" s="368"/>
      <c r="L81" s="194"/>
      <c r="M81" s="185"/>
      <c r="N81" s="197"/>
      <c r="O81" s="187"/>
      <c r="P81" s="188"/>
      <c r="Q81" s="189"/>
      <c r="R81" s="190"/>
      <c r="X81" s="212"/>
    </row>
    <row r="82" spans="1:24" s="12" customFormat="1" x14ac:dyDescent="0.2">
      <c r="A82" s="195">
        <f>IF(J82&lt;&gt;"",1+MAX($A$18:A81),"")</f>
        <v>44</v>
      </c>
      <c r="B82" s="300" t="s">
        <v>609</v>
      </c>
      <c r="C82" s="300"/>
      <c r="D82" s="192" t="s">
        <v>38</v>
      </c>
      <c r="E82" s="192" t="s">
        <v>205</v>
      </c>
      <c r="F82" s="179" t="s">
        <v>685</v>
      </c>
      <c r="G82" s="249">
        <f>45</f>
        <v>45</v>
      </c>
      <c r="H82" s="196">
        <f>IF(VLOOKUP(J82,'HOURLY RATES'!B$116:C$124,2,0)=0,$J$3,VLOOKUP(J82,'HOURLY RATES'!B$116:C$124,2,0))</f>
        <v>0.05</v>
      </c>
      <c r="I82" s="251">
        <f>(G82*(1+H82))</f>
        <v>47.25</v>
      </c>
      <c r="J82" s="183" t="s">
        <v>19</v>
      </c>
      <c r="K82" s="368">
        <v>0.154</v>
      </c>
      <c r="L82" s="194">
        <f t="shared" ref="L82:L83" si="13">K82*I82</f>
        <v>7.2764999999999995</v>
      </c>
      <c r="M82" s="185">
        <f>IF(VLOOKUP(E82,'HOURLY RATES'!C$6:D$105,2,0)=0,$E$3,VLOOKUP(E82,'HOURLY RATES'!C$6:D$105,2,0))</f>
        <v>25.276104</v>
      </c>
      <c r="N82" s="197">
        <f t="shared" ref="N82:N83" si="14">M82*L82</f>
        <v>183.92157075599999</v>
      </c>
      <c r="O82" s="187"/>
      <c r="P82" s="188">
        <f t="shared" ref="P82:P83" si="15">O82*I82</f>
        <v>0</v>
      </c>
      <c r="Q82" s="189">
        <f t="shared" ref="Q82:Q83" si="16">P82+N82</f>
        <v>183.92157075599999</v>
      </c>
      <c r="R82" s="190"/>
      <c r="X82" s="212"/>
    </row>
    <row r="83" spans="1:24" s="12" customFormat="1" x14ac:dyDescent="0.2">
      <c r="A83" s="195">
        <f>IF(J83&lt;&gt;"",1+MAX($A$18:A82),"")</f>
        <v>45</v>
      </c>
      <c r="B83" s="300" t="s">
        <v>609</v>
      </c>
      <c r="C83" s="300"/>
      <c r="D83" s="192" t="s">
        <v>38</v>
      </c>
      <c r="E83" s="192" t="s">
        <v>205</v>
      </c>
      <c r="F83" s="179" t="s">
        <v>686</v>
      </c>
      <c r="G83" s="249">
        <f>90</f>
        <v>90</v>
      </c>
      <c r="H83" s="196">
        <f>IF(VLOOKUP(J83,'HOURLY RATES'!B$116:C$124,2,0)=0,$J$3,VLOOKUP(J83,'HOURLY RATES'!B$116:C$124,2,0))</f>
        <v>0.05</v>
      </c>
      <c r="I83" s="251">
        <f>(G83*(1+H83))</f>
        <v>94.5</v>
      </c>
      <c r="J83" s="183" t="s">
        <v>17</v>
      </c>
      <c r="K83" s="368">
        <f>0.012*3</f>
        <v>3.6000000000000004E-2</v>
      </c>
      <c r="L83" s="194">
        <f t="shared" si="13"/>
        <v>3.4020000000000006</v>
      </c>
      <c r="M83" s="185">
        <f>IF(VLOOKUP(E83,'HOURLY RATES'!C$6:D$105,2,0)=0,$E$3,VLOOKUP(E83,'HOURLY RATES'!C$6:D$105,2,0))</f>
        <v>25.276104</v>
      </c>
      <c r="N83" s="197">
        <f t="shared" si="14"/>
        <v>85.989305808000012</v>
      </c>
      <c r="O83" s="187"/>
      <c r="P83" s="188">
        <f t="shared" si="15"/>
        <v>0</v>
      </c>
      <c r="Q83" s="189">
        <f t="shared" si="16"/>
        <v>85.989305808000012</v>
      </c>
      <c r="R83" s="190"/>
      <c r="X83" s="212"/>
    </row>
    <row r="84" spans="1:24" s="12" customFormat="1" x14ac:dyDescent="0.2">
      <c r="A84" s="195" t="str">
        <f>IF(J84&lt;&gt;"",1+MAX($A$18:A83),"")</f>
        <v/>
      </c>
      <c r="B84" s="300"/>
      <c r="C84" s="300"/>
      <c r="D84" s="192"/>
      <c r="E84" s="192"/>
      <c r="F84" s="179"/>
      <c r="G84" s="249"/>
      <c r="H84" s="196"/>
      <c r="I84" s="251"/>
      <c r="J84" s="183"/>
      <c r="K84" s="368"/>
      <c r="L84" s="194"/>
      <c r="M84" s="185"/>
      <c r="N84" s="197"/>
      <c r="O84" s="187"/>
      <c r="P84" s="188"/>
      <c r="Q84" s="189"/>
      <c r="R84" s="190"/>
      <c r="X84" s="212"/>
    </row>
    <row r="85" spans="1:24" s="12" customFormat="1" x14ac:dyDescent="0.2">
      <c r="A85" s="195">
        <f>IF(J85&lt;&gt;"",1+MAX($A$18:A84),"")</f>
        <v>46</v>
      </c>
      <c r="B85" s="300" t="s">
        <v>609</v>
      </c>
      <c r="C85" s="300"/>
      <c r="D85" s="192" t="s">
        <v>38</v>
      </c>
      <c r="E85" s="192" t="s">
        <v>205</v>
      </c>
      <c r="F85" s="179" t="s">
        <v>687</v>
      </c>
      <c r="G85" s="249">
        <f>5</f>
        <v>5</v>
      </c>
      <c r="H85" s="196">
        <f>IF(VLOOKUP(J85,'HOURLY RATES'!B$116:C$124,2,0)=0,$J$3,VLOOKUP(J85,'HOURLY RATES'!B$116:C$124,2,0))</f>
        <v>0.05</v>
      </c>
      <c r="I85" s="251">
        <f>(G85*(1+H85))</f>
        <v>5.25</v>
      </c>
      <c r="J85" s="183" t="s">
        <v>19</v>
      </c>
      <c r="K85" s="368">
        <v>0.3</v>
      </c>
      <c r="L85" s="194">
        <f t="shared" ref="L85" si="17">K85*I85</f>
        <v>1.575</v>
      </c>
      <c r="M85" s="185">
        <f>IF(VLOOKUP(E85,'HOURLY RATES'!C$6:D$105,2,0)=0,$E$3,VLOOKUP(E85,'HOURLY RATES'!C$6:D$105,2,0))</f>
        <v>25.276104</v>
      </c>
      <c r="N85" s="197">
        <f t="shared" ref="N85:N87" si="18">M85*L85</f>
        <v>39.809863800000002</v>
      </c>
      <c r="O85" s="187"/>
      <c r="P85" s="188">
        <f t="shared" ref="P85:P87" si="19">O85*I85</f>
        <v>0</v>
      </c>
      <c r="Q85" s="189">
        <f t="shared" ref="Q85:Q87" si="20">P85+N85</f>
        <v>39.809863800000002</v>
      </c>
      <c r="R85" s="190"/>
      <c r="X85" s="212"/>
    </row>
    <row r="86" spans="1:24" s="12" customFormat="1" x14ac:dyDescent="0.2">
      <c r="A86" s="195" t="str">
        <f>IF(J86&lt;&gt;"",1+MAX($A$18:A85),"")</f>
        <v/>
      </c>
      <c r="B86" s="300"/>
      <c r="C86" s="300"/>
      <c r="D86" s="192"/>
      <c r="E86" s="192"/>
      <c r="F86" s="179"/>
      <c r="G86" s="249"/>
      <c r="H86" s="196"/>
      <c r="I86" s="251"/>
      <c r="J86" s="183"/>
      <c r="K86" s="368"/>
      <c r="L86" s="194"/>
      <c r="M86" s="185"/>
      <c r="N86" s="197"/>
      <c r="O86" s="187"/>
      <c r="P86" s="188"/>
      <c r="Q86" s="189"/>
      <c r="R86" s="190"/>
      <c r="X86" s="212"/>
    </row>
    <row r="87" spans="1:24" s="12" customFormat="1" x14ac:dyDescent="0.2">
      <c r="A87" s="195">
        <f>IF(J87&lt;&gt;"",1+MAX($A$18:A86),"")</f>
        <v>47</v>
      </c>
      <c r="B87" s="300"/>
      <c r="C87" s="300"/>
      <c r="D87" s="192" t="s">
        <v>38</v>
      </c>
      <c r="E87" s="192" t="s">
        <v>205</v>
      </c>
      <c r="F87" s="179" t="s">
        <v>285</v>
      </c>
      <c r="G87" s="249">
        <v>47</v>
      </c>
      <c r="H87" s="196">
        <f>IF(VLOOKUP(J87,'HOURLY RATES'!B$116:C$124,2,0)=0,$J$3,VLOOKUP(J87,'HOURLY RATES'!B$116:C$124,2,0))</f>
        <v>0.05</v>
      </c>
      <c r="I87" s="251">
        <f t="shared" ref="I87" si="21">(G87*(1+H87))</f>
        <v>49.35</v>
      </c>
      <c r="J87" s="183" t="s">
        <v>41</v>
      </c>
      <c r="K87" s="368">
        <v>0.24415530722218903</v>
      </c>
      <c r="L87" s="194">
        <f t="shared" ref="L87" si="22">K87*I87</f>
        <v>12.04906441141503</v>
      </c>
      <c r="M87" s="185">
        <f>IF(VLOOKUP(E87,'HOURLY RATES'!C$6:D$105,2,0)=0,$E$3,VLOOKUP(E87,'HOURLY RATES'!C$6:D$105,2,0))</f>
        <v>25.276104</v>
      </c>
      <c r="N87" s="197">
        <f t="shared" si="18"/>
        <v>304.55340516562507</v>
      </c>
      <c r="O87" s="187"/>
      <c r="P87" s="188">
        <f t="shared" si="19"/>
        <v>0</v>
      </c>
      <c r="Q87" s="189">
        <f t="shared" si="20"/>
        <v>304.55340516562507</v>
      </c>
      <c r="R87" s="190"/>
      <c r="X87" s="212"/>
    </row>
    <row r="88" spans="1:24" s="12" customFormat="1" ht="16.5" thickBot="1" x14ac:dyDescent="0.25">
      <c r="A88" s="214" t="str">
        <f>IF(J88&lt;&gt;"",1+MAX($A$18:A87),"")</f>
        <v/>
      </c>
      <c r="B88" s="215"/>
      <c r="C88" s="215"/>
      <c r="D88" s="215"/>
      <c r="E88" s="215"/>
      <c r="F88" s="216"/>
      <c r="G88" s="217"/>
      <c r="H88" s="218"/>
      <c r="I88" s="219"/>
      <c r="J88" s="220"/>
      <c r="K88" s="221"/>
      <c r="L88" s="222"/>
      <c r="M88" s="223"/>
      <c r="N88" s="224"/>
      <c r="O88" s="225"/>
      <c r="P88" s="226"/>
      <c r="Q88" s="227"/>
      <c r="R88" s="228"/>
      <c r="X88" s="212"/>
    </row>
    <row r="89" spans="1:24" s="12" customFormat="1" ht="20.100000000000001" customHeight="1" x14ac:dyDescent="0.2">
      <c r="A89" s="479" t="str">
        <f>IF(J89&lt;&gt;"",1+MAX($A$18:A88),"")</f>
        <v/>
      </c>
      <c r="B89" s="480"/>
      <c r="C89" s="480"/>
      <c r="D89" s="485" t="s">
        <v>39</v>
      </c>
      <c r="E89" s="485"/>
      <c r="F89" s="486" t="s">
        <v>40</v>
      </c>
      <c r="G89" s="481"/>
      <c r="H89" s="482"/>
      <c r="I89" s="483"/>
      <c r="J89" s="483"/>
      <c r="K89" s="482"/>
      <c r="L89" s="482"/>
      <c r="M89" s="482"/>
      <c r="N89" s="482"/>
      <c r="O89" s="482"/>
      <c r="P89" s="482"/>
      <c r="Q89" s="482"/>
      <c r="R89" s="484">
        <f>SUM(Q90:Q135)</f>
        <v>23016.775799742507</v>
      </c>
      <c r="X89" s="212"/>
    </row>
    <row r="90" spans="1:24" s="12" customFormat="1" ht="20.100000000000001" customHeight="1" x14ac:dyDescent="0.2">
      <c r="A90" s="298" t="str">
        <f>IF(J90&lt;&gt;"",1+MAX($A$18:A89),"")</f>
        <v/>
      </c>
      <c r="B90" s="346"/>
      <c r="C90" s="346"/>
      <c r="D90" s="347"/>
      <c r="E90" s="302"/>
      <c r="F90" s="307"/>
      <c r="G90" s="373"/>
      <c r="H90" s="374"/>
      <c r="I90" s="375"/>
      <c r="J90" s="291"/>
      <c r="K90" s="368"/>
      <c r="L90" s="369"/>
      <c r="M90" s="294"/>
      <c r="N90" s="370"/>
      <c r="O90" s="296"/>
      <c r="P90" s="295"/>
      <c r="Q90" s="297"/>
      <c r="R90" s="190"/>
      <c r="S90" s="308"/>
      <c r="X90" s="212"/>
    </row>
    <row r="91" spans="1:24" s="12" customFormat="1" ht="20.100000000000001" customHeight="1" x14ac:dyDescent="0.25">
      <c r="A91" s="298" t="str">
        <f>IF(J91&lt;&gt;"",1+MAX($A$18:A90),"")</f>
        <v/>
      </c>
      <c r="B91" s="346"/>
      <c r="C91" s="346"/>
      <c r="D91" s="347"/>
      <c r="E91" s="302"/>
      <c r="F91" s="286" t="s">
        <v>696</v>
      </c>
      <c r="G91" s="376"/>
      <c r="H91" s="374"/>
      <c r="I91" s="375"/>
      <c r="J91" s="291"/>
      <c r="K91" s="368"/>
      <c r="L91" s="369"/>
      <c r="M91" s="294"/>
      <c r="N91" s="370"/>
      <c r="O91" s="296"/>
      <c r="P91" s="295"/>
      <c r="Q91" s="297"/>
      <c r="R91" s="190"/>
      <c r="S91" s="308"/>
      <c r="X91" s="212"/>
    </row>
    <row r="92" spans="1:24" s="12" customFormat="1" x14ac:dyDescent="0.2">
      <c r="A92" s="195">
        <f>IF(J92&lt;&gt;"",1+MAX($A$18:A91),"")</f>
        <v>48</v>
      </c>
      <c r="B92" s="300" t="s">
        <v>716</v>
      </c>
      <c r="C92" s="300" t="s">
        <v>717</v>
      </c>
      <c r="D92" s="192" t="s">
        <v>39</v>
      </c>
      <c r="E92" s="192" t="s">
        <v>222</v>
      </c>
      <c r="F92" s="179" t="s">
        <v>697</v>
      </c>
      <c r="G92" s="249">
        <f>(2*0.83*287)/27</f>
        <v>17.645185185185184</v>
      </c>
      <c r="H92" s="196">
        <f>IF(VLOOKUP(J92,'HOURLY RATES'!B$116:C$124,2,0)=0,$J$3,VLOOKUP(J92,'HOURLY RATES'!B$116:C$124,2,0))</f>
        <v>0.05</v>
      </c>
      <c r="I92" s="251">
        <f t="shared" ref="I92:I134" si="23">(G92*(1+H92))</f>
        <v>18.527444444444445</v>
      </c>
      <c r="J92" s="183" t="s">
        <v>41</v>
      </c>
      <c r="K92" s="368">
        <v>2.25</v>
      </c>
      <c r="L92" s="194">
        <f t="shared" ref="L92:L130" si="24">K92*I92</f>
        <v>41.686750000000004</v>
      </c>
      <c r="M92" s="185">
        <f>IF(VLOOKUP(E92,'HOURLY RATES'!C$6:D$105,2,0)=0,$E$3,VLOOKUP(E92,'HOURLY RATES'!C$6:D$105,2,0))</f>
        <v>26.6815</v>
      </c>
      <c r="N92" s="197">
        <f t="shared" ref="N92:N130" si="25">M92*L92</f>
        <v>1112.2650201250001</v>
      </c>
      <c r="O92" s="187">
        <f>180+0.3*M92</f>
        <v>188.00444999999999</v>
      </c>
      <c r="P92" s="188">
        <f t="shared" ref="P92:P134" si="26">O92*I92</f>
        <v>3483.2420026833333</v>
      </c>
      <c r="Q92" s="189">
        <f t="shared" ref="Q92:Q134" si="27">P92+N92</f>
        <v>4595.5070228083332</v>
      </c>
      <c r="R92" s="190"/>
      <c r="S92" s="308"/>
      <c r="X92" s="212"/>
    </row>
    <row r="93" spans="1:24" s="12" customFormat="1" x14ac:dyDescent="0.2">
      <c r="A93" s="195">
        <f>IF(J93&lt;&gt;"",1+MAX($A$18:A92),"")</f>
        <v>49</v>
      </c>
      <c r="B93" s="300" t="s">
        <v>716</v>
      </c>
      <c r="C93" s="300" t="s">
        <v>717</v>
      </c>
      <c r="D93" s="192" t="s">
        <v>39</v>
      </c>
      <c r="E93" s="192" t="s">
        <v>222</v>
      </c>
      <c r="F93" s="179" t="s">
        <v>698</v>
      </c>
      <c r="G93" s="249">
        <f>(3*287)*0.66</f>
        <v>568.26</v>
      </c>
      <c r="H93" s="196">
        <f>IF(VLOOKUP(J93,'HOURLY RATES'!B$116:C$124,2,0)=0,$J$3,VLOOKUP(J93,'HOURLY RATES'!B$116:C$124,2,0))</f>
        <v>0.05</v>
      </c>
      <c r="I93" s="251">
        <f t="shared" si="23"/>
        <v>596.673</v>
      </c>
      <c r="J93" s="183" t="s">
        <v>112</v>
      </c>
      <c r="K93" s="368">
        <v>0.01</v>
      </c>
      <c r="L93" s="194">
        <f t="shared" si="24"/>
        <v>5.9667300000000001</v>
      </c>
      <c r="M93" s="185">
        <f>IF(VLOOKUP(E93,'HOURLY RATES'!C$6:D$105,2,0)=0,$E$3,VLOOKUP(E93,'HOURLY RATES'!C$6:D$105,2,0))</f>
        <v>26.6815</v>
      </c>
      <c r="N93" s="197">
        <f t="shared" si="25"/>
        <v>159.20130649500001</v>
      </c>
      <c r="O93" s="187">
        <v>0.93</v>
      </c>
      <c r="P93" s="188">
        <f t="shared" si="26"/>
        <v>554.90589</v>
      </c>
      <c r="Q93" s="189">
        <f t="shared" si="27"/>
        <v>714.10719649500004</v>
      </c>
      <c r="R93" s="190"/>
      <c r="S93" s="308"/>
      <c r="X93" s="212"/>
    </row>
    <row r="94" spans="1:24" s="12" customFormat="1" x14ac:dyDescent="0.2">
      <c r="A94" s="195">
        <f>IF(J94&lt;&gt;"",1+MAX($A$18:A93),"")</f>
        <v>50</v>
      </c>
      <c r="B94" s="300" t="s">
        <v>716</v>
      </c>
      <c r="C94" s="300" t="s">
        <v>717</v>
      </c>
      <c r="D94" s="192" t="s">
        <v>39</v>
      </c>
      <c r="E94" s="192" t="s">
        <v>222</v>
      </c>
      <c r="F94" s="179" t="s">
        <v>699</v>
      </c>
      <c r="G94" s="249">
        <f>(287/4)*3.58*0.66</f>
        <v>169.5309</v>
      </c>
      <c r="H94" s="196">
        <f>IF(VLOOKUP(J94,'HOURLY RATES'!B$116:C$124,2,0)=0,$J$3,VLOOKUP(J94,'HOURLY RATES'!B$116:C$124,2,0))</f>
        <v>0.05</v>
      </c>
      <c r="I94" s="251">
        <f t="shared" si="23"/>
        <v>178.00744500000002</v>
      </c>
      <c r="J94" s="183" t="s">
        <v>112</v>
      </c>
      <c r="K94" s="368">
        <v>0.01</v>
      </c>
      <c r="L94" s="194">
        <f t="shared" si="24"/>
        <v>1.7800744500000003</v>
      </c>
      <c r="M94" s="185">
        <f>IF(VLOOKUP(E94,'HOURLY RATES'!C$6:D$105,2,0)=0,$E$3,VLOOKUP(E94,'HOURLY RATES'!C$6:D$105,2,0))</f>
        <v>26.6815</v>
      </c>
      <c r="N94" s="197">
        <f t="shared" si="25"/>
        <v>47.495056437675011</v>
      </c>
      <c r="O94" s="187">
        <v>0.93</v>
      </c>
      <c r="P94" s="188">
        <f t="shared" si="26"/>
        <v>165.54692385000001</v>
      </c>
      <c r="Q94" s="189">
        <f t="shared" si="27"/>
        <v>213.04198028767502</v>
      </c>
      <c r="R94" s="190"/>
      <c r="S94" s="308"/>
      <c r="X94" s="212"/>
    </row>
    <row r="95" spans="1:24" s="12" customFormat="1" ht="20.100000000000001" customHeight="1" x14ac:dyDescent="0.2">
      <c r="A95" s="298" t="str">
        <f>IF(J95&lt;&gt;"",1+MAX($A$18:A94),"")</f>
        <v/>
      </c>
      <c r="B95" s="346"/>
      <c r="C95" s="346"/>
      <c r="D95" s="347"/>
      <c r="E95" s="302"/>
      <c r="F95" s="357"/>
      <c r="G95" s="288"/>
      <c r="H95" s="196"/>
      <c r="I95" s="290"/>
      <c r="J95" s="291"/>
      <c r="K95" s="368"/>
      <c r="L95" s="369"/>
      <c r="M95" s="185"/>
      <c r="N95" s="370"/>
      <c r="O95" s="296"/>
      <c r="P95" s="295"/>
      <c r="Q95" s="297"/>
      <c r="R95" s="190"/>
      <c r="S95" s="308"/>
      <c r="X95" s="212"/>
    </row>
    <row r="96" spans="1:24" s="12" customFormat="1" ht="20.100000000000001" customHeight="1" x14ac:dyDescent="0.25">
      <c r="A96" s="298">
        <f>IF(J96&lt;&gt;"",1+MAX($A$18:A95),"")</f>
        <v>51</v>
      </c>
      <c r="B96" s="346"/>
      <c r="C96" s="346"/>
      <c r="D96" s="347"/>
      <c r="E96" s="302"/>
      <c r="F96" s="286" t="s">
        <v>700</v>
      </c>
      <c r="G96" s="376">
        <v>936</v>
      </c>
      <c r="H96" s="196"/>
      <c r="I96" s="290"/>
      <c r="J96" s="291" t="s">
        <v>17</v>
      </c>
      <c r="K96" s="368"/>
      <c r="L96" s="369"/>
      <c r="M96" s="185"/>
      <c r="N96" s="370"/>
      <c r="O96" s="296"/>
      <c r="P96" s="295"/>
      <c r="Q96" s="297"/>
      <c r="R96" s="190"/>
      <c r="S96" s="308"/>
      <c r="X96" s="212"/>
    </row>
    <row r="97" spans="1:24" s="12" customFormat="1" ht="20.100000000000001" customHeight="1" x14ac:dyDescent="0.2">
      <c r="A97" s="298">
        <f>IF(J97&lt;&gt;"",1+MAX($A$18:A96),"")</f>
        <v>52</v>
      </c>
      <c r="B97" s="346" t="s">
        <v>716</v>
      </c>
      <c r="C97" s="346" t="s">
        <v>718</v>
      </c>
      <c r="D97" s="347" t="s">
        <v>39</v>
      </c>
      <c r="E97" s="302" t="s">
        <v>222</v>
      </c>
      <c r="F97" s="357" t="s">
        <v>875</v>
      </c>
      <c r="G97" s="288">
        <f>936*0.33/27</f>
        <v>11.44</v>
      </c>
      <c r="H97" s="196">
        <f>IF(VLOOKUP(J97,'HOURLY RATES'!B$116:C$124,2,0)=0,$J$3,VLOOKUP(J97,'HOURLY RATES'!B$116:C$124,2,0))</f>
        <v>0.05</v>
      </c>
      <c r="I97" s="290">
        <f t="shared" si="23"/>
        <v>12.012</v>
      </c>
      <c r="J97" s="291" t="s">
        <v>41</v>
      </c>
      <c r="K97" s="368">
        <f>4*0.7</f>
        <v>2.8</v>
      </c>
      <c r="L97" s="369">
        <f t="shared" si="24"/>
        <v>33.633600000000001</v>
      </c>
      <c r="M97" s="185">
        <f>IF(VLOOKUP(E97,'HOURLY RATES'!C$6:D$105,2,0)=0,$E$3,VLOOKUP(E97,'HOURLY RATES'!C$6:D$105,2,0))</f>
        <v>26.6815</v>
      </c>
      <c r="N97" s="370">
        <f t="shared" si="25"/>
        <v>897.39489839999999</v>
      </c>
      <c r="O97" s="296">
        <f>180+0.3*M97</f>
        <v>188.00444999999999</v>
      </c>
      <c r="P97" s="295">
        <f t="shared" si="26"/>
        <v>2258.3094534000002</v>
      </c>
      <c r="Q97" s="297">
        <f t="shared" si="27"/>
        <v>3155.7043518</v>
      </c>
      <c r="R97" s="190"/>
      <c r="S97" s="308"/>
      <c r="X97" s="212"/>
    </row>
    <row r="98" spans="1:24" s="12" customFormat="1" ht="20.100000000000001" customHeight="1" x14ac:dyDescent="0.2">
      <c r="A98" s="298">
        <f>IF(J98&lt;&gt;"",1+MAX($A$18:A97),"")</f>
        <v>53</v>
      </c>
      <c r="B98" s="346" t="s">
        <v>716</v>
      </c>
      <c r="C98" s="346" t="s">
        <v>718</v>
      </c>
      <c r="D98" s="347" t="s">
        <v>39</v>
      </c>
      <c r="E98" s="302" t="s">
        <v>222</v>
      </c>
      <c r="F98" s="357" t="s">
        <v>701</v>
      </c>
      <c r="G98" s="288">
        <v>936</v>
      </c>
      <c r="H98" s="196">
        <f>IF(VLOOKUP(J98,'HOURLY RATES'!B$116:C$124,2,0)=0,$J$3,VLOOKUP(J98,'HOURLY RATES'!B$116:C$124,2,0))</f>
        <v>0.05</v>
      </c>
      <c r="I98" s="290">
        <f t="shared" si="23"/>
        <v>982.80000000000007</v>
      </c>
      <c r="J98" s="291" t="s">
        <v>17</v>
      </c>
      <c r="K98" s="368">
        <v>4.0000000000000001E-3</v>
      </c>
      <c r="L98" s="369">
        <f t="shared" si="24"/>
        <v>3.9312000000000005</v>
      </c>
      <c r="M98" s="185">
        <f>IF(VLOOKUP(E98,'HOURLY RATES'!C$6:D$105,2,0)=0,$E$3,VLOOKUP(E98,'HOURLY RATES'!C$6:D$105,2,0))</f>
        <v>26.6815</v>
      </c>
      <c r="N98" s="370">
        <f t="shared" si="25"/>
        <v>104.89031280000002</v>
      </c>
      <c r="O98" s="296">
        <f>61.25/100</f>
        <v>0.61250000000000004</v>
      </c>
      <c r="P98" s="295">
        <f t="shared" si="26"/>
        <v>601.96500000000003</v>
      </c>
      <c r="Q98" s="297">
        <f t="shared" si="27"/>
        <v>706.85531280000009</v>
      </c>
      <c r="R98" s="190"/>
      <c r="S98" s="308"/>
      <c r="X98" s="212"/>
    </row>
    <row r="99" spans="1:24" s="12" customFormat="1" ht="20.100000000000001" customHeight="1" x14ac:dyDescent="0.2">
      <c r="A99" s="298">
        <f>IF(J99&lt;&gt;"",1+MAX($A$18:A98),"")</f>
        <v>54</v>
      </c>
      <c r="B99" s="346" t="s">
        <v>716</v>
      </c>
      <c r="C99" s="346" t="s">
        <v>718</v>
      </c>
      <c r="D99" s="347" t="s">
        <v>39</v>
      </c>
      <c r="E99" s="302" t="s">
        <v>222</v>
      </c>
      <c r="F99" s="357" t="s">
        <v>702</v>
      </c>
      <c r="G99" s="288">
        <f>936*0.33/27</f>
        <v>11.44</v>
      </c>
      <c r="H99" s="196">
        <f>IF(VLOOKUP(J99,'HOURLY RATES'!B$116:C$124,2,0)=0,$J$3,VLOOKUP(J99,'HOURLY RATES'!B$116:C$124,2,0))</f>
        <v>0.05</v>
      </c>
      <c r="I99" s="290">
        <f t="shared" si="23"/>
        <v>12.012</v>
      </c>
      <c r="J99" s="291" t="s">
        <v>41</v>
      </c>
      <c r="K99" s="368">
        <v>0.67500000000000004</v>
      </c>
      <c r="L99" s="369">
        <f t="shared" si="24"/>
        <v>8.1081000000000003</v>
      </c>
      <c r="M99" s="185">
        <f>IF(VLOOKUP(E99,'HOURLY RATES'!C$6:D$105,2,0)=0,$E$3,VLOOKUP(E99,'HOURLY RATES'!C$6:D$105,2,0))</f>
        <v>26.6815</v>
      </c>
      <c r="N99" s="370">
        <f t="shared" si="25"/>
        <v>216.33627015000002</v>
      </c>
      <c r="O99" s="296">
        <f>32.5+0.1*M99</f>
        <v>35.168149999999997</v>
      </c>
      <c r="P99" s="295">
        <f t="shared" si="26"/>
        <v>422.43981779999996</v>
      </c>
      <c r="Q99" s="297">
        <f t="shared" si="27"/>
        <v>638.77608794999992</v>
      </c>
      <c r="R99" s="190"/>
      <c r="S99" s="308"/>
      <c r="X99" s="212"/>
    </row>
    <row r="100" spans="1:24" s="12" customFormat="1" ht="20.100000000000001" customHeight="1" x14ac:dyDescent="0.2">
      <c r="A100" s="298">
        <f>IF(J100&lt;&gt;"",1+MAX($A$18:A99),"")</f>
        <v>55</v>
      </c>
      <c r="B100" s="346" t="s">
        <v>716</v>
      </c>
      <c r="C100" s="346" t="s">
        <v>718</v>
      </c>
      <c r="D100" s="347" t="s">
        <v>39</v>
      </c>
      <c r="E100" s="302" t="s">
        <v>220</v>
      </c>
      <c r="F100" s="357" t="s">
        <v>947</v>
      </c>
      <c r="G100" s="288">
        <f>936/3</f>
        <v>312</v>
      </c>
      <c r="H100" s="196">
        <f>IF(VLOOKUP(J100,'HOURLY RATES'!B$116:C$124,2,0)=0,$J$3,VLOOKUP(J100,'HOURLY RATES'!B$116:C$124,2,0))</f>
        <v>0.05</v>
      </c>
      <c r="I100" s="290">
        <f t="shared" si="23"/>
        <v>327.60000000000002</v>
      </c>
      <c r="J100" s="291" t="s">
        <v>19</v>
      </c>
      <c r="K100" s="368">
        <v>0.22</v>
      </c>
      <c r="L100" s="369">
        <f t="shared" si="24"/>
        <v>72.072000000000003</v>
      </c>
      <c r="M100" s="185">
        <f>IF(VLOOKUP(E100,'HOURLY RATES'!C$6:D$105,2,0)=0,$E$3,VLOOKUP(E100,'HOURLY RATES'!C$6:D$105,2,0))</f>
        <v>23.2578</v>
      </c>
      <c r="N100" s="370">
        <f t="shared" si="25"/>
        <v>1676.2361616000001</v>
      </c>
      <c r="O100" s="296"/>
      <c r="P100" s="295">
        <f t="shared" si="26"/>
        <v>0</v>
      </c>
      <c r="Q100" s="297">
        <f t="shared" si="27"/>
        <v>1676.2361616000001</v>
      </c>
      <c r="R100" s="190"/>
      <c r="S100" s="308"/>
      <c r="X100" s="212"/>
    </row>
    <row r="101" spans="1:24" s="12" customFormat="1" ht="20.100000000000001" customHeight="1" x14ac:dyDescent="0.2">
      <c r="A101" s="298" t="str">
        <f>IF(J101&lt;&gt;"",1+MAX($A$18:A100),"")</f>
        <v/>
      </c>
      <c r="B101" s="346"/>
      <c r="C101" s="346"/>
      <c r="D101" s="347"/>
      <c r="E101" s="302"/>
      <c r="F101" s="357"/>
      <c r="G101" s="288"/>
      <c r="H101" s="196"/>
      <c r="I101" s="290"/>
      <c r="J101" s="291"/>
      <c r="K101" s="368"/>
      <c r="L101" s="369"/>
      <c r="M101" s="185"/>
      <c r="N101" s="370"/>
      <c r="O101" s="296"/>
      <c r="P101" s="295"/>
      <c r="Q101" s="297"/>
      <c r="R101" s="190"/>
      <c r="S101" s="308"/>
      <c r="X101" s="212"/>
    </row>
    <row r="102" spans="1:24" s="12" customFormat="1" ht="20.100000000000001" customHeight="1" x14ac:dyDescent="0.25">
      <c r="A102" s="298">
        <f>IF(J102&lt;&gt;"",1+MAX($A$18:A101),"")</f>
        <v>56</v>
      </c>
      <c r="B102" s="346"/>
      <c r="C102" s="346"/>
      <c r="D102" s="347"/>
      <c r="E102" s="302"/>
      <c r="F102" s="286" t="s">
        <v>700</v>
      </c>
      <c r="G102" s="376">
        <v>20</v>
      </c>
      <c r="H102" s="196"/>
      <c r="I102" s="290"/>
      <c r="J102" s="291" t="s">
        <v>17</v>
      </c>
      <c r="K102" s="368"/>
      <c r="L102" s="369"/>
      <c r="M102" s="185"/>
      <c r="N102" s="370"/>
      <c r="O102" s="296"/>
      <c r="P102" s="295"/>
      <c r="Q102" s="297"/>
      <c r="R102" s="190"/>
      <c r="S102" s="308"/>
      <c r="X102" s="212"/>
    </row>
    <row r="103" spans="1:24" s="12" customFormat="1" ht="20.100000000000001" customHeight="1" x14ac:dyDescent="0.2">
      <c r="A103" s="298">
        <f>IF(J103&lt;&gt;"",1+MAX($A$18:A102),"")</f>
        <v>57</v>
      </c>
      <c r="B103" s="346" t="s">
        <v>716</v>
      </c>
      <c r="C103" s="346" t="s">
        <v>718</v>
      </c>
      <c r="D103" s="347" t="s">
        <v>39</v>
      </c>
      <c r="E103" s="302" t="s">
        <v>222</v>
      </c>
      <c r="F103" s="357" t="s">
        <v>703</v>
      </c>
      <c r="G103" s="377">
        <f>20*0.5/27</f>
        <v>0.37037037037037035</v>
      </c>
      <c r="H103" s="196">
        <f>IF(VLOOKUP(J103,'HOURLY RATES'!B$116:C$124,2,0)=0,$J$3,VLOOKUP(J103,'HOURLY RATES'!B$116:C$124,2,0))</f>
        <v>0.05</v>
      </c>
      <c r="I103" s="290">
        <f t="shared" si="23"/>
        <v>0.3888888888888889</v>
      </c>
      <c r="J103" s="291" t="s">
        <v>41</v>
      </c>
      <c r="K103" s="368">
        <f>15*0.7</f>
        <v>10.5</v>
      </c>
      <c r="L103" s="369">
        <f t="shared" si="24"/>
        <v>4.083333333333333</v>
      </c>
      <c r="M103" s="185">
        <f>IF(VLOOKUP(E103,'HOURLY RATES'!C$6:D$105,2,0)=0,$E$3,VLOOKUP(E103,'HOURLY RATES'!C$6:D$105,2,0))</f>
        <v>26.6815</v>
      </c>
      <c r="N103" s="370">
        <f t="shared" si="25"/>
        <v>108.94945833333333</v>
      </c>
      <c r="O103" s="296">
        <f>180+0.3*M103</f>
        <v>188.00444999999999</v>
      </c>
      <c r="P103" s="295">
        <f t="shared" si="26"/>
        <v>73.112841666666668</v>
      </c>
      <c r="Q103" s="297">
        <f t="shared" si="27"/>
        <v>182.06229999999999</v>
      </c>
      <c r="R103" s="190"/>
      <c r="S103" s="308"/>
      <c r="X103" s="212"/>
    </row>
    <row r="104" spans="1:24" s="12" customFormat="1" ht="20.100000000000001" customHeight="1" x14ac:dyDescent="0.2">
      <c r="A104" s="298">
        <f>IF(J104&lt;&gt;"",1+MAX($A$18:A103),"")</f>
        <v>58</v>
      </c>
      <c r="B104" s="346" t="s">
        <v>716</v>
      </c>
      <c r="C104" s="346" t="s">
        <v>718</v>
      </c>
      <c r="D104" s="347" t="s">
        <v>39</v>
      </c>
      <c r="E104" s="302" t="s">
        <v>222</v>
      </c>
      <c r="F104" s="357" t="s">
        <v>920</v>
      </c>
      <c r="G104" s="288">
        <f>20/1* 0.66*2</f>
        <v>26.400000000000002</v>
      </c>
      <c r="H104" s="196">
        <f>IF(VLOOKUP(J104,'HOURLY RATES'!B$116:C$124,2,0)=0,$J$3,VLOOKUP(J104,'HOURLY RATES'!B$116:C$124,2,0))</f>
        <v>0.05</v>
      </c>
      <c r="I104" s="290">
        <f t="shared" si="23"/>
        <v>27.720000000000002</v>
      </c>
      <c r="J104" s="291" t="s">
        <v>112</v>
      </c>
      <c r="K104" s="368">
        <v>0.01</v>
      </c>
      <c r="L104" s="369">
        <f t="shared" si="24"/>
        <v>0.27720000000000006</v>
      </c>
      <c r="M104" s="185">
        <f>IF(VLOOKUP(E104,'HOURLY RATES'!C$6:D$105,2,0)=0,$E$3,VLOOKUP(E104,'HOURLY RATES'!C$6:D$105,2,0))</f>
        <v>26.6815</v>
      </c>
      <c r="N104" s="370">
        <f t="shared" si="25"/>
        <v>7.3961118000000017</v>
      </c>
      <c r="O104" s="296">
        <v>0.93</v>
      </c>
      <c r="P104" s="295">
        <f t="shared" si="26"/>
        <v>25.779600000000002</v>
      </c>
      <c r="Q104" s="297">
        <f t="shared" si="27"/>
        <v>33.175711800000002</v>
      </c>
      <c r="R104" s="190"/>
      <c r="S104" s="308"/>
      <c r="X104" s="212"/>
    </row>
    <row r="105" spans="1:24" s="12" customFormat="1" ht="20.100000000000001" customHeight="1" x14ac:dyDescent="0.2">
      <c r="A105" s="298">
        <f>IF(J105&lt;&gt;"",1+MAX($A$18:A104),"")</f>
        <v>59</v>
      </c>
      <c r="B105" s="346" t="s">
        <v>716</v>
      </c>
      <c r="C105" s="346" t="s">
        <v>718</v>
      </c>
      <c r="D105" s="347" t="s">
        <v>39</v>
      </c>
      <c r="E105" s="302" t="s">
        <v>222</v>
      </c>
      <c r="F105" s="357" t="s">
        <v>702</v>
      </c>
      <c r="G105" s="377">
        <f>20*0.5/27</f>
        <v>0.37037037037037035</v>
      </c>
      <c r="H105" s="196">
        <f>IF(VLOOKUP(J105,'HOURLY RATES'!B$116:C$124,2,0)=0,$J$3,VLOOKUP(J105,'HOURLY RATES'!B$116:C$124,2,0))</f>
        <v>0.05</v>
      </c>
      <c r="I105" s="290">
        <f t="shared" si="23"/>
        <v>0.3888888888888889</v>
      </c>
      <c r="J105" s="291" t="s">
        <v>41</v>
      </c>
      <c r="K105" s="368">
        <v>0.67500000000000004</v>
      </c>
      <c r="L105" s="369">
        <f>K105*I105</f>
        <v>0.26250000000000001</v>
      </c>
      <c r="M105" s="185">
        <f>IF(VLOOKUP(E105,'HOURLY RATES'!C$6:D$105,2,0)=0,$E$3,VLOOKUP(E105,'HOURLY RATES'!C$6:D$105,2,0))</f>
        <v>26.6815</v>
      </c>
      <c r="N105" s="370">
        <f t="shared" si="25"/>
        <v>7.0038937500000005</v>
      </c>
      <c r="O105" s="296">
        <f>32.5+0.1*M105</f>
        <v>35.168149999999997</v>
      </c>
      <c r="P105" s="295">
        <f t="shared" si="26"/>
        <v>13.676502777777777</v>
      </c>
      <c r="Q105" s="297">
        <f t="shared" si="27"/>
        <v>20.680396527777777</v>
      </c>
      <c r="R105" s="190"/>
      <c r="S105" s="308"/>
      <c r="X105" s="212"/>
    </row>
    <row r="106" spans="1:24" s="12" customFormat="1" ht="20.100000000000001" customHeight="1" x14ac:dyDescent="0.2">
      <c r="A106" s="298">
        <f>IF(J106&lt;&gt;"",1+MAX($A$18:A105),"")</f>
        <v>60</v>
      </c>
      <c r="B106" s="346" t="s">
        <v>716</v>
      </c>
      <c r="C106" s="346" t="s">
        <v>718</v>
      </c>
      <c r="D106" s="347" t="s">
        <v>39</v>
      </c>
      <c r="E106" s="302" t="s">
        <v>222</v>
      </c>
      <c r="F106" s="357" t="s">
        <v>704</v>
      </c>
      <c r="G106" s="288">
        <v>20</v>
      </c>
      <c r="H106" s="196">
        <f>IF(VLOOKUP(J106,'HOURLY RATES'!B$116:C$124,2,0)=0,$J$3,VLOOKUP(J106,'HOURLY RATES'!B$116:C$124,2,0))</f>
        <v>0.05</v>
      </c>
      <c r="I106" s="290">
        <f t="shared" si="23"/>
        <v>21</v>
      </c>
      <c r="J106" s="291" t="s">
        <v>17</v>
      </c>
      <c r="K106" s="368">
        <f>0.004*3</f>
        <v>1.2E-2</v>
      </c>
      <c r="L106" s="369">
        <f t="shared" si="24"/>
        <v>0.252</v>
      </c>
      <c r="M106" s="185">
        <f>IF(VLOOKUP(E106,'HOURLY RATES'!C$6:D$105,2,0)=0,$E$3,VLOOKUP(E106,'HOURLY RATES'!C$6:D$105,2,0))</f>
        <v>26.6815</v>
      </c>
      <c r="N106" s="370">
        <f t="shared" si="25"/>
        <v>6.723738</v>
      </c>
      <c r="O106" s="296">
        <v>0.1</v>
      </c>
      <c r="P106" s="295">
        <f t="shared" si="26"/>
        <v>2.1</v>
      </c>
      <c r="Q106" s="297">
        <f t="shared" si="27"/>
        <v>8.8237380000000005</v>
      </c>
      <c r="R106" s="190"/>
      <c r="S106" s="308"/>
      <c r="X106" s="212"/>
    </row>
    <row r="107" spans="1:24" s="12" customFormat="1" ht="20.100000000000001" customHeight="1" x14ac:dyDescent="0.2">
      <c r="A107" s="298" t="str">
        <f>IF(J107&lt;&gt;"",1+MAX($A$18:A106),"")</f>
        <v/>
      </c>
      <c r="B107" s="346"/>
      <c r="C107" s="346"/>
      <c r="D107" s="347"/>
      <c r="E107" s="302"/>
      <c r="F107" s="357"/>
      <c r="G107" s="288"/>
      <c r="H107" s="196"/>
      <c r="I107" s="290"/>
      <c r="J107" s="291"/>
      <c r="K107" s="368"/>
      <c r="L107" s="369"/>
      <c r="M107" s="185"/>
      <c r="N107" s="370"/>
      <c r="O107" s="296"/>
      <c r="P107" s="295"/>
      <c r="Q107" s="297"/>
      <c r="R107" s="190"/>
      <c r="S107" s="308"/>
      <c r="X107" s="212"/>
    </row>
    <row r="108" spans="1:24" s="12" customFormat="1" ht="20.100000000000001" customHeight="1" x14ac:dyDescent="0.2">
      <c r="A108" s="298" t="str">
        <f>IF(J108&lt;&gt;"",1+MAX($A$18:A107),"")</f>
        <v/>
      </c>
      <c r="B108" s="346"/>
      <c r="C108" s="346"/>
      <c r="D108" s="347"/>
      <c r="E108" s="302"/>
      <c r="F108" s="313" t="s">
        <v>693</v>
      </c>
      <c r="G108" s="373"/>
      <c r="H108" s="374"/>
      <c r="I108" s="375"/>
      <c r="J108" s="291"/>
      <c r="K108" s="368"/>
      <c r="L108" s="369"/>
      <c r="M108" s="294"/>
      <c r="N108" s="370"/>
      <c r="O108" s="296"/>
      <c r="P108" s="295"/>
      <c r="Q108" s="297"/>
      <c r="R108" s="190"/>
      <c r="S108" s="308"/>
      <c r="X108" s="212"/>
    </row>
    <row r="109" spans="1:24" s="12" customFormat="1" ht="20.100000000000001" customHeight="1" x14ac:dyDescent="0.2">
      <c r="A109" s="298">
        <f>IF(J109&lt;&gt;"",1+MAX($A$18:A108),"")</f>
        <v>61</v>
      </c>
      <c r="B109" s="346" t="s">
        <v>420</v>
      </c>
      <c r="C109" s="346" t="s">
        <v>695</v>
      </c>
      <c r="D109" s="347" t="s">
        <v>39</v>
      </c>
      <c r="E109" s="302" t="s">
        <v>222</v>
      </c>
      <c r="F109" s="357" t="s">
        <v>956</v>
      </c>
      <c r="G109" s="288">
        <v>1</v>
      </c>
      <c r="H109" s="196">
        <f>IF(VLOOKUP(J109,'HOURLY RATES'!B$116:C$124,2,0)=0,$J$3,VLOOKUP(J109,'HOURLY RATES'!B$116:C$124,2,0))</f>
        <v>0</v>
      </c>
      <c r="I109" s="290">
        <f t="shared" ref="I109" si="28">(G109*(1+H109))</f>
        <v>1</v>
      </c>
      <c r="J109" s="291" t="s">
        <v>16</v>
      </c>
      <c r="K109" s="368">
        <v>4</v>
      </c>
      <c r="L109" s="369">
        <f>K109*I109</f>
        <v>4</v>
      </c>
      <c r="M109" s="185">
        <f>IF(VLOOKUP(E109,'HOURLY RATES'!C$6:D$105,2,0)=0,$E$3,VLOOKUP(E109,'HOURLY RATES'!C$6:D$105,2,0))</f>
        <v>26.6815</v>
      </c>
      <c r="N109" s="370">
        <f t="shared" ref="N109" si="29">M109*L109</f>
        <v>106.726</v>
      </c>
      <c r="O109" s="296">
        <f>180+0.3*M109</f>
        <v>188.00444999999999</v>
      </c>
      <c r="P109" s="295">
        <f t="shared" ref="P109" si="30">O109*I109</f>
        <v>188.00444999999999</v>
      </c>
      <c r="Q109" s="297">
        <f t="shared" ref="Q109" si="31">P109+N109</f>
        <v>294.73045000000002</v>
      </c>
      <c r="R109" s="190"/>
      <c r="S109" s="308"/>
      <c r="X109" s="212"/>
    </row>
    <row r="110" spans="1:24" s="12" customFormat="1" ht="20.100000000000001" customHeight="1" x14ac:dyDescent="0.2">
      <c r="A110" s="298">
        <f>IF(J110&lt;&gt;"",1+MAX($A$18:A109),"")</f>
        <v>62</v>
      </c>
      <c r="B110" s="346" t="s">
        <v>420</v>
      </c>
      <c r="C110" s="346" t="s">
        <v>695</v>
      </c>
      <c r="D110" s="347" t="s">
        <v>39</v>
      </c>
      <c r="E110" s="302" t="s">
        <v>222</v>
      </c>
      <c r="F110" s="357" t="s">
        <v>957</v>
      </c>
      <c r="G110" s="288">
        <v>1</v>
      </c>
      <c r="H110" s="196">
        <f>IF(VLOOKUP(J110,'HOURLY RATES'!B$116:C$124,2,0)=0,$J$3,VLOOKUP(J110,'HOURLY RATES'!B$116:C$124,2,0))</f>
        <v>0</v>
      </c>
      <c r="I110" s="290">
        <f t="shared" ref="I110" si="32">(G110*(1+H110))</f>
        <v>1</v>
      </c>
      <c r="J110" s="291" t="s">
        <v>16</v>
      </c>
      <c r="K110" s="368">
        <v>4</v>
      </c>
      <c r="L110" s="369">
        <f>K110*I110</f>
        <v>4</v>
      </c>
      <c r="M110" s="185">
        <f>IF(VLOOKUP(E110,'HOURLY RATES'!C$6:D$105,2,0)=0,$E$3,VLOOKUP(E110,'HOURLY RATES'!C$6:D$105,2,0))</f>
        <v>26.6815</v>
      </c>
      <c r="N110" s="370">
        <f t="shared" ref="N110" si="33">M110*L110</f>
        <v>106.726</v>
      </c>
      <c r="O110" s="296">
        <f>180+0.3*M110</f>
        <v>188.00444999999999</v>
      </c>
      <c r="P110" s="295">
        <f t="shared" ref="P110" si="34">O110*I110</f>
        <v>188.00444999999999</v>
      </c>
      <c r="Q110" s="297">
        <f t="shared" ref="Q110" si="35">P110+N110</f>
        <v>294.73045000000002</v>
      </c>
      <c r="R110" s="190"/>
      <c r="S110" s="308"/>
      <c r="X110" s="212"/>
    </row>
    <row r="111" spans="1:24" s="12" customFormat="1" ht="19.5" customHeight="1" x14ac:dyDescent="0.2">
      <c r="A111" s="298">
        <f>IF(J111&lt;&gt;"",1+MAX($A$18:A110),"")</f>
        <v>63</v>
      </c>
      <c r="B111" s="355" t="s">
        <v>420</v>
      </c>
      <c r="C111" s="355" t="s">
        <v>695</v>
      </c>
      <c r="D111" s="347" t="s">
        <v>39</v>
      </c>
      <c r="E111" s="302" t="s">
        <v>222</v>
      </c>
      <c r="F111" s="357" t="s">
        <v>701</v>
      </c>
      <c r="G111" s="288">
        <f>56+70</f>
        <v>126</v>
      </c>
      <c r="H111" s="196">
        <f>IF(VLOOKUP(J111,'HOURLY RATES'!B$116:C$124,2,0)=0,$J$3,VLOOKUP(J111,'HOURLY RATES'!B$116:C$124,2,0))</f>
        <v>0.05</v>
      </c>
      <c r="I111" s="290">
        <f t="shared" ref="I111" si="36">(G111*(1+H111))</f>
        <v>132.30000000000001</v>
      </c>
      <c r="J111" s="183" t="s">
        <v>17</v>
      </c>
      <c r="K111" s="368">
        <v>4.0000000000000001E-3</v>
      </c>
      <c r="L111" s="369">
        <f t="shared" ref="L111" si="37">K111*I111</f>
        <v>0.5292</v>
      </c>
      <c r="M111" s="185">
        <f>IF(VLOOKUP(E111,'HOURLY RATES'!C$6:D$105,2,0)=0,$E$3,VLOOKUP(E111,'HOURLY RATES'!C$6:D$105,2,0))</f>
        <v>26.6815</v>
      </c>
      <c r="N111" s="197">
        <f t="shared" ref="N111" si="38">M111*L111</f>
        <v>14.119849800000001</v>
      </c>
      <c r="O111" s="296">
        <f>61.25/100</f>
        <v>0.61250000000000004</v>
      </c>
      <c r="P111" s="188">
        <f t="shared" ref="P111" si="39">O111*I111</f>
        <v>81.033750000000012</v>
      </c>
      <c r="Q111" s="189">
        <f t="shared" ref="Q111" si="40">P111+N111</f>
        <v>95.153599800000009</v>
      </c>
      <c r="R111" s="190"/>
      <c r="S111" s="308"/>
      <c r="X111" s="212"/>
    </row>
    <row r="112" spans="1:24" s="12" customFormat="1" ht="19.5" customHeight="1" x14ac:dyDescent="0.2">
      <c r="A112" s="298">
        <f>IF(J112&lt;&gt;"",1+MAX($A$18:A111),"")</f>
        <v>64</v>
      </c>
      <c r="B112" s="355" t="s">
        <v>420</v>
      </c>
      <c r="C112" s="355" t="s">
        <v>695</v>
      </c>
      <c r="D112" s="347" t="s">
        <v>39</v>
      </c>
      <c r="E112" s="302" t="s">
        <v>243</v>
      </c>
      <c r="F112" s="357" t="s">
        <v>921</v>
      </c>
      <c r="G112" s="288">
        <f>56+70</f>
        <v>126</v>
      </c>
      <c r="H112" s="196">
        <f>IF(VLOOKUP(J112,'HOURLY RATES'!B$116:C$124,2,0)=0,$J$3,VLOOKUP(J112,'HOURLY RATES'!B$116:C$124,2,0))</f>
        <v>0.05</v>
      </c>
      <c r="I112" s="290">
        <f t="shared" ref="I112" si="41">(G112*(1+H112))</f>
        <v>132.30000000000001</v>
      </c>
      <c r="J112" s="183" t="s">
        <v>17</v>
      </c>
      <c r="K112" s="368">
        <v>5.0000000000000001E-3</v>
      </c>
      <c r="L112" s="369">
        <f>K112*I112</f>
        <v>0.66150000000000009</v>
      </c>
      <c r="M112" s="185">
        <f>IF(VLOOKUP(E112,'HOURLY RATES'!C$6:D$105,2,0)=0,$E$3,VLOOKUP(E112,'HOURLY RATES'!C$6:D$105,2,0))</f>
        <v>36.0703125</v>
      </c>
      <c r="N112" s="197">
        <f t="shared" ref="N112" si="42">M112*L112</f>
        <v>23.860511718750004</v>
      </c>
      <c r="O112" s="296">
        <v>0.22</v>
      </c>
      <c r="P112" s="188">
        <f t="shared" ref="P112" si="43">O112*I112</f>
        <v>29.106000000000002</v>
      </c>
      <c r="Q112" s="189">
        <f t="shared" ref="Q112" si="44">P112+N112</f>
        <v>52.966511718750006</v>
      </c>
      <c r="R112" s="190"/>
      <c r="S112" s="311"/>
      <c r="X112" s="212"/>
    </row>
    <row r="113" spans="1:24" s="12" customFormat="1" ht="19.5" customHeight="1" x14ac:dyDescent="0.2">
      <c r="A113" s="298" t="str">
        <f>IF(J113&lt;&gt;"",1+MAX($A$18:A112),"")</f>
        <v/>
      </c>
      <c r="B113" s="346"/>
      <c r="C113" s="346"/>
      <c r="D113" s="347"/>
      <c r="E113" s="302"/>
      <c r="F113" s="357"/>
      <c r="G113" s="288"/>
      <c r="H113" s="196"/>
      <c r="I113" s="290"/>
      <c r="J113" s="291"/>
      <c r="K113" s="368"/>
      <c r="L113" s="369"/>
      <c r="M113" s="185"/>
      <c r="N113" s="370"/>
      <c r="O113" s="296"/>
      <c r="P113" s="295"/>
      <c r="Q113" s="297"/>
      <c r="R113" s="190"/>
      <c r="S113" s="308"/>
      <c r="X113" s="212"/>
    </row>
    <row r="114" spans="1:24" s="12" customFormat="1" ht="20.100000000000001" customHeight="1" x14ac:dyDescent="0.2">
      <c r="A114" s="298" t="str">
        <f>IF(J114&lt;&gt;"",1+MAX($A$18:A113),"")</f>
        <v/>
      </c>
      <c r="B114" s="346"/>
      <c r="C114" s="346"/>
      <c r="D114" s="347"/>
      <c r="E114" s="302"/>
      <c r="F114" s="286" t="s">
        <v>876</v>
      </c>
      <c r="G114" s="288"/>
      <c r="H114" s="196"/>
      <c r="I114" s="290"/>
      <c r="J114" s="291"/>
      <c r="K114" s="368"/>
      <c r="L114" s="369"/>
      <c r="M114" s="185"/>
      <c r="N114" s="370"/>
      <c r="O114" s="296"/>
      <c r="P114" s="295"/>
      <c r="Q114" s="297"/>
      <c r="R114" s="190"/>
      <c r="S114" s="308"/>
      <c r="X114" s="212"/>
    </row>
    <row r="115" spans="1:24" s="12" customFormat="1" ht="19.5" customHeight="1" x14ac:dyDescent="0.2">
      <c r="A115" s="298">
        <f>IF(J115&lt;&gt;"",1+MAX($A$18:A114),"")</f>
        <v>65</v>
      </c>
      <c r="B115" s="346"/>
      <c r="C115" s="346"/>
      <c r="D115" s="347" t="s">
        <v>39</v>
      </c>
      <c r="E115" s="302" t="s">
        <v>222</v>
      </c>
      <c r="F115" s="357" t="s">
        <v>877</v>
      </c>
      <c r="G115" s="288">
        <f>117+20+937</f>
        <v>1074</v>
      </c>
      <c r="H115" s="196">
        <f>IF(VLOOKUP(J115,'HOURLY RATES'!B$116:C$124,2,0)=0,$J$3,VLOOKUP(J115,'HOURLY RATES'!B$116:C$124,2,0))</f>
        <v>0.05</v>
      </c>
      <c r="I115" s="290">
        <f t="shared" si="23"/>
        <v>1127.7</v>
      </c>
      <c r="J115" s="291" t="s">
        <v>17</v>
      </c>
      <c r="K115" s="368">
        <f>0.0025*(M850/M115)</f>
        <v>5.782372559170211E-3</v>
      </c>
      <c r="L115" s="369">
        <f t="shared" si="24"/>
        <v>6.5207815349762477</v>
      </c>
      <c r="M115" s="185">
        <f>IF(VLOOKUP(E115,'HOURLY RATES'!C$6:D$105,2,0)=0,$E$3,VLOOKUP(E115,'HOURLY RATES'!C$6:D$105,2,0))</f>
        <v>26.6815</v>
      </c>
      <c r="N115" s="370">
        <f t="shared" si="25"/>
        <v>173.98423252546874</v>
      </c>
      <c r="O115" s="296"/>
      <c r="P115" s="295">
        <f t="shared" si="26"/>
        <v>0</v>
      </c>
      <c r="Q115" s="297">
        <f t="shared" si="27"/>
        <v>173.98423252546874</v>
      </c>
      <c r="R115" s="190"/>
      <c r="S115" s="308"/>
      <c r="X115" s="212"/>
    </row>
    <row r="116" spans="1:24" s="12" customFormat="1" ht="20.100000000000001" customHeight="1" x14ac:dyDescent="0.2">
      <c r="A116" s="298" t="str">
        <f>IF(J116&lt;&gt;"",1+MAX($A$18:A115),"")</f>
        <v/>
      </c>
      <c r="B116" s="346"/>
      <c r="C116" s="346"/>
      <c r="D116" s="347"/>
      <c r="E116" s="302"/>
      <c r="F116" s="357"/>
      <c r="G116" s="288"/>
      <c r="H116" s="196"/>
      <c r="I116" s="290"/>
      <c r="J116" s="291"/>
      <c r="K116" s="368"/>
      <c r="L116" s="369"/>
      <c r="M116" s="185"/>
      <c r="N116" s="370"/>
      <c r="O116" s="296"/>
      <c r="P116" s="295"/>
      <c r="Q116" s="297"/>
      <c r="R116" s="190"/>
      <c r="S116" s="308"/>
      <c r="X116" s="212"/>
    </row>
    <row r="117" spans="1:24" s="12" customFormat="1" ht="20.100000000000001" customHeight="1" x14ac:dyDescent="0.2">
      <c r="A117" s="298" t="str">
        <f>IF(J117&lt;&gt;"",1+MAX($A$18:A116),"")</f>
        <v/>
      </c>
      <c r="B117" s="346"/>
      <c r="C117" s="346"/>
      <c r="D117" s="347"/>
      <c r="E117" s="302"/>
      <c r="F117" s="286" t="s">
        <v>705</v>
      </c>
      <c r="G117" s="288"/>
      <c r="H117" s="196"/>
      <c r="I117" s="290"/>
      <c r="J117" s="291"/>
      <c r="K117" s="368"/>
      <c r="L117" s="369"/>
      <c r="M117" s="185"/>
      <c r="N117" s="370"/>
      <c r="O117" s="296"/>
      <c r="P117" s="295"/>
      <c r="Q117" s="297"/>
      <c r="R117" s="190"/>
      <c r="S117" s="308"/>
      <c r="X117" s="212"/>
    </row>
    <row r="118" spans="1:24" s="12" customFormat="1" ht="19.5" customHeight="1" x14ac:dyDescent="0.2">
      <c r="A118" s="298">
        <f>IF(J118&lt;&gt;"",1+MAX($A$18:A117),"")</f>
        <v>66</v>
      </c>
      <c r="B118" s="346" t="s">
        <v>719</v>
      </c>
      <c r="C118" s="346" t="s">
        <v>720</v>
      </c>
      <c r="D118" s="347" t="s">
        <v>39</v>
      </c>
      <c r="E118" s="302" t="s">
        <v>220</v>
      </c>
      <c r="F118" s="357" t="s">
        <v>706</v>
      </c>
      <c r="G118" s="288">
        <f>495-153</f>
        <v>342</v>
      </c>
      <c r="H118" s="196">
        <f>IF(VLOOKUP(J118,'HOURLY RATES'!B$116:C$124,2,0)=0,$J$3,VLOOKUP(J118,'HOURLY RATES'!B$116:C$124,2,0))</f>
        <v>0.05</v>
      </c>
      <c r="I118" s="290">
        <f t="shared" si="23"/>
        <v>359.1</v>
      </c>
      <c r="J118" s="291" t="s">
        <v>19</v>
      </c>
      <c r="K118" s="368">
        <v>0.154</v>
      </c>
      <c r="L118" s="369">
        <f t="shared" si="24"/>
        <v>55.301400000000001</v>
      </c>
      <c r="M118" s="185">
        <f>IF(VLOOKUP(E118,'HOURLY RATES'!C$6:D$105,2,0)=0,$E$3,VLOOKUP(E118,'HOURLY RATES'!C$6:D$105,2,0))</f>
        <v>23.2578</v>
      </c>
      <c r="N118" s="370">
        <f t="shared" si="25"/>
        <v>1286.1889009199999</v>
      </c>
      <c r="O118" s="296">
        <v>0.496</v>
      </c>
      <c r="P118" s="295">
        <f t="shared" si="26"/>
        <v>178.11360000000002</v>
      </c>
      <c r="Q118" s="297">
        <f t="shared" si="27"/>
        <v>1464.3025009200001</v>
      </c>
      <c r="R118" s="190"/>
      <c r="S118" s="308"/>
      <c r="X118" s="212"/>
    </row>
    <row r="119" spans="1:24" s="12" customFormat="1" ht="20.100000000000001" customHeight="1" x14ac:dyDescent="0.2">
      <c r="A119" s="298">
        <f>IF(J119&lt;&gt;"",1+MAX($A$18:A118),"")</f>
        <v>67</v>
      </c>
      <c r="B119" s="346" t="s">
        <v>721</v>
      </c>
      <c r="C119" s="346" t="s">
        <v>722</v>
      </c>
      <c r="D119" s="347" t="s">
        <v>39</v>
      </c>
      <c r="E119" s="302" t="s">
        <v>220</v>
      </c>
      <c r="F119" s="357" t="s">
        <v>707</v>
      </c>
      <c r="G119" s="288">
        <v>79</v>
      </c>
      <c r="H119" s="196">
        <f>IF(VLOOKUP(J119,'HOURLY RATES'!B$116:C$124,2,0)=0,$J$3,VLOOKUP(J119,'HOURLY RATES'!B$116:C$124,2,0))</f>
        <v>0.05</v>
      </c>
      <c r="I119" s="290">
        <f t="shared" si="23"/>
        <v>82.95</v>
      </c>
      <c r="J119" s="291" t="s">
        <v>19</v>
      </c>
      <c r="K119" s="368">
        <v>1.6E-2</v>
      </c>
      <c r="L119" s="369">
        <f>K119*I119</f>
        <v>1.3272000000000002</v>
      </c>
      <c r="M119" s="185">
        <f>IF(VLOOKUP(E119,'HOURLY RATES'!C$6:D$105,2,0)=0,$E$3,VLOOKUP(E119,'HOURLY RATES'!C$6:D$105,2,0))</f>
        <v>23.2578</v>
      </c>
      <c r="N119" s="370">
        <f t="shared" si="25"/>
        <v>30.867752160000002</v>
      </c>
      <c r="O119" s="296">
        <v>0.05</v>
      </c>
      <c r="P119" s="295">
        <f t="shared" si="26"/>
        <v>4.1475</v>
      </c>
      <c r="Q119" s="297">
        <f t="shared" si="27"/>
        <v>35.015252160000003</v>
      </c>
      <c r="R119" s="190"/>
      <c r="S119" s="308"/>
      <c r="X119" s="212"/>
    </row>
    <row r="120" spans="1:24" s="12" customFormat="1" ht="20.100000000000001" customHeight="1" x14ac:dyDescent="0.2">
      <c r="A120" s="298" t="str">
        <f>IF(J120&lt;&gt;"",1+MAX($A$18:A119),"")</f>
        <v/>
      </c>
      <c r="B120" s="346"/>
      <c r="C120" s="346"/>
      <c r="D120" s="347"/>
      <c r="E120" s="302"/>
      <c r="F120" s="357"/>
      <c r="G120" s="288"/>
      <c r="H120" s="196"/>
      <c r="I120" s="290"/>
      <c r="J120" s="291"/>
      <c r="K120" s="368"/>
      <c r="L120" s="369"/>
      <c r="M120" s="185"/>
      <c r="N120" s="370"/>
      <c r="O120" s="296"/>
      <c r="P120" s="295"/>
      <c r="Q120" s="297"/>
      <c r="R120" s="190"/>
      <c r="S120" s="308"/>
      <c r="X120" s="212"/>
    </row>
    <row r="121" spans="1:24" s="12" customFormat="1" ht="20.100000000000001" customHeight="1" x14ac:dyDescent="0.2">
      <c r="A121" s="298" t="str">
        <f>IF(J121&lt;&gt;"",1+MAX($A$18:A120),"")</f>
        <v/>
      </c>
      <c r="B121" s="346"/>
      <c r="C121" s="346"/>
      <c r="D121" s="347"/>
      <c r="E121" s="302"/>
      <c r="F121" s="358" t="s">
        <v>708</v>
      </c>
      <c r="G121" s="288"/>
      <c r="H121" s="196"/>
      <c r="I121" s="290"/>
      <c r="J121" s="291"/>
      <c r="K121" s="368"/>
      <c r="L121" s="369"/>
      <c r="M121" s="185"/>
      <c r="N121" s="370"/>
      <c r="O121" s="296"/>
      <c r="P121" s="295"/>
      <c r="Q121" s="297"/>
      <c r="R121" s="190"/>
      <c r="S121" s="308"/>
      <c r="X121" s="212"/>
    </row>
    <row r="122" spans="1:24" s="12" customFormat="1" ht="20.100000000000001" customHeight="1" x14ac:dyDescent="0.2">
      <c r="A122" s="298">
        <f>IF(J122&lt;&gt;"",1+MAX($A$18:A121),"")</f>
        <v>68</v>
      </c>
      <c r="B122" s="346" t="s">
        <v>716</v>
      </c>
      <c r="C122" s="346" t="s">
        <v>723</v>
      </c>
      <c r="D122" s="347" t="s">
        <v>39</v>
      </c>
      <c r="E122" s="302" t="s">
        <v>243</v>
      </c>
      <c r="F122" s="357" t="s">
        <v>922</v>
      </c>
      <c r="G122" s="288">
        <f>368*2</f>
        <v>736</v>
      </c>
      <c r="H122" s="196">
        <f>IF(VLOOKUP(J122,'HOURLY RATES'!B$116:C$124,2,0)=0,$J$3,VLOOKUP(J122,'HOURLY RATES'!B$116:C$124,2,0))</f>
        <v>0.05</v>
      </c>
      <c r="I122" s="290">
        <f t="shared" si="23"/>
        <v>772.80000000000007</v>
      </c>
      <c r="J122" s="291" t="s">
        <v>17</v>
      </c>
      <c r="K122" s="368">
        <v>1.2E-2</v>
      </c>
      <c r="L122" s="369">
        <f t="shared" si="24"/>
        <v>9.2736000000000018</v>
      </c>
      <c r="M122" s="185">
        <f>IF(VLOOKUP(E122,'HOURLY RATES'!C$6:D$105,2,0)=0,$E$3,VLOOKUP(E122,'HOURLY RATES'!C$6:D$105,2,0))</f>
        <v>36.0703125</v>
      </c>
      <c r="N122" s="370">
        <f t="shared" si="25"/>
        <v>334.50165000000004</v>
      </c>
      <c r="O122" s="296">
        <f>392.47/(5*26)</f>
        <v>3.0190000000000001</v>
      </c>
      <c r="P122" s="295">
        <f t="shared" si="26"/>
        <v>2333.0832000000005</v>
      </c>
      <c r="Q122" s="297">
        <f t="shared" si="27"/>
        <v>2667.5848500000006</v>
      </c>
      <c r="R122" s="190"/>
      <c r="S122" s="308"/>
      <c r="X122" s="212"/>
    </row>
    <row r="123" spans="1:24" s="12" customFormat="1" ht="20.100000000000001" customHeight="1" x14ac:dyDescent="0.2">
      <c r="A123" s="298">
        <f>IF(J123&lt;&gt;"",1+MAX($A$18:A122),"")</f>
        <v>69</v>
      </c>
      <c r="B123" s="346" t="s">
        <v>716</v>
      </c>
      <c r="C123" s="346" t="s">
        <v>723</v>
      </c>
      <c r="D123" s="347" t="s">
        <v>39</v>
      </c>
      <c r="E123" s="302" t="s">
        <v>243</v>
      </c>
      <c r="F123" s="357" t="s">
        <v>709</v>
      </c>
      <c r="G123" s="288">
        <f>368*2</f>
        <v>736</v>
      </c>
      <c r="H123" s="196">
        <f>IF(VLOOKUP(J123,'HOURLY RATES'!B$116:C$124,2,0)=0,$J$3,VLOOKUP(J123,'HOURLY RATES'!B$116:C$124,2,0))</f>
        <v>0.05</v>
      </c>
      <c r="I123" s="290">
        <f t="shared" si="23"/>
        <v>772.80000000000007</v>
      </c>
      <c r="J123" s="291" t="s">
        <v>17</v>
      </c>
      <c r="K123" s="368">
        <v>0.01</v>
      </c>
      <c r="L123" s="369">
        <f t="shared" si="24"/>
        <v>7.7280000000000006</v>
      </c>
      <c r="M123" s="185">
        <f>IF(VLOOKUP(E123,'HOURLY RATES'!C$6:D$105,2,0)=0,$E$3,VLOOKUP(E123,'HOURLY RATES'!C$6:D$105,2,0))</f>
        <v>36.0703125</v>
      </c>
      <c r="N123" s="370">
        <f t="shared" si="25"/>
        <v>278.751375</v>
      </c>
      <c r="O123" s="296">
        <f>55.45/32</f>
        <v>1.7328125000000001</v>
      </c>
      <c r="P123" s="295">
        <f t="shared" si="26"/>
        <v>1339.1175000000003</v>
      </c>
      <c r="Q123" s="297">
        <f t="shared" si="27"/>
        <v>1617.8688750000003</v>
      </c>
      <c r="R123" s="190"/>
      <c r="S123" s="308"/>
      <c r="X123" s="212"/>
    </row>
    <row r="124" spans="1:24" s="12" customFormat="1" ht="20.100000000000001" customHeight="1" x14ac:dyDescent="0.2">
      <c r="A124" s="298" t="str">
        <f>IF(J124&lt;&gt;"",1+MAX($A$18:A123),"")</f>
        <v/>
      </c>
      <c r="B124" s="346"/>
      <c r="C124" s="346"/>
      <c r="D124" s="347"/>
      <c r="E124" s="302"/>
      <c r="F124" s="357"/>
      <c r="G124" s="288"/>
      <c r="H124" s="196"/>
      <c r="I124" s="290"/>
      <c r="J124" s="291"/>
      <c r="K124" s="368"/>
      <c r="L124" s="369"/>
      <c r="M124" s="185"/>
      <c r="N124" s="370"/>
      <c r="O124" s="296"/>
      <c r="P124" s="295"/>
      <c r="Q124" s="297"/>
      <c r="R124" s="190"/>
      <c r="S124" s="308"/>
      <c r="X124" s="212"/>
    </row>
    <row r="125" spans="1:24" s="12" customFormat="1" ht="20.100000000000001" customHeight="1" x14ac:dyDescent="0.2">
      <c r="A125" s="298">
        <f>IF(J125&lt;&gt;"",1+MAX($A$18:A124),"")</f>
        <v>70</v>
      </c>
      <c r="B125" s="346" t="s">
        <v>716</v>
      </c>
      <c r="C125" s="346" t="s">
        <v>723</v>
      </c>
      <c r="D125" s="347" t="s">
        <v>39</v>
      </c>
      <c r="E125" s="302" t="s">
        <v>222</v>
      </c>
      <c r="F125" s="357" t="s">
        <v>710</v>
      </c>
      <c r="G125" s="288">
        <f>368*2</f>
        <v>736</v>
      </c>
      <c r="H125" s="196">
        <f>IF(VLOOKUP(J125,'HOURLY RATES'!B$116:C$124,2,0)=0,$J$3,VLOOKUP(J125,'HOURLY RATES'!B$116:C$124,2,0))</f>
        <v>0.05</v>
      </c>
      <c r="I125" s="290">
        <f t="shared" si="23"/>
        <v>772.80000000000007</v>
      </c>
      <c r="J125" s="291" t="s">
        <v>17</v>
      </c>
      <c r="K125" s="368">
        <v>1.2E-2</v>
      </c>
      <c r="L125" s="369">
        <f t="shared" si="24"/>
        <v>9.2736000000000018</v>
      </c>
      <c r="M125" s="185">
        <f>IF(VLOOKUP(E125,'HOURLY RATES'!C$6:D$105,2,0)=0,$E$3,VLOOKUP(E125,'HOURLY RATES'!C$6:D$105,2,0))</f>
        <v>26.6815</v>
      </c>
      <c r="N125" s="370">
        <f t="shared" si="25"/>
        <v>247.43355840000004</v>
      </c>
      <c r="O125" s="296">
        <f>1262.92/768</f>
        <v>1.6444270833333334</v>
      </c>
      <c r="P125" s="295">
        <f t="shared" si="26"/>
        <v>1270.8132500000002</v>
      </c>
      <c r="Q125" s="297">
        <f t="shared" si="27"/>
        <v>1518.2468084000002</v>
      </c>
      <c r="R125" s="190"/>
      <c r="S125" s="308"/>
      <c r="X125" s="212"/>
    </row>
    <row r="126" spans="1:24" s="12" customFormat="1" ht="19.5" customHeight="1" x14ac:dyDescent="0.2">
      <c r="A126" s="298">
        <f>IF(J126&lt;&gt;"",1+MAX($A$18:A125),"")</f>
        <v>71</v>
      </c>
      <c r="B126" s="355" t="s">
        <v>716</v>
      </c>
      <c r="C126" s="355" t="s">
        <v>723</v>
      </c>
      <c r="D126" s="347" t="s">
        <v>39</v>
      </c>
      <c r="E126" s="302" t="s">
        <v>222</v>
      </c>
      <c r="F126" s="357" t="s">
        <v>710</v>
      </c>
      <c r="G126" s="288">
        <f>937+117+20</f>
        <v>1074</v>
      </c>
      <c r="H126" s="196">
        <f>IF(VLOOKUP(J126,'HOURLY RATES'!B$116:C$124,2,0)=0,$J$3,VLOOKUP(J126,'HOURLY RATES'!B$116:C$124,2,0))</f>
        <v>0.05</v>
      </c>
      <c r="I126" s="251">
        <f t="shared" ref="I126" si="45">(G126*(1+H126))</f>
        <v>1127.7</v>
      </c>
      <c r="J126" s="183" t="s">
        <v>17</v>
      </c>
      <c r="K126" s="368">
        <v>1.2E-2</v>
      </c>
      <c r="L126" s="369">
        <f t="shared" ref="L126" si="46">K126*I126</f>
        <v>13.532400000000001</v>
      </c>
      <c r="M126" s="185">
        <f>IF(VLOOKUP(E126,'HOURLY RATES'!C$6:D$105,2,0)=0,$E$3,VLOOKUP(E126,'HOURLY RATES'!C$6:D$105,2,0))</f>
        <v>26.6815</v>
      </c>
      <c r="N126" s="197">
        <f t="shared" ref="N126" si="47">M126*L126</f>
        <v>361.06473060000002</v>
      </c>
      <c r="O126" s="296">
        <f>1262.92/768</f>
        <v>1.6444270833333334</v>
      </c>
      <c r="P126" s="188">
        <f t="shared" ref="P126" si="48">O126*I126</f>
        <v>1854.4204218750001</v>
      </c>
      <c r="Q126" s="189">
        <f t="shared" ref="Q126" si="49">P126+N126</f>
        <v>2215.4851524750002</v>
      </c>
      <c r="R126" s="190"/>
      <c r="S126" s="311"/>
      <c r="X126" s="212"/>
    </row>
    <row r="127" spans="1:24" s="12" customFormat="1" ht="20.100000000000001" customHeight="1" x14ac:dyDescent="0.2">
      <c r="A127" s="298" t="str">
        <f>IF(J127&lt;&gt;"",1+MAX($A$18:A126),"")</f>
        <v/>
      </c>
      <c r="B127" s="346"/>
      <c r="C127" s="346"/>
      <c r="D127" s="347"/>
      <c r="E127" s="302"/>
      <c r="F127" s="357"/>
      <c r="G127" s="288"/>
      <c r="H127" s="196"/>
      <c r="I127" s="290"/>
      <c r="J127" s="291"/>
      <c r="K127" s="368"/>
      <c r="L127" s="369"/>
      <c r="M127" s="185"/>
      <c r="N127" s="370"/>
      <c r="O127" s="296"/>
      <c r="P127" s="295"/>
      <c r="Q127" s="297"/>
      <c r="R127" s="190"/>
      <c r="S127" s="308"/>
      <c r="X127" s="212"/>
    </row>
    <row r="128" spans="1:24" s="12" customFormat="1" ht="19.5" customHeight="1" x14ac:dyDescent="0.2">
      <c r="A128" s="298" t="str">
        <f>IF(J128&lt;&gt;"",1+MAX($A$18:A127),"")</f>
        <v/>
      </c>
      <c r="B128" s="346"/>
      <c r="C128" s="346"/>
      <c r="D128" s="347"/>
      <c r="E128" s="302"/>
      <c r="F128" s="358" t="s">
        <v>711</v>
      </c>
      <c r="G128" s="288"/>
      <c r="H128" s="196"/>
      <c r="I128" s="290"/>
      <c r="J128" s="291"/>
      <c r="K128" s="368"/>
      <c r="L128" s="369"/>
      <c r="M128" s="185"/>
      <c r="N128" s="370"/>
      <c r="O128" s="296"/>
      <c r="P128" s="295"/>
      <c r="Q128" s="297"/>
      <c r="R128" s="190"/>
      <c r="S128" s="308"/>
      <c r="X128" s="212"/>
    </row>
    <row r="129" spans="1:24" s="12" customFormat="1" ht="20.100000000000001" customHeight="1" x14ac:dyDescent="0.2">
      <c r="A129" s="298">
        <f>IF(J129&lt;&gt;"",1+MAX($A$18:A128),"")</f>
        <v>72</v>
      </c>
      <c r="B129" s="346"/>
      <c r="C129" s="346"/>
      <c r="D129" s="347" t="s">
        <v>39</v>
      </c>
      <c r="E129" s="302" t="s">
        <v>222</v>
      </c>
      <c r="F129" s="357" t="s">
        <v>712</v>
      </c>
      <c r="G129" s="288">
        <f>(2+1+1*(287))</f>
        <v>290</v>
      </c>
      <c r="H129" s="196">
        <f>IF(VLOOKUP(J129,'HOURLY RATES'!B$116:C$124,2,0)=0,$J$3,VLOOKUP(J129,'HOURLY RATES'!B$116:C$124,2,0))</f>
        <v>0.05</v>
      </c>
      <c r="I129" s="290">
        <f t="shared" si="23"/>
        <v>304.5</v>
      </c>
      <c r="J129" s="291" t="s">
        <v>17</v>
      </c>
      <c r="K129" s="368">
        <v>2.5000000000000001E-2</v>
      </c>
      <c r="L129" s="369">
        <f t="shared" si="24"/>
        <v>7.6125000000000007</v>
      </c>
      <c r="M129" s="185">
        <f>IF(VLOOKUP(E129,'HOURLY RATES'!C$6:D$105,2,0)=0,$E$3,VLOOKUP(E129,'HOURLY RATES'!C$6:D$105,2,0))</f>
        <v>26.6815</v>
      </c>
      <c r="N129" s="370">
        <f t="shared" si="25"/>
        <v>203.11291875000001</v>
      </c>
      <c r="O129" s="296"/>
      <c r="P129" s="295">
        <f t="shared" si="26"/>
        <v>0</v>
      </c>
      <c r="Q129" s="297">
        <f t="shared" si="27"/>
        <v>203.11291875000001</v>
      </c>
      <c r="R129" s="190"/>
      <c r="S129" s="308"/>
      <c r="X129" s="212"/>
    </row>
    <row r="130" spans="1:24" s="12" customFormat="1" ht="19.5" customHeight="1" x14ac:dyDescent="0.2">
      <c r="A130" s="298">
        <f>IF(J130&lt;&gt;"",1+MAX($A$18:A129),"")</f>
        <v>73</v>
      </c>
      <c r="B130" s="346"/>
      <c r="C130" s="346"/>
      <c r="D130" s="347" t="s">
        <v>39</v>
      </c>
      <c r="E130" s="302" t="s">
        <v>222</v>
      </c>
      <c r="F130" s="357" t="s">
        <v>713</v>
      </c>
      <c r="G130" s="288">
        <v>270</v>
      </c>
      <c r="H130" s="196">
        <f>IF(VLOOKUP(J130,'HOURLY RATES'!B$116:C$124,2,0)=0,$J$3,VLOOKUP(J130,'HOURLY RATES'!B$116:C$124,2,0))</f>
        <v>0.05</v>
      </c>
      <c r="I130" s="290">
        <f t="shared" si="23"/>
        <v>283.5</v>
      </c>
      <c r="J130" s="291" t="s">
        <v>17</v>
      </c>
      <c r="K130" s="368">
        <v>2.5000000000000001E-2</v>
      </c>
      <c r="L130" s="369">
        <f t="shared" si="24"/>
        <v>7.0875000000000004</v>
      </c>
      <c r="M130" s="185">
        <f>IF(VLOOKUP(E130,'HOURLY RATES'!C$6:D$105,2,0)=0,$E$3,VLOOKUP(E130,'HOURLY RATES'!C$6:D$105,2,0))</f>
        <v>26.6815</v>
      </c>
      <c r="N130" s="370">
        <f t="shared" si="25"/>
        <v>189.10513125</v>
      </c>
      <c r="O130" s="296"/>
      <c r="P130" s="295">
        <f t="shared" si="26"/>
        <v>0</v>
      </c>
      <c r="Q130" s="297">
        <f t="shared" si="27"/>
        <v>189.10513125</v>
      </c>
      <c r="R130" s="190"/>
      <c r="S130" s="308"/>
      <c r="X130" s="212"/>
    </row>
    <row r="131" spans="1:24" s="12" customFormat="1" ht="19.5" customHeight="1" x14ac:dyDescent="0.2">
      <c r="A131" s="298">
        <f>IF(J131&lt;&gt;"",1+MAX($A$18:A130),"")</f>
        <v>74</v>
      </c>
      <c r="B131" s="355"/>
      <c r="C131" s="355"/>
      <c r="D131" s="347" t="s">
        <v>39</v>
      </c>
      <c r="E131" s="302" t="s">
        <v>222</v>
      </c>
      <c r="F131" s="357" t="s">
        <v>907</v>
      </c>
      <c r="G131" s="288">
        <f>127*1</f>
        <v>127</v>
      </c>
      <c r="H131" s="196">
        <f>IF(VLOOKUP(J131,'HOURLY RATES'!B$116:C$124,2,0)=0,$J$3,VLOOKUP(J131,'HOURLY RATES'!B$116:C$124,2,0))</f>
        <v>0.05</v>
      </c>
      <c r="I131" s="251">
        <f t="shared" ref="I131" si="50">(G131*(1+H131))</f>
        <v>133.35</v>
      </c>
      <c r="J131" s="183" t="s">
        <v>17</v>
      </c>
      <c r="K131" s="368">
        <v>2.5000000000000001E-2</v>
      </c>
      <c r="L131" s="369">
        <f t="shared" ref="L131" si="51">K131*I131</f>
        <v>3.3337500000000002</v>
      </c>
      <c r="M131" s="185">
        <f>IF(VLOOKUP(E131,'HOURLY RATES'!C$6:D$105,2,0)=0,$E$3,VLOOKUP(E131,'HOURLY RATES'!C$6:D$105,2,0))</f>
        <v>26.6815</v>
      </c>
      <c r="N131" s="197">
        <f t="shared" ref="N131" si="52">M131*L131</f>
        <v>88.949450625000011</v>
      </c>
      <c r="O131" s="296"/>
      <c r="P131" s="188">
        <f t="shared" ref="P131" si="53">O131*I131</f>
        <v>0</v>
      </c>
      <c r="Q131" s="189">
        <f t="shared" ref="Q131" si="54">P131+N131</f>
        <v>88.949450625000011</v>
      </c>
      <c r="R131" s="190"/>
      <c r="S131" s="311"/>
      <c r="X131" s="212"/>
    </row>
    <row r="132" spans="1:24" s="12" customFormat="1" ht="20.100000000000001" customHeight="1" x14ac:dyDescent="0.2">
      <c r="A132" s="298" t="str">
        <f>IF(J132&lt;&gt;"",1+MAX($A$18:A131),"")</f>
        <v/>
      </c>
      <c r="B132" s="346"/>
      <c r="C132" s="346"/>
      <c r="D132" s="347"/>
      <c r="E132" s="302"/>
      <c r="F132" s="357"/>
      <c r="G132" s="288"/>
      <c r="H132" s="196"/>
      <c r="I132" s="290"/>
      <c r="J132" s="291"/>
      <c r="K132" s="368"/>
      <c r="L132" s="369"/>
      <c r="M132" s="185"/>
      <c r="N132" s="370"/>
      <c r="O132" s="296"/>
      <c r="P132" s="295"/>
      <c r="Q132" s="297"/>
      <c r="R132" s="190"/>
      <c r="S132" s="308"/>
      <c r="X132" s="212"/>
    </row>
    <row r="133" spans="1:24" s="12" customFormat="1" ht="20.100000000000001" customHeight="1" x14ac:dyDescent="0.2">
      <c r="A133" s="298" t="str">
        <f>IF(J133&lt;&gt;"",1+MAX($A$18:A132),"")</f>
        <v/>
      </c>
      <c r="B133" s="346"/>
      <c r="C133" s="346"/>
      <c r="D133" s="347"/>
      <c r="E133" s="302"/>
      <c r="F133" s="378" t="s">
        <v>714</v>
      </c>
      <c r="G133" s="288"/>
      <c r="H133" s="196"/>
      <c r="I133" s="290"/>
      <c r="J133" s="291"/>
      <c r="K133" s="368"/>
      <c r="L133" s="369"/>
      <c r="M133" s="185"/>
      <c r="N133" s="370"/>
      <c r="O133" s="296"/>
      <c r="P133" s="295"/>
      <c r="Q133" s="297"/>
      <c r="R133" s="190"/>
      <c r="S133" s="308"/>
      <c r="X133" s="212"/>
    </row>
    <row r="134" spans="1:24" s="12" customFormat="1" ht="20.100000000000001" customHeight="1" x14ac:dyDescent="0.2">
      <c r="A134" s="298">
        <f>IF(J134&lt;&gt;"",1+MAX($A$18:A133),"")</f>
        <v>75</v>
      </c>
      <c r="B134" s="346"/>
      <c r="C134" s="346"/>
      <c r="D134" s="347" t="s">
        <v>39</v>
      </c>
      <c r="E134" s="302" t="s">
        <v>222</v>
      </c>
      <c r="F134" s="357" t="s">
        <v>715</v>
      </c>
      <c r="G134" s="360">
        <f>SUM(G94,G93,G104)/2000</f>
        <v>0.38209544999999995</v>
      </c>
      <c r="H134" s="196">
        <f>IF(VLOOKUP(J134,'HOURLY RATES'!B$116:C$124,2,0)=0,$J$3,VLOOKUP(J134,'HOURLY RATES'!B$116:C$124,2,0))</f>
        <v>0.05</v>
      </c>
      <c r="I134" s="290">
        <f t="shared" si="23"/>
        <v>0.40120022249999998</v>
      </c>
      <c r="J134" s="291" t="s">
        <v>158</v>
      </c>
      <c r="K134" s="368">
        <v>15</v>
      </c>
      <c r="L134" s="369">
        <f t="shared" ref="L134" si="55">K134*I134</f>
        <v>6.0180033374999997</v>
      </c>
      <c r="M134" s="185">
        <f>IF(VLOOKUP(E134,'HOURLY RATES'!C$6:D$105,2,0)=0,$E$3,VLOOKUP(E134,'HOURLY RATES'!C$6:D$105,2,0))</f>
        <v>26.6815</v>
      </c>
      <c r="N134" s="370"/>
      <c r="O134" s="296">
        <f>K134*M134</f>
        <v>400.22249999999997</v>
      </c>
      <c r="P134" s="295">
        <f t="shared" si="26"/>
        <v>160.56935604950624</v>
      </c>
      <c r="Q134" s="297">
        <f t="shared" si="27"/>
        <v>160.56935604950624</v>
      </c>
      <c r="R134" s="190"/>
      <c r="S134" s="308"/>
      <c r="X134" s="212"/>
    </row>
    <row r="135" spans="1:24" s="12" customFormat="1" ht="16.5" thickBot="1" x14ac:dyDescent="0.25">
      <c r="A135" s="214" t="str">
        <f>IF(J135&lt;&gt;"",1+MAX($A$18:A134),"")</f>
        <v/>
      </c>
      <c r="B135" s="215"/>
      <c r="C135" s="215"/>
      <c r="D135" s="215"/>
      <c r="E135" s="215"/>
      <c r="F135" s="216"/>
      <c r="G135" s="217"/>
      <c r="H135" s="218"/>
      <c r="I135" s="219"/>
      <c r="J135" s="220"/>
      <c r="K135" s="390"/>
      <c r="L135" s="222"/>
      <c r="M135" s="223"/>
      <c r="N135" s="224"/>
      <c r="O135" s="392"/>
      <c r="P135" s="226"/>
      <c r="Q135" s="227"/>
      <c r="R135" s="228"/>
      <c r="X135" s="212"/>
    </row>
    <row r="136" spans="1:24" s="12" customFormat="1" ht="20.100000000000001" customHeight="1" x14ac:dyDescent="0.2">
      <c r="A136" s="479" t="str">
        <f>IF(J136&lt;&gt;"",1+MAX($A$18:A135),"")</f>
        <v/>
      </c>
      <c r="B136" s="480"/>
      <c r="C136" s="480"/>
      <c r="D136" s="485" t="s">
        <v>74</v>
      </c>
      <c r="E136" s="485"/>
      <c r="F136" s="486" t="s">
        <v>187</v>
      </c>
      <c r="G136" s="481"/>
      <c r="H136" s="482"/>
      <c r="I136" s="483"/>
      <c r="J136" s="483"/>
      <c r="K136" s="482"/>
      <c r="L136" s="482"/>
      <c r="M136" s="482"/>
      <c r="N136" s="482"/>
      <c r="O136" s="482"/>
      <c r="P136" s="482"/>
      <c r="Q136" s="482"/>
      <c r="R136" s="484">
        <f>SUM(Q137:Q162)</f>
        <v>20103.902757456119</v>
      </c>
      <c r="X136" s="212"/>
    </row>
    <row r="137" spans="1:24" s="12" customFormat="1" ht="19.5" customHeight="1" x14ac:dyDescent="0.2">
      <c r="A137" s="298" t="str">
        <f>IF(J137&lt;&gt;"",1+MAX($A$18:A136),"")</f>
        <v/>
      </c>
      <c r="B137" s="346"/>
      <c r="C137" s="346"/>
      <c r="D137" s="347"/>
      <c r="E137" s="302"/>
      <c r="F137" s="9" t="s">
        <v>27</v>
      </c>
      <c r="G137" s="312"/>
      <c r="H137" s="336"/>
      <c r="I137" s="348"/>
      <c r="J137" s="349"/>
      <c r="K137" s="397"/>
      <c r="L137" s="340"/>
      <c r="M137" s="341"/>
      <c r="N137" s="342"/>
      <c r="O137" s="398"/>
      <c r="P137" s="344"/>
      <c r="Q137" s="345"/>
      <c r="R137" s="190"/>
      <c r="S137" s="311"/>
      <c r="X137" s="212"/>
    </row>
    <row r="138" spans="1:24" s="12" customFormat="1" ht="19.5" customHeight="1" x14ac:dyDescent="0.2">
      <c r="A138" s="298" t="str">
        <f>IF(J138&lt;&gt;"",1+MAX($A$18:A137),"")</f>
        <v/>
      </c>
      <c r="B138" s="346"/>
      <c r="C138" s="346"/>
      <c r="D138" s="347"/>
      <c r="E138" s="302"/>
      <c r="F138" s="313" t="s">
        <v>724</v>
      </c>
      <c r="G138" s="336"/>
      <c r="H138" s="336"/>
      <c r="I138" s="348"/>
      <c r="J138" s="349"/>
      <c r="K138" s="397"/>
      <c r="L138" s="340"/>
      <c r="M138" s="341"/>
      <c r="N138" s="342"/>
      <c r="O138" s="398"/>
      <c r="P138" s="344"/>
      <c r="Q138" s="345"/>
      <c r="R138" s="190"/>
      <c r="S138" s="311"/>
      <c r="X138" s="212"/>
    </row>
    <row r="139" spans="1:24" s="12" customFormat="1" ht="19.5" customHeight="1" x14ac:dyDescent="0.2">
      <c r="A139" s="298">
        <f>IF(J139&lt;&gt;"",1+MAX($A$18:A138),"")</f>
        <v>76</v>
      </c>
      <c r="B139" s="355" t="s">
        <v>716</v>
      </c>
      <c r="C139" s="355" t="s">
        <v>726</v>
      </c>
      <c r="D139" s="347" t="s">
        <v>74</v>
      </c>
      <c r="E139" s="302" t="s">
        <v>226</v>
      </c>
      <c r="F139" s="357" t="s">
        <v>958</v>
      </c>
      <c r="G139" s="288">
        <f>273*2</f>
        <v>546</v>
      </c>
      <c r="H139" s="196">
        <f>IF(VLOOKUP(J139,'HOURLY RATES'!B$116:C$124,2,0)=0,$J$3,VLOOKUP(J139,'HOURLY RATES'!B$116:C$124,2,0))</f>
        <v>0.05</v>
      </c>
      <c r="I139" s="251">
        <f t="shared" ref="I139:I141" si="56">(G139*(1+H139))</f>
        <v>573.30000000000007</v>
      </c>
      <c r="J139" s="183" t="s">
        <v>17</v>
      </c>
      <c r="K139" s="368">
        <v>0.17499999999999999</v>
      </c>
      <c r="L139" s="369">
        <f t="shared" ref="L139:L141" si="57">K139*I139</f>
        <v>100.3275</v>
      </c>
      <c r="M139" s="185">
        <f>IF(VLOOKUP(E139,'HOURLY RATES'!C$6:D$105,2,0)=0,$E$3,VLOOKUP(E139,'HOURLY RATES'!C$6:D$105,2,0))</f>
        <v>36.0703125</v>
      </c>
      <c r="N139" s="197">
        <f t="shared" ref="N139:N143" si="58">M139*L139</f>
        <v>3618.84427734375</v>
      </c>
      <c r="O139" s="296">
        <v>4.5</v>
      </c>
      <c r="P139" s="188">
        <f t="shared" ref="P139:P143" si="59">O139*I139</f>
        <v>2579.8500000000004</v>
      </c>
      <c r="Q139" s="189">
        <f t="shared" ref="Q139:Q143" si="60">P139+N139</f>
        <v>6198.6942773437504</v>
      </c>
      <c r="R139" s="190"/>
      <c r="S139" s="311"/>
      <c r="X139" s="212"/>
    </row>
    <row r="140" spans="1:24" s="12" customFormat="1" ht="19.5" customHeight="1" x14ac:dyDescent="0.2">
      <c r="A140" s="298">
        <f>IF(J140&lt;&gt;"",1+MAX($A$18:A139),"")</f>
        <v>77</v>
      </c>
      <c r="B140" s="355" t="s">
        <v>716</v>
      </c>
      <c r="C140" s="355" t="s">
        <v>727</v>
      </c>
      <c r="D140" s="347" t="s">
        <v>74</v>
      </c>
      <c r="E140" s="302" t="s">
        <v>226</v>
      </c>
      <c r="F140" s="357" t="s">
        <v>959</v>
      </c>
      <c r="G140" s="288">
        <f>16*2</f>
        <v>32</v>
      </c>
      <c r="H140" s="196">
        <f>IF(VLOOKUP(J140,'HOURLY RATES'!B$116:C$124,2,0)=0,$J$3,VLOOKUP(J140,'HOURLY RATES'!B$116:C$124,2,0))</f>
        <v>0.05</v>
      </c>
      <c r="I140" s="251">
        <f t="shared" si="56"/>
        <v>33.6</v>
      </c>
      <c r="J140" s="183" t="s">
        <v>17</v>
      </c>
      <c r="K140" s="368">
        <v>0.56000000000000005</v>
      </c>
      <c r="L140" s="369">
        <f t="shared" si="57"/>
        <v>18.816000000000003</v>
      </c>
      <c r="M140" s="185">
        <f>IF(VLOOKUP(E140,'HOURLY RATES'!C$6:D$105,2,0)=0,$E$3,VLOOKUP(E140,'HOURLY RATES'!C$6:D$105,2,0))</f>
        <v>36.0703125</v>
      </c>
      <c r="N140" s="197">
        <f t="shared" si="58"/>
        <v>678.69900000000007</v>
      </c>
      <c r="O140" s="296">
        <v>4.8</v>
      </c>
      <c r="P140" s="188">
        <f t="shared" si="59"/>
        <v>161.28</v>
      </c>
      <c r="Q140" s="189">
        <f t="shared" si="60"/>
        <v>839.97900000000004</v>
      </c>
      <c r="R140" s="190"/>
      <c r="S140" s="311"/>
      <c r="X140" s="212"/>
    </row>
    <row r="141" spans="1:24" s="12" customFormat="1" ht="19.5" customHeight="1" x14ac:dyDescent="0.2">
      <c r="A141" s="298">
        <f>IF(J141&lt;&gt;"",1+MAX($A$18:A140),"")</f>
        <v>78</v>
      </c>
      <c r="B141" s="355" t="s">
        <v>721</v>
      </c>
      <c r="C141" s="355" t="s">
        <v>728</v>
      </c>
      <c r="D141" s="347" t="s">
        <v>74</v>
      </c>
      <c r="E141" s="302" t="s">
        <v>226</v>
      </c>
      <c r="F141" s="357" t="s">
        <v>960</v>
      </c>
      <c r="G141" s="288">
        <f>40*10</f>
        <v>400</v>
      </c>
      <c r="H141" s="196">
        <f>IF(VLOOKUP(J141,'HOURLY RATES'!B$116:C$124,2,0)=0,$J$3,VLOOKUP(J141,'HOURLY RATES'!B$116:C$124,2,0))</f>
        <v>0.05</v>
      </c>
      <c r="I141" s="251">
        <f t="shared" si="56"/>
        <v>420</v>
      </c>
      <c r="J141" s="183" t="s">
        <v>17</v>
      </c>
      <c r="K141" s="368">
        <v>0.17499999999999999</v>
      </c>
      <c r="L141" s="369">
        <f t="shared" si="57"/>
        <v>73.5</v>
      </c>
      <c r="M141" s="185">
        <f>IF(VLOOKUP(E141,'HOURLY RATES'!C$6:D$105,2,0)=0,$E$3,VLOOKUP(E141,'HOURLY RATES'!C$6:D$105,2,0))</f>
        <v>36.0703125</v>
      </c>
      <c r="N141" s="197">
        <f t="shared" si="58"/>
        <v>2651.16796875</v>
      </c>
      <c r="O141" s="296">
        <v>4.2</v>
      </c>
      <c r="P141" s="188">
        <f t="shared" si="59"/>
        <v>1764</v>
      </c>
      <c r="Q141" s="189">
        <f t="shared" si="60"/>
        <v>4415.16796875</v>
      </c>
      <c r="R141" s="190"/>
      <c r="S141" s="311"/>
      <c r="X141" s="212"/>
    </row>
    <row r="142" spans="1:24" s="12" customFormat="1" ht="19.5" customHeight="1" x14ac:dyDescent="0.2">
      <c r="A142" s="298" t="str">
        <f>IF(J142&lt;&gt;"",1+MAX($A$18:A141),"")</f>
        <v/>
      </c>
      <c r="B142" s="355"/>
      <c r="C142" s="355"/>
      <c r="D142" s="347"/>
      <c r="E142" s="302"/>
      <c r="F142" s="357"/>
      <c r="G142" s="288"/>
      <c r="H142" s="196"/>
      <c r="I142" s="251"/>
      <c r="J142" s="183"/>
      <c r="K142" s="368"/>
      <c r="L142" s="210"/>
      <c r="M142" s="185"/>
      <c r="N142" s="197"/>
      <c r="O142" s="296"/>
      <c r="P142" s="188"/>
      <c r="Q142" s="189"/>
      <c r="R142" s="190"/>
      <c r="S142" s="311"/>
      <c r="X142" s="212"/>
    </row>
    <row r="143" spans="1:24" s="12" customFormat="1" ht="19.5" customHeight="1" x14ac:dyDescent="0.2">
      <c r="A143" s="298">
        <f>IF(J143&lt;&gt;"",1+MAX($A$18:A142),"")</f>
        <v>79</v>
      </c>
      <c r="B143" s="346" t="s">
        <v>716</v>
      </c>
      <c r="C143" s="346" t="s">
        <v>717</v>
      </c>
      <c r="D143" s="347" t="s">
        <v>74</v>
      </c>
      <c r="E143" s="302" t="s">
        <v>226</v>
      </c>
      <c r="F143" s="357" t="s">
        <v>878</v>
      </c>
      <c r="G143" s="288">
        <f>(273+15)/2*(2)*0.66+ (40/2*10*0.66)</f>
        <v>322.08000000000004</v>
      </c>
      <c r="H143" s="196">
        <f>IF(VLOOKUP(J143,'HOURLY RATES'!B$116:C$124,2,0)=0,$J$3,VLOOKUP(J143,'HOURLY RATES'!B$116:C$124,2,0))</f>
        <v>0.05</v>
      </c>
      <c r="I143" s="290">
        <f t="shared" ref="I143" si="61">(G143*(1+H143))</f>
        <v>338.18400000000008</v>
      </c>
      <c r="J143" s="291" t="s">
        <v>112</v>
      </c>
      <c r="K143" s="368">
        <v>0.01</v>
      </c>
      <c r="L143" s="369">
        <f t="shared" ref="L143" si="62">K143*I143</f>
        <v>3.3818400000000008</v>
      </c>
      <c r="M143" s="185">
        <f>IF(VLOOKUP(E143,'HOURLY RATES'!C$6:D$105,2,0)=0,$E$3,VLOOKUP(E143,'HOURLY RATES'!C$6:D$105,2,0))</f>
        <v>36.0703125</v>
      </c>
      <c r="N143" s="370">
        <f t="shared" si="58"/>
        <v>121.98402562500003</v>
      </c>
      <c r="O143" s="296">
        <v>0.93</v>
      </c>
      <c r="P143" s="295">
        <f t="shared" si="59"/>
        <v>314.51112000000012</v>
      </c>
      <c r="Q143" s="297">
        <f t="shared" si="60"/>
        <v>436.49514562500013</v>
      </c>
      <c r="R143" s="190"/>
      <c r="S143" s="308"/>
      <c r="X143" s="212"/>
    </row>
    <row r="144" spans="1:24" s="12" customFormat="1" ht="19.5" customHeight="1" x14ac:dyDescent="0.2">
      <c r="A144" s="298" t="str">
        <f>IF(J144&lt;&gt;"",1+MAX($A$18:A143),"")</f>
        <v/>
      </c>
      <c r="B144" s="346"/>
      <c r="C144" s="346"/>
      <c r="D144" s="347"/>
      <c r="E144" s="302"/>
      <c r="F144" s="357"/>
      <c r="G144" s="288"/>
      <c r="H144" s="336"/>
      <c r="I144" s="348"/>
      <c r="J144" s="349"/>
      <c r="K144" s="397"/>
      <c r="L144" s="340"/>
      <c r="M144" s="341"/>
      <c r="N144" s="342"/>
      <c r="O144" s="398"/>
      <c r="P144" s="344"/>
      <c r="Q144" s="345"/>
      <c r="R144" s="190"/>
      <c r="S144" s="311"/>
      <c r="X144" s="212"/>
    </row>
    <row r="145" spans="1:24" s="12" customFormat="1" ht="19.5" customHeight="1" x14ac:dyDescent="0.2">
      <c r="A145" s="298" t="str">
        <f>IF(J145&lt;&gt;"",1+MAX($A$18:A144),"")</f>
        <v/>
      </c>
      <c r="B145" s="346"/>
      <c r="C145" s="346"/>
      <c r="D145" s="347"/>
      <c r="E145" s="302"/>
      <c r="F145" s="313" t="s">
        <v>705</v>
      </c>
      <c r="G145" s="288"/>
      <c r="H145" s="336"/>
      <c r="I145" s="348"/>
      <c r="J145" s="349"/>
      <c r="K145" s="397"/>
      <c r="L145" s="340"/>
      <c r="M145" s="341"/>
      <c r="N145" s="342"/>
      <c r="O145" s="398"/>
      <c r="P145" s="344"/>
      <c r="Q145" s="345"/>
      <c r="R145" s="190"/>
      <c r="S145" s="311"/>
      <c r="X145" s="212"/>
    </row>
    <row r="146" spans="1:24" s="12" customFormat="1" ht="19.5" customHeight="1" x14ac:dyDescent="0.2">
      <c r="A146" s="298">
        <f>IF(J146&lt;&gt;"",1+MAX($A$18:A145),"")</f>
        <v>80</v>
      </c>
      <c r="B146" s="355" t="s">
        <v>716</v>
      </c>
      <c r="C146" s="355" t="s">
        <v>729</v>
      </c>
      <c r="D146" s="347" t="s">
        <v>74</v>
      </c>
      <c r="E146" s="302" t="s">
        <v>243</v>
      </c>
      <c r="F146" s="357" t="s">
        <v>725</v>
      </c>
      <c r="G146" s="288">
        <f>(G139+G140)/4</f>
        <v>144.5</v>
      </c>
      <c r="H146" s="196">
        <f>IF(VLOOKUP(J146,'HOURLY RATES'!B$116:C$124,2,0)=0,$J$3,VLOOKUP(J146,'HOURLY RATES'!B$116:C$124,2,0))</f>
        <v>0.05</v>
      </c>
      <c r="I146" s="251">
        <f t="shared" ref="I146" si="63">(G146*(1+H146))</f>
        <v>151.72499999999999</v>
      </c>
      <c r="J146" s="183" t="s">
        <v>19</v>
      </c>
      <c r="K146" s="397">
        <v>3.3000000000000002E-2</v>
      </c>
      <c r="L146" s="369">
        <f t="shared" ref="L146:L148" si="64">K146*I146</f>
        <v>5.0069249999999998</v>
      </c>
      <c r="M146" s="185">
        <f>IF(VLOOKUP(E146,'HOURLY RATES'!C$6:D$105,2,0)=0,$E$3,VLOOKUP(E146,'HOURLY RATES'!C$6:D$105,2,0))</f>
        <v>36.0703125</v>
      </c>
      <c r="N146" s="197">
        <f t="shared" ref="N146" si="65">M146*L146</f>
        <v>180.6013494140625</v>
      </c>
      <c r="O146" s="296">
        <v>1.1000000000000001</v>
      </c>
      <c r="P146" s="188">
        <f t="shared" ref="P146:P148" si="66">O146*I146</f>
        <v>166.89750000000001</v>
      </c>
      <c r="Q146" s="189">
        <f t="shared" ref="Q146:Q148" si="67">P146+N146</f>
        <v>347.49884941406253</v>
      </c>
      <c r="R146" s="190"/>
      <c r="S146" s="311"/>
      <c r="X146" s="212"/>
    </row>
    <row r="147" spans="1:24" s="12" customFormat="1" ht="19.5" customHeight="1" x14ac:dyDescent="0.2">
      <c r="A147" s="298" t="str">
        <f>IF(J147&lt;&gt;"",1+MAX($A$18:A146),"")</f>
        <v/>
      </c>
      <c r="B147" s="355"/>
      <c r="C147" s="355"/>
      <c r="D147" s="347"/>
      <c r="E147" s="302"/>
      <c r="F147" s="357"/>
      <c r="G147" s="288"/>
      <c r="H147" s="196"/>
      <c r="I147" s="251"/>
      <c r="J147" s="183"/>
      <c r="K147" s="368"/>
      <c r="L147" s="210"/>
      <c r="M147" s="185"/>
      <c r="N147" s="197"/>
      <c r="O147" s="296"/>
      <c r="P147" s="188"/>
      <c r="Q147" s="189"/>
      <c r="R147" s="190"/>
      <c r="S147" s="311"/>
      <c r="X147" s="212"/>
    </row>
    <row r="148" spans="1:24" s="12" customFormat="1" ht="19.5" customHeight="1" x14ac:dyDescent="0.2">
      <c r="A148" s="298">
        <f>IF(J148&lt;&gt;"",1+MAX($A$18:A147),"")</f>
        <v>81</v>
      </c>
      <c r="B148" s="346"/>
      <c r="C148" s="346"/>
      <c r="D148" s="347" t="s">
        <v>74</v>
      </c>
      <c r="E148" s="302" t="s">
        <v>226</v>
      </c>
      <c r="F148" s="357" t="s">
        <v>715</v>
      </c>
      <c r="G148" s="288">
        <f>G143/2000</f>
        <v>0.16104000000000002</v>
      </c>
      <c r="H148" s="196">
        <f>IF(VLOOKUP(J148,'HOURLY RATES'!B$116:C$124,2,0)=0,$J$3,VLOOKUP(J148,'HOURLY RATES'!B$116:C$124,2,0))</f>
        <v>0.05</v>
      </c>
      <c r="I148" s="290">
        <f t="shared" ref="I148" si="68">(G148*(1+H148))</f>
        <v>0.16909200000000002</v>
      </c>
      <c r="J148" s="291" t="s">
        <v>158</v>
      </c>
      <c r="K148" s="368">
        <v>5</v>
      </c>
      <c r="L148" s="369">
        <f t="shared" si="64"/>
        <v>0.8454600000000001</v>
      </c>
      <c r="M148" s="185">
        <f>IF(VLOOKUP(E148,'HOURLY RATES'!C$6:D$105,2,0)=0,$E$3,VLOOKUP(E148,'HOURLY RATES'!C$6:D$105,2,0))</f>
        <v>36.0703125</v>
      </c>
      <c r="N148" s="370"/>
      <c r="O148" s="296">
        <f>K148*M148</f>
        <v>180.3515625</v>
      </c>
      <c r="P148" s="295">
        <f t="shared" si="66"/>
        <v>30.496006406250004</v>
      </c>
      <c r="Q148" s="297">
        <f t="shared" si="67"/>
        <v>30.496006406250004</v>
      </c>
      <c r="R148" s="190"/>
      <c r="S148" s="308"/>
      <c r="X148" s="212"/>
    </row>
    <row r="149" spans="1:24" s="12" customFormat="1" ht="19.5" customHeight="1" x14ac:dyDescent="0.2">
      <c r="A149" s="298" t="str">
        <f>IF(J149&lt;&gt;"",1+MAX($A$18:A148),"")</f>
        <v/>
      </c>
      <c r="B149" s="355"/>
      <c r="C149" s="355"/>
      <c r="D149" s="347"/>
      <c r="E149" s="302"/>
      <c r="F149" s="314"/>
      <c r="G149" s="288"/>
      <c r="H149" s="196"/>
      <c r="I149" s="251"/>
      <c r="J149" s="183"/>
      <c r="K149" s="368"/>
      <c r="L149" s="210"/>
      <c r="M149" s="185"/>
      <c r="N149" s="197"/>
      <c r="O149" s="296"/>
      <c r="P149" s="188"/>
      <c r="Q149" s="189"/>
      <c r="R149" s="190"/>
      <c r="S149" s="311"/>
      <c r="X149" s="212"/>
    </row>
    <row r="150" spans="1:24" s="12" customFormat="1" ht="19.5" customHeight="1" x14ac:dyDescent="0.2">
      <c r="A150" s="298" t="str">
        <f>IF(J150&lt;&gt;"",1+MAX($A$18:A149),"")</f>
        <v/>
      </c>
      <c r="B150" s="346"/>
      <c r="C150" s="346"/>
      <c r="D150" s="347"/>
      <c r="E150" s="302"/>
      <c r="F150" s="313" t="s">
        <v>666</v>
      </c>
      <c r="G150" s="288"/>
      <c r="H150" s="336"/>
      <c r="I150" s="348"/>
      <c r="J150" s="349"/>
      <c r="K150" s="397"/>
      <c r="L150" s="340"/>
      <c r="M150" s="341"/>
      <c r="N150" s="342"/>
      <c r="O150" s="398"/>
      <c r="P150" s="344"/>
      <c r="Q150" s="345"/>
      <c r="R150" s="190"/>
      <c r="S150" s="311"/>
      <c r="X150" s="212"/>
    </row>
    <row r="151" spans="1:24" s="12" customFormat="1" ht="19.5" customHeight="1" x14ac:dyDescent="0.2">
      <c r="A151" s="298">
        <f>IF(J151&lt;&gt;"",1+MAX($A$18:A150),"")</f>
        <v>82</v>
      </c>
      <c r="B151" s="355" t="s">
        <v>662</v>
      </c>
      <c r="C151" s="355" t="s">
        <v>663</v>
      </c>
      <c r="D151" s="347" t="s">
        <v>74</v>
      </c>
      <c r="E151" s="302" t="s">
        <v>239</v>
      </c>
      <c r="F151" s="314" t="s">
        <v>667</v>
      </c>
      <c r="G151" s="288">
        <f>294.57</f>
        <v>294.57</v>
      </c>
      <c r="H151" s="196">
        <f>IF(VLOOKUP(J151,'HOURLY RATES'!B$116:C$124,2,0)=0,$J$3,VLOOKUP(J151,'HOURLY RATES'!B$116:C$124,2,0))</f>
        <v>0.05</v>
      </c>
      <c r="I151" s="251">
        <f t="shared" ref="I151:I155" si="69">(G151*(1+H151))</f>
        <v>309.29849999999999</v>
      </c>
      <c r="J151" s="183" t="s">
        <v>17</v>
      </c>
      <c r="K151" s="368">
        <v>0.25</v>
      </c>
      <c r="L151" s="369">
        <f t="shared" ref="L151:L155" si="70">K151*I151</f>
        <v>77.324624999999997</v>
      </c>
      <c r="M151" s="185">
        <f>IF(VLOOKUP(E151,'HOURLY RATES'!C$6:D$105,2,0)=0,$E$3,VLOOKUP(E151,'HOURLY RATES'!C$6:D$105,2,0))</f>
        <v>36.0703125</v>
      </c>
      <c r="N151" s="197">
        <f t="shared" ref="N151:N155" si="71">M151*L151</f>
        <v>2789.1233876953124</v>
      </c>
      <c r="O151" s="296">
        <v>8.5</v>
      </c>
      <c r="P151" s="188">
        <f t="shared" ref="P151:P155" si="72">O151*I151</f>
        <v>2629.0372499999999</v>
      </c>
      <c r="Q151" s="189">
        <f t="shared" ref="Q151:Q155" si="73">P151+N151</f>
        <v>5418.1606376953123</v>
      </c>
      <c r="R151" s="190"/>
      <c r="S151" s="311"/>
      <c r="X151" s="212"/>
    </row>
    <row r="152" spans="1:24" s="12" customFormat="1" ht="19.5" customHeight="1" x14ac:dyDescent="0.2">
      <c r="A152" s="298">
        <f>IF(J152&lt;&gt;"",1+MAX($A$18:A151),"")</f>
        <v>83</v>
      </c>
      <c r="B152" s="355" t="s">
        <v>662</v>
      </c>
      <c r="C152" s="355" t="s">
        <v>663</v>
      </c>
      <c r="D152" s="347" t="s">
        <v>74</v>
      </c>
      <c r="E152" s="302" t="s">
        <v>239</v>
      </c>
      <c r="F152" s="314" t="s">
        <v>668</v>
      </c>
      <c r="G152" s="288">
        <f>32.04</f>
        <v>32.04</v>
      </c>
      <c r="H152" s="196">
        <f>IF(VLOOKUP(J152,'HOURLY RATES'!B$116:C$124,2,0)=0,$J$3,VLOOKUP(J152,'HOURLY RATES'!B$116:C$124,2,0))</f>
        <v>0.05</v>
      </c>
      <c r="I152" s="251">
        <f t="shared" si="69"/>
        <v>33.642000000000003</v>
      </c>
      <c r="J152" s="183" t="s">
        <v>19</v>
      </c>
      <c r="K152" s="368">
        <v>0.14000000000000001</v>
      </c>
      <c r="L152" s="369">
        <f t="shared" si="70"/>
        <v>4.709880000000001</v>
      </c>
      <c r="M152" s="185">
        <f>IF(VLOOKUP(E152,'HOURLY RATES'!C$6:D$105,2,0)=0,$E$3,VLOOKUP(E152,'HOURLY RATES'!C$6:D$105,2,0))</f>
        <v>36.0703125</v>
      </c>
      <c r="N152" s="197">
        <f t="shared" si="71"/>
        <v>169.88684343750003</v>
      </c>
      <c r="O152" s="296">
        <v>11.5</v>
      </c>
      <c r="P152" s="188">
        <f t="shared" si="72"/>
        <v>386.88300000000004</v>
      </c>
      <c r="Q152" s="189">
        <f t="shared" si="73"/>
        <v>556.76984343750007</v>
      </c>
      <c r="R152" s="190"/>
      <c r="S152" s="311"/>
      <c r="X152" s="212"/>
    </row>
    <row r="153" spans="1:24" s="12" customFormat="1" ht="19.5" customHeight="1" x14ac:dyDescent="0.2">
      <c r="A153" s="298">
        <f>IF(J153&lt;&gt;"",1+MAX($A$18:A152),"")</f>
        <v>84</v>
      </c>
      <c r="B153" s="355" t="s">
        <v>662</v>
      </c>
      <c r="C153" s="355" t="s">
        <v>663</v>
      </c>
      <c r="D153" s="347" t="s">
        <v>74</v>
      </c>
      <c r="E153" s="302" t="s">
        <v>239</v>
      </c>
      <c r="F153" s="314" t="s">
        <v>669</v>
      </c>
      <c r="G153" s="288">
        <f>14.03</f>
        <v>14.03</v>
      </c>
      <c r="H153" s="196">
        <f>IF(VLOOKUP(J153,'HOURLY RATES'!B$116:C$124,2,0)=0,$J$3,VLOOKUP(J153,'HOURLY RATES'!B$116:C$124,2,0))</f>
        <v>0.05</v>
      </c>
      <c r="I153" s="251">
        <f t="shared" si="69"/>
        <v>14.7315</v>
      </c>
      <c r="J153" s="183" t="s">
        <v>19</v>
      </c>
      <c r="K153" s="368">
        <v>0.158</v>
      </c>
      <c r="L153" s="369">
        <f t="shared" si="70"/>
        <v>2.3275770000000002</v>
      </c>
      <c r="M153" s="185">
        <f>IF(VLOOKUP(E153,'HOURLY RATES'!C$6:D$105,2,0)=0,$E$3,VLOOKUP(E153,'HOURLY RATES'!C$6:D$105,2,0))</f>
        <v>36.0703125</v>
      </c>
      <c r="N153" s="197">
        <f t="shared" si="71"/>
        <v>83.956429757812515</v>
      </c>
      <c r="O153" s="296">
        <v>14.5</v>
      </c>
      <c r="P153" s="188">
        <f t="shared" si="72"/>
        <v>213.60675000000001</v>
      </c>
      <c r="Q153" s="189">
        <f t="shared" si="73"/>
        <v>297.56317975781252</v>
      </c>
      <c r="R153" s="190"/>
      <c r="S153" s="311"/>
      <c r="X153" s="212"/>
    </row>
    <row r="154" spans="1:24" s="12" customFormat="1" ht="19.5" customHeight="1" x14ac:dyDescent="0.2">
      <c r="A154" s="298">
        <f>IF(J154&lt;&gt;"",1+MAX($A$18:A153),"")</f>
        <v>85</v>
      </c>
      <c r="B154" s="355" t="s">
        <v>662</v>
      </c>
      <c r="C154" s="355" t="s">
        <v>663</v>
      </c>
      <c r="D154" s="347" t="s">
        <v>74</v>
      </c>
      <c r="E154" s="302" t="s">
        <v>239</v>
      </c>
      <c r="F154" s="314" t="s">
        <v>670</v>
      </c>
      <c r="G154" s="288">
        <f>19.2</f>
        <v>19.2</v>
      </c>
      <c r="H154" s="196">
        <f>IF(VLOOKUP(J154,'HOURLY RATES'!B$116:C$124,2,0)=0,$J$3,VLOOKUP(J154,'HOURLY RATES'!B$116:C$124,2,0))</f>
        <v>0.05</v>
      </c>
      <c r="I154" s="251">
        <f t="shared" si="69"/>
        <v>20.16</v>
      </c>
      <c r="J154" s="183" t="s">
        <v>19</v>
      </c>
      <c r="K154" s="368">
        <v>0.17699999999999999</v>
      </c>
      <c r="L154" s="369">
        <f t="shared" si="70"/>
        <v>3.5683199999999999</v>
      </c>
      <c r="M154" s="185">
        <f>IF(VLOOKUP(E154,'HOURLY RATES'!C$6:D$105,2,0)=0,$E$3,VLOOKUP(E154,'HOURLY RATES'!C$6:D$105,2,0))</f>
        <v>36.0703125</v>
      </c>
      <c r="N154" s="197">
        <f t="shared" si="71"/>
        <v>128.71041750000001</v>
      </c>
      <c r="O154" s="296">
        <v>16.8</v>
      </c>
      <c r="P154" s="188">
        <f t="shared" si="72"/>
        <v>338.68800000000005</v>
      </c>
      <c r="Q154" s="189">
        <f t="shared" si="73"/>
        <v>467.39841750000005</v>
      </c>
      <c r="R154" s="190"/>
      <c r="S154" s="311"/>
      <c r="X154" s="212"/>
    </row>
    <row r="155" spans="1:24" s="12" customFormat="1" ht="19.5" customHeight="1" x14ac:dyDescent="0.2">
      <c r="A155" s="298">
        <f>IF(J155&lt;&gt;"",1+MAX($A$18:A154),"")</f>
        <v>86</v>
      </c>
      <c r="B155" s="355" t="s">
        <v>662</v>
      </c>
      <c r="C155" s="355"/>
      <c r="D155" s="347" t="s">
        <v>74</v>
      </c>
      <c r="E155" s="302" t="s">
        <v>239</v>
      </c>
      <c r="F155" s="314" t="s">
        <v>671</v>
      </c>
      <c r="G155" s="288">
        <f>344/1.33/1.33</f>
        <v>194.47114025665664</v>
      </c>
      <c r="H155" s="196">
        <f>IF(VLOOKUP(J155,'HOURLY RATES'!B$116:C$124,2,0)=0,$J$3,VLOOKUP(J155,'HOURLY RATES'!B$116:C$124,2,0))</f>
        <v>0</v>
      </c>
      <c r="I155" s="251">
        <f t="shared" si="69"/>
        <v>194.47114025665664</v>
      </c>
      <c r="J155" s="183" t="s">
        <v>16</v>
      </c>
      <c r="K155" s="368">
        <v>7.0000000000000007E-2</v>
      </c>
      <c r="L155" s="369">
        <f t="shared" si="70"/>
        <v>13.612979817965966</v>
      </c>
      <c r="M155" s="185">
        <f>IF(VLOOKUP(E155,'HOURLY RATES'!C$6:D$105,2,0)=0,$E$3,VLOOKUP(E155,'HOURLY RATES'!C$6:D$105,2,0))</f>
        <v>36.0703125</v>
      </c>
      <c r="N155" s="197">
        <f t="shared" si="71"/>
        <v>491.02443609022549</v>
      </c>
      <c r="O155" s="296">
        <f>45.6/100</f>
        <v>0.45600000000000002</v>
      </c>
      <c r="P155" s="188">
        <f t="shared" si="72"/>
        <v>88.678839957035436</v>
      </c>
      <c r="Q155" s="189">
        <f t="shared" si="73"/>
        <v>579.70327604726094</v>
      </c>
      <c r="R155" s="190"/>
      <c r="S155" s="311"/>
      <c r="X155" s="212"/>
    </row>
    <row r="156" spans="1:24" s="12" customFormat="1" ht="19.5" customHeight="1" x14ac:dyDescent="0.2">
      <c r="A156" s="298" t="str">
        <f>IF(J156&lt;&gt;"",1+MAX($A$18:A155),"")</f>
        <v/>
      </c>
      <c r="B156" s="355"/>
      <c r="C156" s="355"/>
      <c r="D156" s="347"/>
      <c r="E156" s="302"/>
      <c r="F156" s="314"/>
      <c r="G156" s="288"/>
      <c r="H156" s="336"/>
      <c r="I156" s="348"/>
      <c r="J156" s="349"/>
      <c r="K156" s="397"/>
      <c r="L156" s="340"/>
      <c r="M156" s="341"/>
      <c r="N156" s="342"/>
      <c r="O156" s="398"/>
      <c r="P156" s="344"/>
      <c r="Q156" s="345"/>
      <c r="R156" s="190"/>
      <c r="S156" s="311"/>
      <c r="X156" s="212"/>
    </row>
    <row r="157" spans="1:24" s="12" customFormat="1" ht="19.5" customHeight="1" x14ac:dyDescent="0.2">
      <c r="A157" s="298" t="str">
        <f>IF(J157&lt;&gt;"",1+MAX($A$18:A156),"")</f>
        <v/>
      </c>
      <c r="B157" s="355"/>
      <c r="C157" s="355"/>
      <c r="D157" s="347"/>
      <c r="E157" s="302"/>
      <c r="F157" s="313" t="s">
        <v>656</v>
      </c>
      <c r="G157" s="288"/>
      <c r="H157" s="336"/>
      <c r="I157" s="348"/>
      <c r="J157" s="349"/>
      <c r="K157" s="397"/>
      <c r="L157" s="340"/>
      <c r="M157" s="341"/>
      <c r="N157" s="342"/>
      <c r="O157" s="398"/>
      <c r="P157" s="344"/>
      <c r="Q157" s="345"/>
      <c r="R157" s="190"/>
      <c r="S157" s="311"/>
      <c r="X157" s="212"/>
    </row>
    <row r="158" spans="1:24" s="12" customFormat="1" ht="19.5" customHeight="1" x14ac:dyDescent="0.2">
      <c r="A158" s="298">
        <f>IF(J158&lt;&gt;"",1+MAX($A$18:A157),"")</f>
        <v>87</v>
      </c>
      <c r="B158" s="355" t="s">
        <v>420</v>
      </c>
      <c r="C158" s="355" t="s">
        <v>664</v>
      </c>
      <c r="D158" s="347" t="s">
        <v>74</v>
      </c>
      <c r="E158" s="302" t="s">
        <v>243</v>
      </c>
      <c r="F158" s="314" t="s">
        <v>672</v>
      </c>
      <c r="G158" s="288">
        <f>28.32</f>
        <v>28.32</v>
      </c>
      <c r="H158" s="196">
        <f>IF(VLOOKUP(J158,'HOURLY RATES'!B$116:C$124,2,0)=0,$J$3,VLOOKUP(J158,'HOURLY RATES'!B$116:C$124,2,0))</f>
        <v>0.05</v>
      </c>
      <c r="I158" s="251">
        <f t="shared" ref="I158:I159" si="74">(G158*(1+H158))</f>
        <v>29.736000000000001</v>
      </c>
      <c r="J158" s="183" t="s">
        <v>19</v>
      </c>
      <c r="K158" s="397">
        <v>3.3000000000000002E-2</v>
      </c>
      <c r="L158" s="369">
        <f t="shared" ref="L158:L159" si="75">K158*I158</f>
        <v>0.98128800000000005</v>
      </c>
      <c r="M158" s="185">
        <f>IF(VLOOKUP(E158,'HOURLY RATES'!C$6:D$105,2,0)=0,$E$3,VLOOKUP(E158,'HOURLY RATES'!C$6:D$105,2,0))</f>
        <v>36.0703125</v>
      </c>
      <c r="N158" s="197">
        <f t="shared" ref="N158:N159" si="76">M158*L158</f>
        <v>35.395364812499999</v>
      </c>
      <c r="O158" s="296">
        <v>1.1000000000000001</v>
      </c>
      <c r="P158" s="188">
        <f t="shared" ref="P158:P159" si="77">O158*I158</f>
        <v>32.709600000000002</v>
      </c>
      <c r="Q158" s="189">
        <f t="shared" ref="Q158:Q159" si="78">P158+N158</f>
        <v>68.1049648125</v>
      </c>
      <c r="R158" s="190"/>
      <c r="S158" s="311"/>
      <c r="X158" s="212"/>
    </row>
    <row r="159" spans="1:24" s="12" customFormat="1" ht="19.5" customHeight="1" x14ac:dyDescent="0.2">
      <c r="A159" s="298">
        <f>IF(J159&lt;&gt;"",1+MAX($A$18:A158),"")</f>
        <v>88</v>
      </c>
      <c r="B159" s="355" t="s">
        <v>420</v>
      </c>
      <c r="C159" s="355" t="s">
        <v>664</v>
      </c>
      <c r="D159" s="347" t="s">
        <v>74</v>
      </c>
      <c r="E159" s="302" t="s">
        <v>239</v>
      </c>
      <c r="F159" s="314" t="s">
        <v>673</v>
      </c>
      <c r="G159" s="288">
        <f>28.32*0.67*0.17/27</f>
        <v>0.11946844444444446</v>
      </c>
      <c r="H159" s="196">
        <f>IF(VLOOKUP(J159,'HOURLY RATES'!B$116:C$124,2,0)=0,$J$3,VLOOKUP(J159,'HOURLY RATES'!B$116:C$124,2,0))</f>
        <v>0.05</v>
      </c>
      <c r="I159" s="251">
        <f t="shared" si="74"/>
        <v>0.12544186666666668</v>
      </c>
      <c r="J159" s="183" t="s">
        <v>41</v>
      </c>
      <c r="K159" s="368">
        <v>3</v>
      </c>
      <c r="L159" s="369">
        <f t="shared" si="75"/>
        <v>0.37632560000000004</v>
      </c>
      <c r="M159" s="185">
        <f>IF(VLOOKUP(E159,'HOURLY RATES'!C$6:D$105,2,0)=0,$E$3,VLOOKUP(E159,'HOURLY RATES'!C$6:D$105,2,0))</f>
        <v>36.0703125</v>
      </c>
      <c r="N159" s="197">
        <f t="shared" si="76"/>
        <v>13.574181993750001</v>
      </c>
      <c r="O159" s="296">
        <v>65.5</v>
      </c>
      <c r="P159" s="188">
        <f t="shared" si="77"/>
        <v>8.2164422666666681</v>
      </c>
      <c r="Q159" s="189">
        <f t="shared" si="78"/>
        <v>21.790624260416671</v>
      </c>
      <c r="R159" s="190"/>
      <c r="S159" s="311"/>
      <c r="X159" s="212"/>
    </row>
    <row r="160" spans="1:24" s="12" customFormat="1" ht="19.5" customHeight="1" x14ac:dyDescent="0.2">
      <c r="A160" s="298" t="str">
        <f>IF(J160&lt;&gt;"",1+MAX($A$18:A159),"")</f>
        <v/>
      </c>
      <c r="B160" s="355"/>
      <c r="C160" s="355"/>
      <c r="D160" s="347"/>
      <c r="E160" s="302"/>
      <c r="F160" s="314"/>
      <c r="G160" s="288"/>
      <c r="H160" s="196"/>
      <c r="I160" s="251"/>
      <c r="J160" s="183"/>
      <c r="K160" s="368"/>
      <c r="L160" s="369"/>
      <c r="M160" s="185"/>
      <c r="N160" s="197"/>
      <c r="O160" s="296"/>
      <c r="P160" s="188"/>
      <c r="Q160" s="189"/>
      <c r="R160" s="190"/>
      <c r="S160" s="311"/>
      <c r="X160" s="212"/>
    </row>
    <row r="161" spans="1:24" s="12" customFormat="1" ht="19.5" customHeight="1" x14ac:dyDescent="0.2">
      <c r="A161" s="298">
        <f>IF(J161&lt;&gt;"",1+MAX($A$18:A160),"")</f>
        <v>89</v>
      </c>
      <c r="B161" s="355" t="s">
        <v>662</v>
      </c>
      <c r="C161" s="355"/>
      <c r="D161" s="347" t="s">
        <v>74</v>
      </c>
      <c r="E161" s="302" t="s">
        <v>239</v>
      </c>
      <c r="F161" s="314" t="s">
        <v>674</v>
      </c>
      <c r="G161" s="288">
        <f>750</f>
        <v>750</v>
      </c>
      <c r="H161" s="196">
        <f>IF(VLOOKUP(J161,'HOURLY RATES'!B$116:C$124,2,0)=0,$J$3,VLOOKUP(J161,'HOURLY RATES'!B$116:C$124,2,0))</f>
        <v>0.05</v>
      </c>
      <c r="I161" s="251">
        <f t="shared" ref="I161" si="79">(G161*(1+H161))</f>
        <v>787.5</v>
      </c>
      <c r="J161" s="183" t="s">
        <v>17</v>
      </c>
      <c r="K161" s="368">
        <f>0.006*2.5</f>
        <v>1.4999999999999999E-2</v>
      </c>
      <c r="L161" s="369">
        <f t="shared" ref="L161" si="80">K161*I161</f>
        <v>11.8125</v>
      </c>
      <c r="M161" s="185">
        <f>IF(VLOOKUP(E161,'HOURLY RATES'!C$6:D$105,2,0)=0,$E$3,VLOOKUP(E161,'HOURLY RATES'!C$6:D$105,2,0))</f>
        <v>36.0703125</v>
      </c>
      <c r="N161" s="197">
        <f t="shared" ref="N161" si="81">M161*L161</f>
        <v>426.08056640625</v>
      </c>
      <c r="O161" s="296"/>
      <c r="P161" s="188">
        <f t="shared" ref="P161" si="82">O161*I161</f>
        <v>0</v>
      </c>
      <c r="Q161" s="189">
        <f t="shared" ref="Q161" si="83">P161+N161</f>
        <v>426.08056640625</v>
      </c>
      <c r="R161" s="190"/>
      <c r="S161" s="311"/>
      <c r="X161" s="212"/>
    </row>
    <row r="162" spans="1:24" s="12" customFormat="1" ht="16.5" thickBot="1" x14ac:dyDescent="0.25">
      <c r="A162" s="214" t="str">
        <f>IF(J162&lt;&gt;"",1+MAX($A$18:A161),"")</f>
        <v/>
      </c>
      <c r="B162" s="215"/>
      <c r="C162" s="215"/>
      <c r="D162" s="215"/>
      <c r="E162" s="215"/>
      <c r="F162" s="216"/>
      <c r="G162" s="217"/>
      <c r="H162" s="218"/>
      <c r="I162" s="219"/>
      <c r="J162" s="220"/>
      <c r="K162" s="390"/>
      <c r="L162" s="222"/>
      <c r="M162" s="223"/>
      <c r="N162" s="224"/>
      <c r="O162" s="392"/>
      <c r="P162" s="226"/>
      <c r="Q162" s="227"/>
      <c r="R162" s="228"/>
      <c r="X162" s="212"/>
    </row>
    <row r="163" spans="1:24" s="12" customFormat="1" ht="20.100000000000001" customHeight="1" x14ac:dyDescent="0.2">
      <c r="A163" s="479" t="str">
        <f>IF(J163&lt;&gt;"",1+MAX($A$18:A162),"")</f>
        <v/>
      </c>
      <c r="B163" s="480"/>
      <c r="C163" s="480"/>
      <c r="D163" s="485" t="s">
        <v>75</v>
      </c>
      <c r="E163" s="485"/>
      <c r="F163" s="486" t="s">
        <v>170</v>
      </c>
      <c r="G163" s="481"/>
      <c r="H163" s="482"/>
      <c r="I163" s="483"/>
      <c r="J163" s="483"/>
      <c r="K163" s="482"/>
      <c r="L163" s="482"/>
      <c r="M163" s="482"/>
      <c r="N163" s="482"/>
      <c r="O163" s="482"/>
      <c r="P163" s="482"/>
      <c r="Q163" s="482"/>
      <c r="R163" s="484">
        <f>SUM(Q164:Q178)</f>
        <v>19604.188628752301</v>
      </c>
      <c r="X163" s="212"/>
    </row>
    <row r="164" spans="1:24" s="12" customFormat="1" ht="19.5" customHeight="1" x14ac:dyDescent="0.2">
      <c r="A164" s="298" t="str">
        <f>IF(J164&lt;&gt;"",1+MAX($A$18:A163),"")</f>
        <v/>
      </c>
      <c r="B164" s="346"/>
      <c r="C164" s="346"/>
      <c r="D164" s="347"/>
      <c r="E164" s="302"/>
      <c r="F164" s="9" t="s">
        <v>27</v>
      </c>
      <c r="G164" s="312"/>
      <c r="H164" s="336"/>
      <c r="I164" s="348"/>
      <c r="J164" s="349"/>
      <c r="K164" s="397"/>
      <c r="L164" s="340"/>
      <c r="M164" s="341"/>
      <c r="N164" s="342"/>
      <c r="O164" s="398"/>
      <c r="P164" s="344"/>
      <c r="Q164" s="345"/>
      <c r="R164" s="190"/>
      <c r="S164" s="311"/>
      <c r="X164" s="212"/>
    </row>
    <row r="165" spans="1:24" s="12" customFormat="1" ht="19.5" customHeight="1" x14ac:dyDescent="0.2">
      <c r="A165" s="298" t="str">
        <f>IF(J165&lt;&gt;"",1+MAX($A$18:A164),"")</f>
        <v/>
      </c>
      <c r="B165" s="346"/>
      <c r="C165" s="346"/>
      <c r="D165" s="347"/>
      <c r="E165" s="302"/>
      <c r="F165" s="316" t="s">
        <v>843</v>
      </c>
      <c r="G165" s="288"/>
      <c r="H165" s="336"/>
      <c r="I165" s="348"/>
      <c r="J165" s="349"/>
      <c r="K165" s="397"/>
      <c r="L165" s="340"/>
      <c r="M165" s="341"/>
      <c r="N165" s="342"/>
      <c r="O165" s="398"/>
      <c r="P165" s="344"/>
      <c r="Q165" s="345"/>
      <c r="R165" s="190"/>
      <c r="S165" s="311"/>
      <c r="X165" s="212"/>
    </row>
    <row r="166" spans="1:24" s="12" customFormat="1" ht="19.5" customHeight="1" x14ac:dyDescent="0.2">
      <c r="A166" s="298" t="str">
        <f>IF(J166&lt;&gt;"",1+MAX($A$18:A165),"")</f>
        <v/>
      </c>
      <c r="B166" s="355"/>
      <c r="C166" s="355"/>
      <c r="D166" s="347"/>
      <c r="E166" s="302"/>
      <c r="F166" s="286" t="s">
        <v>844</v>
      </c>
      <c r="G166" s="373"/>
      <c r="H166" s="196"/>
      <c r="I166" s="251"/>
      <c r="J166" s="183"/>
      <c r="K166" s="368"/>
      <c r="L166" s="210"/>
      <c r="M166" s="185"/>
      <c r="N166" s="197"/>
      <c r="O166" s="296"/>
      <c r="P166" s="188"/>
      <c r="Q166" s="189"/>
      <c r="R166" s="190"/>
      <c r="S166" s="311"/>
      <c r="X166" s="212"/>
    </row>
    <row r="167" spans="1:24" s="12" customFormat="1" ht="19.5" customHeight="1" x14ac:dyDescent="0.2">
      <c r="A167" s="298">
        <f>IF(J167&lt;&gt;"",1+MAX($A$18:A166),"")</f>
        <v>90</v>
      </c>
      <c r="B167" s="346" t="s">
        <v>721</v>
      </c>
      <c r="C167" s="346" t="s">
        <v>730</v>
      </c>
      <c r="D167" s="347" t="s">
        <v>75</v>
      </c>
      <c r="E167" s="302" t="s">
        <v>50</v>
      </c>
      <c r="F167" s="357" t="s">
        <v>879</v>
      </c>
      <c r="G167" s="288">
        <f>14*6.2</f>
        <v>86.8</v>
      </c>
      <c r="H167" s="196">
        <f>IF(VLOOKUP(J167,'HOURLY RATES'!B$116:C$124,2,0)=0,$J$3,VLOOKUP(J167,'HOURLY RATES'!B$116:C$124,2,0))</f>
        <v>0.05</v>
      </c>
      <c r="I167" s="290">
        <f t="shared" ref="I167:I169" si="84">(G167*(1+H167))</f>
        <v>91.14</v>
      </c>
      <c r="J167" s="291" t="s">
        <v>112</v>
      </c>
      <c r="K167" s="368">
        <v>1.2E-2</v>
      </c>
      <c r="L167" s="369">
        <f t="shared" ref="L167:L169" si="85">K167*I167</f>
        <v>1.09368</v>
      </c>
      <c r="M167" s="185">
        <f>IF(VLOOKUP(E167,'HOURLY RATES'!C$6:D$105,2,0)=0,$E$3,VLOOKUP(E167,'HOURLY RATES'!C$6:D$105,2,0))</f>
        <v>33.977737499999996</v>
      </c>
      <c r="N167" s="370">
        <f t="shared" ref="N167" si="86">M167*L167</f>
        <v>37.160771948999994</v>
      </c>
      <c r="O167" s="296">
        <v>1.1000000000000001</v>
      </c>
      <c r="P167" s="295">
        <f t="shared" ref="P167" si="87">O167*I167</f>
        <v>100.254</v>
      </c>
      <c r="Q167" s="297">
        <f t="shared" ref="Q167" si="88">P167+N167</f>
        <v>137.414771949</v>
      </c>
      <c r="R167" s="190"/>
      <c r="S167" s="308"/>
      <c r="X167" s="212"/>
    </row>
    <row r="168" spans="1:24" s="12" customFormat="1" ht="19.5" customHeight="1" x14ac:dyDescent="0.2">
      <c r="A168" s="298">
        <f>IF(J168&lt;&gt;"",1+MAX($A$18:A167),"")</f>
        <v>91</v>
      </c>
      <c r="B168" s="346" t="s">
        <v>721</v>
      </c>
      <c r="C168" s="346" t="s">
        <v>730</v>
      </c>
      <c r="D168" s="347" t="s">
        <v>75</v>
      </c>
      <c r="E168" s="302" t="s">
        <v>50</v>
      </c>
      <c r="F168" s="357" t="s">
        <v>880</v>
      </c>
      <c r="G168" s="288">
        <f>6*9.8</f>
        <v>58.800000000000004</v>
      </c>
      <c r="H168" s="196">
        <f>IF(VLOOKUP(J168,'HOURLY RATES'!B$116:C$124,2,0)=0,$J$3,VLOOKUP(J168,'HOURLY RATES'!B$116:C$124,2,0))</f>
        <v>0.05</v>
      </c>
      <c r="I168" s="290">
        <f t="shared" si="84"/>
        <v>61.740000000000009</v>
      </c>
      <c r="J168" s="291" t="s">
        <v>112</v>
      </c>
      <c r="K168" s="368">
        <v>1.2E-2</v>
      </c>
      <c r="L168" s="369">
        <f t="shared" si="85"/>
        <v>0.74088000000000009</v>
      </c>
      <c r="M168" s="185">
        <f>IF(VLOOKUP(E168,'HOURLY RATES'!C$6:D$105,2,0)=0,$E$3,VLOOKUP(E168,'HOURLY RATES'!C$6:D$105,2,0))</f>
        <v>33.977737499999996</v>
      </c>
      <c r="N168" s="370">
        <f t="shared" ref="N168:N169" si="89">M168*L168</f>
        <v>25.173426159000002</v>
      </c>
      <c r="O168" s="296">
        <v>1.1000000000000001</v>
      </c>
      <c r="P168" s="295">
        <f t="shared" ref="P168:P169" si="90">O168*I168</f>
        <v>67.914000000000016</v>
      </c>
      <c r="Q168" s="297">
        <f t="shared" ref="Q168:Q169" si="91">P168+N168</f>
        <v>93.087426159000017</v>
      </c>
      <c r="R168" s="190"/>
      <c r="S168" s="308"/>
      <c r="X168" s="212"/>
    </row>
    <row r="169" spans="1:24" s="12" customFormat="1" ht="19.5" customHeight="1" x14ac:dyDescent="0.2">
      <c r="A169" s="298">
        <f>IF(J169&lt;&gt;"",1+MAX($A$18:A168),"")</f>
        <v>92</v>
      </c>
      <c r="B169" s="346" t="s">
        <v>731</v>
      </c>
      <c r="C169" s="346" t="s">
        <v>732</v>
      </c>
      <c r="D169" s="347" t="s">
        <v>75</v>
      </c>
      <c r="E169" s="302" t="s">
        <v>50</v>
      </c>
      <c r="F169" s="357" t="s">
        <v>881</v>
      </c>
      <c r="G169" s="288">
        <f>26.78*20.4</f>
        <v>546.31200000000001</v>
      </c>
      <c r="H169" s="196">
        <f>IF(VLOOKUP(J169,'HOURLY RATES'!B$116:C$124,2,0)=0,$J$3,VLOOKUP(J169,'HOURLY RATES'!B$116:C$124,2,0))</f>
        <v>0.05</v>
      </c>
      <c r="I169" s="290">
        <f t="shared" si="84"/>
        <v>573.62760000000003</v>
      </c>
      <c r="J169" s="291" t="s">
        <v>112</v>
      </c>
      <c r="K169" s="368">
        <v>1.2E-2</v>
      </c>
      <c r="L169" s="369">
        <f t="shared" si="85"/>
        <v>6.8835312000000002</v>
      </c>
      <c r="M169" s="185">
        <f>IF(VLOOKUP(E169,'HOURLY RATES'!C$6:D$105,2,0)=0,$E$3,VLOOKUP(E169,'HOURLY RATES'!C$6:D$105,2,0))</f>
        <v>33.977737499999996</v>
      </c>
      <c r="N169" s="370">
        <f t="shared" si="89"/>
        <v>233.88681618665998</v>
      </c>
      <c r="O169" s="296">
        <v>1.1000000000000001</v>
      </c>
      <c r="P169" s="295">
        <f t="shared" si="90"/>
        <v>630.99036000000012</v>
      </c>
      <c r="Q169" s="297">
        <f t="shared" si="91"/>
        <v>864.87717618666011</v>
      </c>
      <c r="R169" s="190"/>
      <c r="S169" s="308"/>
      <c r="X169" s="212"/>
    </row>
    <row r="170" spans="1:24" s="12" customFormat="1" ht="19.5" customHeight="1" x14ac:dyDescent="0.2">
      <c r="A170" s="298" t="str">
        <f>IF(J170&lt;&gt;"",1+MAX($A$18:A169),"")</f>
        <v/>
      </c>
      <c r="B170" s="355"/>
      <c r="C170" s="355"/>
      <c r="D170" s="347"/>
      <c r="E170" s="302"/>
      <c r="F170" s="357"/>
      <c r="G170" s="288"/>
      <c r="H170" s="196"/>
      <c r="I170" s="251"/>
      <c r="J170" s="183"/>
      <c r="K170" s="368"/>
      <c r="L170" s="210"/>
      <c r="M170" s="185"/>
      <c r="N170" s="197"/>
      <c r="O170" s="296"/>
      <c r="P170" s="188"/>
      <c r="Q170" s="189"/>
      <c r="R170" s="190"/>
      <c r="S170" s="311"/>
      <c r="X170" s="212"/>
    </row>
    <row r="171" spans="1:24" s="12" customFormat="1" ht="19.5" customHeight="1" x14ac:dyDescent="0.2">
      <c r="A171" s="298">
        <f>IF(J171&lt;&gt;"",1+MAX($A$18:A170),"")</f>
        <v>93</v>
      </c>
      <c r="B171" s="346" t="s">
        <v>420</v>
      </c>
      <c r="C171" s="346" t="s">
        <v>695</v>
      </c>
      <c r="D171" s="347" t="s">
        <v>75</v>
      </c>
      <c r="E171" s="302" t="s">
        <v>200</v>
      </c>
      <c r="F171" s="357" t="s">
        <v>694</v>
      </c>
      <c r="G171" s="288">
        <v>44.6</v>
      </c>
      <c r="H171" s="196">
        <f>IF(VLOOKUP(J171,'HOURLY RATES'!B$116:C$124,2,0)=0,$J$3,VLOOKUP(J171,'HOURLY RATES'!B$116:C$124,2,0))</f>
        <v>0.05</v>
      </c>
      <c r="I171" s="290">
        <f t="shared" ref="I171:I173" si="92">(G171*(1+H171))</f>
        <v>46.830000000000005</v>
      </c>
      <c r="J171" s="291" t="s">
        <v>19</v>
      </c>
      <c r="K171" s="368">
        <v>0.5</v>
      </c>
      <c r="L171" s="369">
        <f t="shared" ref="L171:L173" si="93">K171*I171</f>
        <v>23.415000000000003</v>
      </c>
      <c r="M171" s="185">
        <f>IF(VLOOKUP(E171,'HOURLY RATES'!C$6:D$105,2,0)=0,$E$3,VLOOKUP(E171,'HOURLY RATES'!C$6:D$105,2,0))</f>
        <v>33.977737499999996</v>
      </c>
      <c r="N171" s="370">
        <f t="shared" ref="N171:N173" si="94">M171*L171</f>
        <v>795.58872356250004</v>
      </c>
      <c r="O171" s="296">
        <v>35.5</v>
      </c>
      <c r="P171" s="295">
        <f t="shared" ref="P171:P173" si="95">O171*I171</f>
        <v>1662.4650000000001</v>
      </c>
      <c r="Q171" s="297">
        <f t="shared" ref="Q171:Q173" si="96">P171+N171</f>
        <v>2458.0537235625002</v>
      </c>
      <c r="R171" s="190"/>
      <c r="S171" s="308"/>
      <c r="X171" s="212"/>
    </row>
    <row r="172" spans="1:24" s="12" customFormat="1" ht="19.5" customHeight="1" x14ac:dyDescent="0.2">
      <c r="A172" s="298">
        <f>IF(J172&lt;&gt;"",1+MAX($A$18:A171),"")</f>
        <v>94</v>
      </c>
      <c r="B172" s="346" t="s">
        <v>420</v>
      </c>
      <c r="C172" s="346" t="s">
        <v>500</v>
      </c>
      <c r="D172" s="347" t="s">
        <v>75</v>
      </c>
      <c r="E172" s="302" t="s">
        <v>200</v>
      </c>
      <c r="F172" s="357" t="s">
        <v>498</v>
      </c>
      <c r="G172" s="288">
        <f>16.1*4</f>
        <v>64.400000000000006</v>
      </c>
      <c r="H172" s="196">
        <f>IF(VLOOKUP(J172,'HOURLY RATES'!B$116:C$124,2,0)=0,$J$3,VLOOKUP(J172,'HOURLY RATES'!B$116:C$124,2,0))</f>
        <v>0.05</v>
      </c>
      <c r="I172" s="290">
        <f t="shared" si="92"/>
        <v>67.62</v>
      </c>
      <c r="J172" s="291" t="s">
        <v>19</v>
      </c>
      <c r="K172" s="368">
        <v>0.7</v>
      </c>
      <c r="L172" s="369">
        <f t="shared" si="93"/>
        <v>47.334000000000003</v>
      </c>
      <c r="M172" s="185">
        <f>IF(VLOOKUP(E172,'HOURLY RATES'!C$6:D$105,2,0)=0,$E$3,VLOOKUP(E172,'HOURLY RATES'!C$6:D$105,2,0))</f>
        <v>33.977737499999996</v>
      </c>
      <c r="N172" s="370">
        <f t="shared" si="94"/>
        <v>1608.3022268249999</v>
      </c>
      <c r="O172" s="296">
        <v>57.7</v>
      </c>
      <c r="P172" s="295">
        <f t="shared" si="95"/>
        <v>3901.6740000000004</v>
      </c>
      <c r="Q172" s="297">
        <f t="shared" si="96"/>
        <v>5509.9762268250006</v>
      </c>
      <c r="R172" s="190"/>
      <c r="S172" s="308"/>
      <c r="X172" s="212"/>
    </row>
    <row r="173" spans="1:24" s="12" customFormat="1" ht="19.5" customHeight="1" x14ac:dyDescent="0.2">
      <c r="A173" s="298">
        <f>IF(J173&lt;&gt;"",1+MAX($A$18:A172),"")</f>
        <v>95</v>
      </c>
      <c r="B173" s="346" t="s">
        <v>420</v>
      </c>
      <c r="C173" s="346" t="s">
        <v>500</v>
      </c>
      <c r="D173" s="347" t="s">
        <v>75</v>
      </c>
      <c r="E173" s="302" t="s">
        <v>200</v>
      </c>
      <c r="F173" s="357" t="s">
        <v>869</v>
      </c>
      <c r="G173" s="288">
        <f>16.1*4+12.61+2.25</f>
        <v>79.260000000000005</v>
      </c>
      <c r="H173" s="196">
        <f>IF(VLOOKUP(J173,'HOURLY RATES'!B$116:C$124,2,0)=0,$J$3,VLOOKUP(J173,'HOURLY RATES'!B$116:C$124,2,0))</f>
        <v>0.05</v>
      </c>
      <c r="I173" s="290">
        <f t="shared" si="92"/>
        <v>83.223000000000013</v>
      </c>
      <c r="J173" s="291" t="s">
        <v>19</v>
      </c>
      <c r="K173" s="368">
        <v>1.1000000000000001</v>
      </c>
      <c r="L173" s="369">
        <f t="shared" si="93"/>
        <v>91.545300000000026</v>
      </c>
      <c r="M173" s="185">
        <f>IF(VLOOKUP(E173,'HOURLY RATES'!C$6:D$105,2,0)=0,$E$3,VLOOKUP(E173,'HOURLY RATES'!C$6:D$105,2,0))</f>
        <v>33.977737499999996</v>
      </c>
      <c r="N173" s="370">
        <f t="shared" si="94"/>
        <v>3110.5021727587505</v>
      </c>
      <c r="O173" s="296">
        <v>88.54</v>
      </c>
      <c r="P173" s="295">
        <f t="shared" si="95"/>
        <v>7368.5644200000015</v>
      </c>
      <c r="Q173" s="297">
        <f t="shared" si="96"/>
        <v>10479.066592758752</v>
      </c>
      <c r="R173" s="190"/>
      <c r="S173" s="308"/>
      <c r="X173" s="212"/>
    </row>
    <row r="174" spans="1:24" s="12" customFormat="1" ht="20.100000000000001" customHeight="1" x14ac:dyDescent="0.2">
      <c r="A174" s="298" t="str">
        <f>IF(J174&lt;&gt;"",1+MAX($A$18:A173),"")</f>
        <v/>
      </c>
      <c r="B174" s="346"/>
      <c r="C174" s="346"/>
      <c r="D174" s="347"/>
      <c r="E174" s="302"/>
      <c r="F174" s="307"/>
      <c r="G174" s="373"/>
      <c r="H174" s="196"/>
      <c r="I174" s="290"/>
      <c r="J174" s="291"/>
      <c r="K174" s="368"/>
      <c r="L174" s="369"/>
      <c r="M174" s="185"/>
      <c r="N174" s="370"/>
      <c r="O174" s="296"/>
      <c r="P174" s="295"/>
      <c r="Q174" s="297"/>
      <c r="R174" s="190"/>
      <c r="S174" s="308"/>
      <c r="X174" s="212"/>
    </row>
    <row r="175" spans="1:24" s="12" customFormat="1" ht="19.5" customHeight="1" x14ac:dyDescent="0.2">
      <c r="A175" s="298" t="str">
        <f>IF(J175&lt;&gt;"",1+MAX($A$18:A174),"")</f>
        <v/>
      </c>
      <c r="B175" s="355"/>
      <c r="C175" s="355"/>
      <c r="D175" s="347"/>
      <c r="E175" s="302"/>
      <c r="F175" s="313" t="s">
        <v>845</v>
      </c>
      <c r="G175" s="288"/>
      <c r="H175" s="196"/>
      <c r="I175" s="251"/>
      <c r="J175" s="183"/>
      <c r="K175" s="368"/>
      <c r="L175" s="210"/>
      <c r="M175" s="185"/>
      <c r="N175" s="197"/>
      <c r="O175" s="296"/>
      <c r="P175" s="188"/>
      <c r="Q175" s="189"/>
      <c r="R175" s="190"/>
      <c r="S175" s="311"/>
      <c r="X175" s="212"/>
    </row>
    <row r="176" spans="1:24" s="12" customFormat="1" ht="19.5" customHeight="1" x14ac:dyDescent="0.2">
      <c r="A176" s="298" t="str">
        <f>IF(J176&lt;&gt;"",1+MAX($A$18:A175),"")</f>
        <v/>
      </c>
      <c r="B176" s="355"/>
      <c r="C176" s="355"/>
      <c r="D176" s="347"/>
      <c r="E176" s="302"/>
      <c r="F176" s="357"/>
      <c r="G176" s="288"/>
      <c r="H176" s="196"/>
      <c r="I176" s="251"/>
      <c r="J176" s="183"/>
      <c r="K176" s="368"/>
      <c r="L176" s="210"/>
      <c r="M176" s="185"/>
      <c r="N176" s="197"/>
      <c r="O176" s="296"/>
      <c r="P176" s="188"/>
      <c r="Q176" s="189"/>
      <c r="R176" s="190"/>
      <c r="S176" s="311"/>
      <c r="X176" s="212"/>
    </row>
    <row r="177" spans="1:24" s="12" customFormat="1" ht="19.5" customHeight="1" x14ac:dyDescent="0.2">
      <c r="A177" s="298">
        <f>IF(J177&lt;&gt;"",1+MAX($A$18:A176),"")</f>
        <v>96</v>
      </c>
      <c r="B177" s="355"/>
      <c r="C177" s="355"/>
      <c r="D177" s="347" t="s">
        <v>75</v>
      </c>
      <c r="E177" s="302" t="s">
        <v>50</v>
      </c>
      <c r="F177" s="357" t="s">
        <v>715</v>
      </c>
      <c r="G177" s="360">
        <f>SUM(G167:G169)/2000</f>
        <v>0.34595600000000004</v>
      </c>
      <c r="H177" s="196">
        <f>IF(VLOOKUP(J177,'HOURLY RATES'!B$116:C$124,2,0)=0,$J$3,VLOOKUP(J177,'HOURLY RATES'!B$116:C$124,2,0))</f>
        <v>0.05</v>
      </c>
      <c r="I177" s="251">
        <f t="shared" ref="I177" si="97">(G177*(1+H177))</f>
        <v>0.36325380000000007</v>
      </c>
      <c r="J177" s="183" t="s">
        <v>158</v>
      </c>
      <c r="K177" s="368">
        <v>5</v>
      </c>
      <c r="L177" s="369">
        <f t="shared" ref="L177" si="98">K177*I177</f>
        <v>1.8162690000000004</v>
      </c>
      <c r="M177" s="185">
        <f>IF(VLOOKUP(E177,'HOURLY RATES'!C$6:D$105,2,0)=0,$E$3,VLOOKUP(E177,'HOURLY RATES'!C$6:D$105,2,0))</f>
        <v>33.977737499999996</v>
      </c>
      <c r="N177" s="197"/>
      <c r="O177" s="296">
        <f>K177*M177</f>
        <v>169.88868749999997</v>
      </c>
      <c r="P177" s="188">
        <f t="shared" ref="P177" si="99">O177*I177</f>
        <v>61.712711311387501</v>
      </c>
      <c r="Q177" s="189">
        <f t="shared" ref="Q177" si="100">P177+N177</f>
        <v>61.712711311387501</v>
      </c>
      <c r="R177" s="190"/>
      <c r="S177" s="311"/>
      <c r="X177" s="212"/>
    </row>
    <row r="178" spans="1:24" s="12" customFormat="1" ht="16.5" thickBot="1" x14ac:dyDescent="0.25">
      <c r="A178" s="214" t="str">
        <f>IF(J178&lt;&gt;"",1+MAX($A$18:A177),"")</f>
        <v/>
      </c>
      <c r="B178" s="215"/>
      <c r="C178" s="215"/>
      <c r="D178" s="215"/>
      <c r="E178" s="215"/>
      <c r="F178" s="216"/>
      <c r="G178" s="217"/>
      <c r="H178" s="218"/>
      <c r="I178" s="219"/>
      <c r="J178" s="220"/>
      <c r="K178" s="390"/>
      <c r="L178" s="222"/>
      <c r="M178" s="223"/>
      <c r="N178" s="224"/>
      <c r="O178" s="392"/>
      <c r="P178" s="226"/>
      <c r="Q178" s="227"/>
      <c r="R178" s="228"/>
      <c r="X178" s="212"/>
    </row>
    <row r="179" spans="1:24" s="12" customFormat="1" ht="20.100000000000001" customHeight="1" x14ac:dyDescent="0.2">
      <c r="A179" s="479" t="str">
        <f>IF(J179&lt;&gt;"",1+MAX($A$18:A178),"")</f>
        <v/>
      </c>
      <c r="B179" s="480"/>
      <c r="C179" s="480"/>
      <c r="D179" s="485" t="s">
        <v>32</v>
      </c>
      <c r="E179" s="485"/>
      <c r="F179" s="486" t="s">
        <v>496</v>
      </c>
      <c r="G179" s="481"/>
      <c r="H179" s="482"/>
      <c r="I179" s="483"/>
      <c r="J179" s="483"/>
      <c r="K179" s="482"/>
      <c r="L179" s="482"/>
      <c r="M179" s="482"/>
      <c r="N179" s="482"/>
      <c r="O179" s="482"/>
      <c r="P179" s="482"/>
      <c r="Q179" s="482"/>
      <c r="R179" s="484">
        <f>SUM(Q180:Q229)</f>
        <v>50888.191658087744</v>
      </c>
      <c r="X179" s="212"/>
    </row>
    <row r="180" spans="1:24" s="12" customFormat="1" ht="19.5" customHeight="1" x14ac:dyDescent="0.2">
      <c r="A180" s="298" t="str">
        <f>IF(J180&lt;&gt;"",1+MAX($A$18:A179),"")</f>
        <v/>
      </c>
      <c r="B180" s="346"/>
      <c r="C180" s="346"/>
      <c r="D180" s="347"/>
      <c r="E180" s="302"/>
      <c r="F180" s="307"/>
      <c r="G180" s="312"/>
      <c r="H180" s="336"/>
      <c r="I180" s="348"/>
      <c r="J180" s="349"/>
      <c r="K180" s="397"/>
      <c r="L180" s="340"/>
      <c r="M180" s="341"/>
      <c r="N180" s="342"/>
      <c r="O180" s="398"/>
      <c r="P180" s="344"/>
      <c r="Q180" s="345"/>
      <c r="R180" s="190"/>
      <c r="S180" s="311"/>
      <c r="X180" s="212"/>
    </row>
    <row r="181" spans="1:24" s="12" customFormat="1" ht="19.5" customHeight="1" x14ac:dyDescent="0.2">
      <c r="A181" s="298" t="str">
        <f>IF(J181&lt;&gt;"",1+MAX($A$18:A180),"")</f>
        <v/>
      </c>
      <c r="B181" s="346"/>
      <c r="C181" s="346"/>
      <c r="D181" s="347"/>
      <c r="E181" s="302"/>
      <c r="F181" s="313" t="s">
        <v>733</v>
      </c>
      <c r="G181" s="373"/>
      <c r="H181" s="336"/>
      <c r="I181" s="348"/>
      <c r="J181" s="349"/>
      <c r="K181" s="397"/>
      <c r="L181" s="340"/>
      <c r="M181" s="341"/>
      <c r="N181" s="342"/>
      <c r="O181" s="398"/>
      <c r="P181" s="344"/>
      <c r="Q181" s="345"/>
      <c r="R181" s="190"/>
      <c r="S181" s="311"/>
      <c r="X181" s="212"/>
    </row>
    <row r="182" spans="1:24" s="12" customFormat="1" ht="19.5" customHeight="1" x14ac:dyDescent="0.2">
      <c r="A182" s="298">
        <f>IF(J182&lt;&gt;"",1+MAX($A$18:A181),"")</f>
        <v>97</v>
      </c>
      <c r="B182" s="346" t="s">
        <v>757</v>
      </c>
      <c r="C182" s="346" t="s">
        <v>757</v>
      </c>
      <c r="D182" s="347" t="s">
        <v>32</v>
      </c>
      <c r="E182" s="302" t="s">
        <v>63</v>
      </c>
      <c r="F182" s="357" t="s">
        <v>734</v>
      </c>
      <c r="G182" s="373">
        <f>4.19+363+4.29+106.12+156</f>
        <v>633.6</v>
      </c>
      <c r="H182" s="196">
        <f>IF(VLOOKUP(J182,'HOURLY RATES'!B$116:C$124,2,0)=0,$J$3,VLOOKUP(J182,'HOURLY RATES'!B$116:C$124,2,0))</f>
        <v>0.05</v>
      </c>
      <c r="I182" s="251">
        <f t="shared" ref="I182:I184" si="101">(G182*(1+H182))</f>
        <v>665.28000000000009</v>
      </c>
      <c r="J182" s="183" t="s">
        <v>19</v>
      </c>
      <c r="K182" s="368">
        <v>9.1999999999999998E-2</v>
      </c>
      <c r="L182" s="369">
        <f t="shared" ref="L182:L184" si="102">K182*I182</f>
        <v>61.205760000000005</v>
      </c>
      <c r="M182" s="185">
        <f>IF(VLOOKUP(E182,'HOURLY RATES'!C$6:D$105,2,0)=0,$E$3,VLOOKUP(E182,'HOURLY RATES'!C$6:D$105,2,0))</f>
        <v>21.16197</v>
      </c>
      <c r="N182" s="197">
        <f t="shared" ref="N182:N184" si="103">M182*L182</f>
        <v>1295.2344569472002</v>
      </c>
      <c r="O182" s="296">
        <f>60.51/10</f>
        <v>6.0510000000000002</v>
      </c>
      <c r="P182" s="188">
        <f t="shared" ref="P182:P184" si="104">O182*I182</f>
        <v>4025.6092800000006</v>
      </c>
      <c r="Q182" s="189">
        <f t="shared" ref="Q182:Q184" si="105">P182+N182</f>
        <v>5320.8437369472013</v>
      </c>
      <c r="R182" s="190"/>
      <c r="S182" s="311"/>
      <c r="X182" s="212"/>
    </row>
    <row r="183" spans="1:24" s="12" customFormat="1" ht="19.5" customHeight="1" x14ac:dyDescent="0.2">
      <c r="A183" s="298">
        <f>IF(J183&lt;&gt;"",1+MAX($A$18:A182),"")</f>
        <v>98</v>
      </c>
      <c r="B183" s="346" t="s">
        <v>757</v>
      </c>
      <c r="C183" s="346" t="s">
        <v>757</v>
      </c>
      <c r="D183" s="347" t="s">
        <v>32</v>
      </c>
      <c r="E183" s="302" t="s">
        <v>63</v>
      </c>
      <c r="F183" s="357" t="s">
        <v>735</v>
      </c>
      <c r="G183" s="373">
        <f>83.08*3-(156)</f>
        <v>93.240000000000009</v>
      </c>
      <c r="H183" s="196">
        <f>IF(VLOOKUP(J183,'HOURLY RATES'!B$116:C$124,2,0)=0,$J$3,VLOOKUP(J183,'HOURLY RATES'!B$116:C$124,2,0))</f>
        <v>0.05</v>
      </c>
      <c r="I183" s="251">
        <f t="shared" si="101"/>
        <v>97.902000000000015</v>
      </c>
      <c r="J183" s="183" t="s">
        <v>19</v>
      </c>
      <c r="K183" s="368">
        <v>9.8000000000000004E-2</v>
      </c>
      <c r="L183" s="369">
        <f t="shared" si="102"/>
        <v>9.5943960000000015</v>
      </c>
      <c r="M183" s="185">
        <f>IF(VLOOKUP(E183,'HOURLY RATES'!C$6:D$105,2,0)=0,$E$3,VLOOKUP(E183,'HOURLY RATES'!C$6:D$105,2,0))</f>
        <v>21.16197</v>
      </c>
      <c r="N183" s="197">
        <f t="shared" si="103"/>
        <v>203.03632032012004</v>
      </c>
      <c r="O183" s="296">
        <f>177.98/20</f>
        <v>8.8989999999999991</v>
      </c>
      <c r="P183" s="188">
        <f t="shared" si="104"/>
        <v>871.22989800000005</v>
      </c>
      <c r="Q183" s="189">
        <f t="shared" si="105"/>
        <v>1074.2662183201201</v>
      </c>
      <c r="R183" s="190"/>
      <c r="S183" s="311"/>
      <c r="X183" s="212"/>
    </row>
    <row r="184" spans="1:24" s="12" customFormat="1" ht="19.5" customHeight="1" x14ac:dyDescent="0.2">
      <c r="A184" s="298">
        <f>IF(J184&lt;&gt;"",1+MAX($A$18:A183),"")</f>
        <v>99</v>
      </c>
      <c r="B184" s="346" t="s">
        <v>731</v>
      </c>
      <c r="C184" s="346" t="s">
        <v>731</v>
      </c>
      <c r="D184" s="347" t="s">
        <v>32</v>
      </c>
      <c r="E184" s="302" t="s">
        <v>63</v>
      </c>
      <c r="F184" s="357" t="s">
        <v>736</v>
      </c>
      <c r="G184" s="373">
        <f>29.92*4</f>
        <v>119.68</v>
      </c>
      <c r="H184" s="196">
        <f>IF(VLOOKUP(J184,'HOURLY RATES'!B$116:C$124,2,0)=0,$J$3,VLOOKUP(J184,'HOURLY RATES'!B$116:C$124,2,0))</f>
        <v>0.05</v>
      </c>
      <c r="I184" s="251">
        <f t="shared" si="101"/>
        <v>125.66400000000002</v>
      </c>
      <c r="J184" s="183" t="s">
        <v>19</v>
      </c>
      <c r="K184" s="368">
        <v>9.5000000000000001E-2</v>
      </c>
      <c r="L184" s="369">
        <f t="shared" si="102"/>
        <v>11.938080000000001</v>
      </c>
      <c r="M184" s="185">
        <f>IF(VLOOKUP(E184,'HOURLY RATES'!C$6:D$105,2,0)=0,$E$3,VLOOKUP(E184,'HOURLY RATES'!C$6:D$105,2,0))</f>
        <v>21.16197</v>
      </c>
      <c r="N184" s="197">
        <f t="shared" si="103"/>
        <v>252.63329081760003</v>
      </c>
      <c r="O184" s="296">
        <f>151.28/20</f>
        <v>7.5640000000000001</v>
      </c>
      <c r="P184" s="188">
        <f t="shared" si="104"/>
        <v>950.52249600000016</v>
      </c>
      <c r="Q184" s="189">
        <f t="shared" si="105"/>
        <v>1203.1557868176001</v>
      </c>
      <c r="R184" s="190"/>
      <c r="S184" s="311"/>
      <c r="X184" s="212"/>
    </row>
    <row r="185" spans="1:24" s="12" customFormat="1" ht="19.5" customHeight="1" x14ac:dyDescent="0.2">
      <c r="A185" s="298" t="str">
        <f>IF(J185&lt;&gt;"",1+MAX($A$18:A184),"")</f>
        <v/>
      </c>
      <c r="B185" s="346"/>
      <c r="C185" s="346"/>
      <c r="D185" s="347"/>
      <c r="E185" s="302"/>
      <c r="F185" s="357"/>
      <c r="G185" s="373"/>
      <c r="H185" s="196"/>
      <c r="I185" s="251"/>
      <c r="J185" s="183"/>
      <c r="K185" s="368"/>
      <c r="L185" s="210"/>
      <c r="M185" s="185"/>
      <c r="N185" s="197"/>
      <c r="O185" s="296"/>
      <c r="P185" s="188"/>
      <c r="Q185" s="189"/>
      <c r="R185" s="190"/>
      <c r="S185" s="311"/>
      <c r="X185" s="212"/>
    </row>
    <row r="186" spans="1:24" s="12" customFormat="1" ht="39.75" customHeight="1" x14ac:dyDescent="0.2">
      <c r="A186" s="298">
        <f>IF(J186&lt;&gt;"",1+MAX($A$18:A185),"")</f>
        <v>100</v>
      </c>
      <c r="B186" s="346" t="s">
        <v>757</v>
      </c>
      <c r="C186" s="346" t="s">
        <v>757</v>
      </c>
      <c r="D186" s="347" t="s">
        <v>32</v>
      </c>
      <c r="E186" s="302" t="s">
        <v>63</v>
      </c>
      <c r="F186" s="357" t="s">
        <v>737</v>
      </c>
      <c r="G186" s="373">
        <f>6.78+45.96</f>
        <v>52.74</v>
      </c>
      <c r="H186" s="196">
        <f>IF(VLOOKUP(J186,'HOURLY RATES'!B$116:C$124,2,0)=0,$J$3,VLOOKUP(J186,'HOURLY RATES'!B$116:C$124,2,0))</f>
        <v>0.05</v>
      </c>
      <c r="I186" s="251">
        <f t="shared" ref="I186:I187" si="106">(G186*(1+H186))</f>
        <v>55.377000000000002</v>
      </c>
      <c r="J186" s="183" t="s">
        <v>19</v>
      </c>
      <c r="K186" s="368">
        <v>5.8000000000000003E-2</v>
      </c>
      <c r="L186" s="369">
        <f t="shared" ref="L186:L188" si="107">K186*I186</f>
        <v>3.2118660000000001</v>
      </c>
      <c r="M186" s="185">
        <f>IF(VLOOKUP(E186,'HOURLY RATES'!C$6:D$105,2,0)=0,$E$3,VLOOKUP(E186,'HOURLY RATES'!C$6:D$105,2,0))</f>
        <v>21.16197</v>
      </c>
      <c r="N186" s="197">
        <f t="shared" ref="N186:N187" si="108">M186*L186</f>
        <v>67.969411936020009</v>
      </c>
      <c r="O186" s="296">
        <v>1.67</v>
      </c>
      <c r="P186" s="188">
        <f t="shared" ref="P186:P187" si="109">O186*I186</f>
        <v>92.479590000000002</v>
      </c>
      <c r="Q186" s="189">
        <f t="shared" ref="Q186:Q187" si="110">P186+N186</f>
        <v>160.44900193602001</v>
      </c>
      <c r="R186" s="190"/>
      <c r="S186" s="311"/>
      <c r="X186" s="212"/>
    </row>
    <row r="187" spans="1:24" s="12" customFormat="1" ht="40.5" customHeight="1" x14ac:dyDescent="0.2">
      <c r="A187" s="298">
        <f>IF(J187&lt;&gt;"",1+MAX($A$18:A186),"")</f>
        <v>101</v>
      </c>
      <c r="B187" s="346" t="s">
        <v>757</v>
      </c>
      <c r="C187" s="346" t="s">
        <v>757</v>
      </c>
      <c r="D187" s="347" t="s">
        <v>32</v>
      </c>
      <c r="E187" s="302" t="s">
        <v>63</v>
      </c>
      <c r="F187" s="357" t="s">
        <v>738</v>
      </c>
      <c r="G187" s="373">
        <f>20+182+18+42</f>
        <v>262</v>
      </c>
      <c r="H187" s="196">
        <f>IF(VLOOKUP(J187,'HOURLY RATES'!B$116:C$124,2,0)=0,$J$3,VLOOKUP(J187,'HOURLY RATES'!B$116:C$124,2,0))</f>
        <v>0.05</v>
      </c>
      <c r="I187" s="251">
        <f t="shared" si="106"/>
        <v>275.10000000000002</v>
      </c>
      <c r="J187" s="183" t="s">
        <v>19</v>
      </c>
      <c r="K187" s="368">
        <v>6.2E-2</v>
      </c>
      <c r="L187" s="369">
        <f t="shared" si="107"/>
        <v>17.0562</v>
      </c>
      <c r="M187" s="185">
        <f>IF(VLOOKUP(E187,'HOURLY RATES'!C$6:D$105,2,0)=0,$E$3,VLOOKUP(E187,'HOURLY RATES'!C$6:D$105,2,0))</f>
        <v>21.16197</v>
      </c>
      <c r="N187" s="197">
        <f t="shared" si="108"/>
        <v>360.94279271400001</v>
      </c>
      <c r="O187" s="296">
        <v>2.02</v>
      </c>
      <c r="P187" s="188">
        <f t="shared" si="109"/>
        <v>555.702</v>
      </c>
      <c r="Q187" s="189">
        <f t="shared" si="110"/>
        <v>916.644792714</v>
      </c>
      <c r="R187" s="190"/>
      <c r="S187" s="311"/>
      <c r="X187" s="212"/>
    </row>
    <row r="188" spans="1:24" s="12" customFormat="1" ht="19.5" customHeight="1" x14ac:dyDescent="0.2">
      <c r="A188" s="298">
        <f>IF(J188&lt;&gt;"",1+MAX($A$18:A187),"")</f>
        <v>102</v>
      </c>
      <c r="B188" s="346" t="s">
        <v>731</v>
      </c>
      <c r="C188" s="346" t="s">
        <v>731</v>
      </c>
      <c r="D188" s="347" t="s">
        <v>32</v>
      </c>
      <c r="E188" s="302" t="s">
        <v>63</v>
      </c>
      <c r="F188" s="357" t="s">
        <v>739</v>
      </c>
      <c r="G188" s="373">
        <v>10</v>
      </c>
      <c r="H188" s="196">
        <f>IF(VLOOKUP(J188,'HOURLY RATES'!B$116:C$124,2,0)=0,$J$3,VLOOKUP(J188,'HOURLY RATES'!B$116:C$124,2,0))</f>
        <v>0.05</v>
      </c>
      <c r="I188" s="251">
        <f t="shared" ref="I188" si="111">(G188*(1+H188))</f>
        <v>10.5</v>
      </c>
      <c r="J188" s="183" t="s">
        <v>19</v>
      </c>
      <c r="K188" s="368">
        <v>7.0000000000000007E-2</v>
      </c>
      <c r="L188" s="369">
        <f t="shared" si="107"/>
        <v>0.7350000000000001</v>
      </c>
      <c r="M188" s="185">
        <f>IF(VLOOKUP(E188,'HOURLY RATES'!C$6:D$105,2,0)=0,$E$3,VLOOKUP(E188,'HOURLY RATES'!C$6:D$105,2,0))</f>
        <v>21.16197</v>
      </c>
      <c r="N188" s="197">
        <f t="shared" ref="N188" si="112">M188*L188</f>
        <v>15.554047950000003</v>
      </c>
      <c r="O188" s="296">
        <v>2.2000000000000002</v>
      </c>
      <c r="P188" s="188">
        <f t="shared" ref="P188" si="113">O188*I188</f>
        <v>23.1</v>
      </c>
      <c r="Q188" s="189">
        <f t="shared" ref="Q188" si="114">P188+N188</f>
        <v>38.654047950000006</v>
      </c>
      <c r="R188" s="190"/>
      <c r="S188" s="311"/>
      <c r="X188" s="212"/>
    </row>
    <row r="189" spans="1:24" s="12" customFormat="1" ht="19.5" customHeight="1" x14ac:dyDescent="0.25">
      <c r="A189" s="298" t="str">
        <f>IF(J189&lt;&gt;"",1+MAX($A$18:A188),"")</f>
        <v/>
      </c>
      <c r="B189" s="346"/>
      <c r="C189" s="346"/>
      <c r="D189" s="347"/>
      <c r="E189" s="302"/>
      <c r="F189" s="314"/>
      <c r="G189" s="379"/>
      <c r="H189" s="196"/>
      <c r="I189" s="251"/>
      <c r="J189" s="183"/>
      <c r="K189" s="368"/>
      <c r="L189" s="210"/>
      <c r="M189" s="185"/>
      <c r="N189" s="197"/>
      <c r="O189" s="296"/>
      <c r="P189" s="188"/>
      <c r="Q189" s="189"/>
      <c r="R189" s="190"/>
      <c r="S189" s="311"/>
      <c r="X189" s="212"/>
    </row>
    <row r="190" spans="1:24" s="12" customFormat="1" ht="19.5" customHeight="1" x14ac:dyDescent="0.2">
      <c r="A190" s="298" t="str">
        <f>IF(J190&lt;&gt;"",1+MAX($A$18:A189),"")</f>
        <v/>
      </c>
      <c r="B190" s="346"/>
      <c r="C190" s="346"/>
      <c r="D190" s="347"/>
      <c r="E190" s="302"/>
      <c r="F190" s="313" t="s">
        <v>740</v>
      </c>
      <c r="G190" s="373"/>
      <c r="H190" s="196"/>
      <c r="I190" s="251"/>
      <c r="J190" s="183"/>
      <c r="K190" s="368"/>
      <c r="L190" s="210"/>
      <c r="M190" s="185"/>
      <c r="N190" s="197"/>
      <c r="O190" s="296"/>
      <c r="P190" s="188"/>
      <c r="Q190" s="189"/>
      <c r="R190" s="190"/>
      <c r="S190" s="311"/>
      <c r="X190" s="212"/>
    </row>
    <row r="191" spans="1:24" s="12" customFormat="1" ht="19.5" customHeight="1" x14ac:dyDescent="0.2">
      <c r="A191" s="298">
        <f>IF(J191&lt;&gt;"",1+MAX($A$18:A190),"")</f>
        <v>103</v>
      </c>
      <c r="B191" s="346" t="s">
        <v>716</v>
      </c>
      <c r="C191" s="346" t="s">
        <v>758</v>
      </c>
      <c r="D191" s="347" t="s">
        <v>32</v>
      </c>
      <c r="E191" s="302" t="s">
        <v>63</v>
      </c>
      <c r="F191" s="357" t="s">
        <v>741</v>
      </c>
      <c r="G191" s="373">
        <f>38+255</f>
        <v>293</v>
      </c>
      <c r="H191" s="196">
        <f>IF(VLOOKUP(J191,'HOURLY RATES'!B$116:C$124,2,0)=0,$J$3,VLOOKUP(J191,'HOURLY RATES'!B$116:C$124,2,0))</f>
        <v>0.05</v>
      </c>
      <c r="I191" s="251">
        <f t="shared" ref="I191" si="115">(G191*(1+H191))</f>
        <v>307.65000000000003</v>
      </c>
      <c r="J191" s="183" t="s">
        <v>19</v>
      </c>
      <c r="K191" s="368">
        <v>0.05</v>
      </c>
      <c r="L191" s="369">
        <f t="shared" ref="L191" si="116">K191*I191</f>
        <v>15.382500000000002</v>
      </c>
      <c r="M191" s="185">
        <f>IF(VLOOKUP(E191,'HOURLY RATES'!C$6:D$105,2,0)=0,$E$3,VLOOKUP(E191,'HOURLY RATES'!C$6:D$105,2,0))</f>
        <v>21.16197</v>
      </c>
      <c r="N191" s="197">
        <f t="shared" ref="N191" si="117">M191*L191</f>
        <v>325.52400352500007</v>
      </c>
      <c r="O191" s="296">
        <v>1.0920000000000001</v>
      </c>
      <c r="P191" s="188">
        <f t="shared" ref="P191" si="118">O191*I191</f>
        <v>335.95380000000006</v>
      </c>
      <c r="Q191" s="189">
        <f t="shared" ref="Q191" si="119">P191+N191</f>
        <v>661.47780352500013</v>
      </c>
      <c r="R191" s="190"/>
      <c r="S191" s="311"/>
      <c r="X191" s="212"/>
    </row>
    <row r="192" spans="1:24" s="12" customFormat="1" ht="19.5" customHeight="1" x14ac:dyDescent="0.2">
      <c r="A192" s="298" t="str">
        <f>IF(J192&lt;&gt;"",1+MAX($A$18:A191),"")</f>
        <v/>
      </c>
      <c r="B192" s="346"/>
      <c r="C192" s="346"/>
      <c r="D192" s="347"/>
      <c r="E192" s="302"/>
      <c r="F192" s="314"/>
      <c r="G192" s="373"/>
      <c r="H192" s="196"/>
      <c r="I192" s="251"/>
      <c r="J192" s="183"/>
      <c r="K192" s="368"/>
      <c r="L192" s="210"/>
      <c r="M192" s="185"/>
      <c r="N192" s="197"/>
      <c r="O192" s="296"/>
      <c r="P192" s="188"/>
      <c r="Q192" s="189"/>
      <c r="R192" s="190"/>
      <c r="S192" s="311"/>
      <c r="X192" s="212"/>
    </row>
    <row r="193" spans="1:24" s="12" customFormat="1" ht="19.5" customHeight="1" x14ac:dyDescent="0.2">
      <c r="A193" s="298" t="str">
        <f>IF(J193&lt;&gt;"",1+MAX($A$18:A192),"")</f>
        <v/>
      </c>
      <c r="B193" s="346"/>
      <c r="C193" s="346"/>
      <c r="D193" s="347"/>
      <c r="E193" s="302"/>
      <c r="F193" s="313" t="s">
        <v>742</v>
      </c>
      <c r="G193" s="373"/>
      <c r="H193" s="196"/>
      <c r="I193" s="251"/>
      <c r="J193" s="183"/>
      <c r="K193" s="368"/>
      <c r="L193" s="210"/>
      <c r="M193" s="185"/>
      <c r="N193" s="197"/>
      <c r="O193" s="296"/>
      <c r="P193" s="188"/>
      <c r="Q193" s="189"/>
      <c r="R193" s="190"/>
      <c r="S193" s="311"/>
      <c r="X193" s="212"/>
    </row>
    <row r="194" spans="1:24" s="12" customFormat="1" ht="19.5" customHeight="1" x14ac:dyDescent="0.2">
      <c r="A194" s="298">
        <f>IF(J194&lt;&gt;"",1+MAX($A$18:A193),"")</f>
        <v>104</v>
      </c>
      <c r="B194" s="346"/>
      <c r="C194" s="346"/>
      <c r="D194" s="347" t="s">
        <v>32</v>
      </c>
      <c r="E194" s="302" t="s">
        <v>63</v>
      </c>
      <c r="F194" s="357" t="s">
        <v>892</v>
      </c>
      <c r="G194" s="373">
        <v>1557</v>
      </c>
      <c r="H194" s="196">
        <f>IF(VLOOKUP(J194,'HOURLY RATES'!B$116:C$124,2,0)=0,$J$3,VLOOKUP(J194,'HOURLY RATES'!B$116:C$124,2,0))</f>
        <v>0.05</v>
      </c>
      <c r="I194" s="251">
        <f t="shared" ref="I194" si="120">(G194*(1+H194))</f>
        <v>1634.8500000000001</v>
      </c>
      <c r="J194" s="183" t="s">
        <v>19</v>
      </c>
      <c r="K194" s="368">
        <v>8.5000000000000006E-2</v>
      </c>
      <c r="L194" s="369">
        <f t="shared" ref="L194" si="121">K194*I194</f>
        <v>138.96225000000001</v>
      </c>
      <c r="M194" s="185">
        <f>IF(VLOOKUP(E194,'HOURLY RATES'!C$6:D$105,2,0)=0,$E$3,VLOOKUP(E194,'HOURLY RATES'!C$6:D$105,2,0))</f>
        <v>21.16197</v>
      </c>
      <c r="N194" s="197">
        <f t="shared" ref="N194" si="122">M194*L194</f>
        <v>2940.7149656325005</v>
      </c>
      <c r="O194" s="296">
        <f>63.87/24</f>
        <v>2.6612499999999999</v>
      </c>
      <c r="P194" s="188">
        <f t="shared" ref="P194" si="123">O194*I194</f>
        <v>4350.7445625</v>
      </c>
      <c r="Q194" s="189">
        <f t="shared" ref="Q194" si="124">P194+N194</f>
        <v>7291.4595281325001</v>
      </c>
      <c r="R194" s="190"/>
      <c r="S194" s="311"/>
      <c r="X194" s="212"/>
    </row>
    <row r="195" spans="1:24" s="12" customFormat="1" ht="19.5" customHeight="1" x14ac:dyDescent="0.2">
      <c r="A195" s="298">
        <f>IF(J195&lt;&gt;"",1+MAX($A$18:A194),"")</f>
        <v>105</v>
      </c>
      <c r="B195" s="346" t="s">
        <v>757</v>
      </c>
      <c r="C195" s="346" t="s">
        <v>759</v>
      </c>
      <c r="D195" s="347" t="s">
        <v>32</v>
      </c>
      <c r="E195" s="302" t="s">
        <v>37</v>
      </c>
      <c r="F195" s="357" t="s">
        <v>883</v>
      </c>
      <c r="G195" s="373">
        <v>2114</v>
      </c>
      <c r="H195" s="196">
        <f>IF(VLOOKUP(J195,'HOURLY RATES'!B$116:C$124,2,0)=0,$J$3,VLOOKUP(J195,'HOURLY RATES'!B$116:C$124,2,0))</f>
        <v>0.05</v>
      </c>
      <c r="I195" s="251">
        <f t="shared" ref="I195" si="125">(G195*(1+H195))</f>
        <v>2219.7000000000003</v>
      </c>
      <c r="J195" s="183" t="s">
        <v>17</v>
      </c>
      <c r="K195" s="368">
        <v>1.2E-2</v>
      </c>
      <c r="L195" s="369">
        <f t="shared" ref="L195" si="126">K195*I195</f>
        <v>26.636400000000005</v>
      </c>
      <c r="M195" s="185">
        <f>IF(VLOOKUP(E195,'HOURLY RATES'!C$6:D$105,2,0)=0,$E$3,VLOOKUP(E195,'HOURLY RATES'!C$6:D$105,2,0))</f>
        <v>21.16197</v>
      </c>
      <c r="N195" s="197">
        <f t="shared" ref="N195" si="127">M195*L195</f>
        <v>563.67869770800007</v>
      </c>
      <c r="O195" s="296">
        <f>48/32</f>
        <v>1.5</v>
      </c>
      <c r="P195" s="188">
        <f t="shared" ref="P195" si="128">O195*I195</f>
        <v>3329.55</v>
      </c>
      <c r="Q195" s="189">
        <f t="shared" ref="Q195" si="129">P195+N195</f>
        <v>3893.2286977080003</v>
      </c>
      <c r="R195" s="190"/>
      <c r="S195" s="311"/>
      <c r="X195" s="212"/>
    </row>
    <row r="196" spans="1:24" s="12" customFormat="1" ht="19.5" customHeight="1" x14ac:dyDescent="0.2">
      <c r="A196" s="298" t="str">
        <f>IF(J196&lt;&gt;"",1+MAX($A$18:A195),"")</f>
        <v/>
      </c>
      <c r="B196" s="346"/>
      <c r="C196" s="346"/>
      <c r="D196" s="347"/>
      <c r="E196" s="302"/>
      <c r="F196" s="357"/>
      <c r="G196" s="373"/>
      <c r="H196" s="196"/>
      <c r="I196" s="251"/>
      <c r="J196" s="183"/>
      <c r="K196" s="368"/>
      <c r="L196" s="210"/>
      <c r="M196" s="185"/>
      <c r="N196" s="197"/>
      <c r="O196" s="296"/>
      <c r="P196" s="188"/>
      <c r="Q196" s="189"/>
      <c r="R196" s="190"/>
      <c r="S196" s="311"/>
      <c r="X196" s="212"/>
    </row>
    <row r="197" spans="1:24" s="12" customFormat="1" ht="19.5" customHeight="1" x14ac:dyDescent="0.2">
      <c r="A197" s="298">
        <f>IF(J197&lt;&gt;"",1+MAX($A$18:A196),"")</f>
        <v>106</v>
      </c>
      <c r="B197" s="346" t="s">
        <v>721</v>
      </c>
      <c r="C197" s="346" t="s">
        <v>721</v>
      </c>
      <c r="D197" s="347" t="s">
        <v>32</v>
      </c>
      <c r="E197" s="302" t="s">
        <v>63</v>
      </c>
      <c r="F197" s="357" t="s">
        <v>893</v>
      </c>
      <c r="G197" s="373">
        <v>107.2</v>
      </c>
      <c r="H197" s="196">
        <f>IF(VLOOKUP(J197,'HOURLY RATES'!B$116:C$124,2,0)=0,$J$3,VLOOKUP(J197,'HOURLY RATES'!B$116:C$124,2,0))</f>
        <v>0.05</v>
      </c>
      <c r="I197" s="251">
        <f t="shared" ref="I197" si="130">(G197*(1+H197))</f>
        <v>112.56</v>
      </c>
      <c r="J197" s="183" t="s">
        <v>19</v>
      </c>
      <c r="K197" s="368">
        <v>8.5000000000000006E-2</v>
      </c>
      <c r="L197" s="369">
        <f t="shared" ref="L197" si="131">K197*I197</f>
        <v>9.5676000000000005</v>
      </c>
      <c r="M197" s="185">
        <f>IF(VLOOKUP(E197,'HOURLY RATES'!C$6:D$105,2,0)=0,$E$3,VLOOKUP(E197,'HOURLY RATES'!C$6:D$105,2,0))</f>
        <v>21.16197</v>
      </c>
      <c r="N197" s="197">
        <f t="shared" ref="N197" si="132">M197*L197</f>
        <v>202.46926417200001</v>
      </c>
      <c r="O197" s="296">
        <f>63.87/24</f>
        <v>2.6612499999999999</v>
      </c>
      <c r="P197" s="188">
        <f t="shared" ref="P197" si="133">O197*I197</f>
        <v>299.55029999999999</v>
      </c>
      <c r="Q197" s="189">
        <f t="shared" ref="Q197" si="134">P197+N197</f>
        <v>502.019564172</v>
      </c>
      <c r="R197" s="190"/>
      <c r="S197" s="311"/>
      <c r="X197" s="212"/>
    </row>
    <row r="198" spans="1:24" s="12" customFormat="1" ht="19.5" customHeight="1" x14ac:dyDescent="0.2">
      <c r="A198" s="298" t="str">
        <f>IF(J198&lt;&gt;"",1+MAX($A$18:A197),"")</f>
        <v/>
      </c>
      <c r="B198" s="346"/>
      <c r="C198" s="346"/>
      <c r="D198" s="347"/>
      <c r="E198" s="302"/>
      <c r="F198" s="357"/>
      <c r="G198" s="373"/>
      <c r="H198" s="196"/>
      <c r="I198" s="251"/>
      <c r="J198" s="183"/>
      <c r="K198" s="368"/>
      <c r="L198" s="369"/>
      <c r="M198" s="185"/>
      <c r="N198" s="197"/>
      <c r="O198" s="296"/>
      <c r="P198" s="188"/>
      <c r="Q198" s="189"/>
      <c r="R198" s="190"/>
      <c r="S198" s="311"/>
      <c r="X198" s="212"/>
    </row>
    <row r="199" spans="1:24" s="12" customFormat="1" ht="19.5" customHeight="1" x14ac:dyDescent="0.2">
      <c r="A199" s="298">
        <f>IF(J199&lt;&gt;"",1+MAX($A$18:A198),"")</f>
        <v>107</v>
      </c>
      <c r="B199" s="346" t="s">
        <v>721</v>
      </c>
      <c r="C199" s="346" t="s">
        <v>884</v>
      </c>
      <c r="D199" s="347" t="s">
        <v>32</v>
      </c>
      <c r="E199" s="302" t="s">
        <v>124</v>
      </c>
      <c r="F199" s="357" t="s">
        <v>882</v>
      </c>
      <c r="G199" s="373">
        <v>66</v>
      </c>
      <c r="H199" s="196">
        <f>IF(VLOOKUP(J199,'HOURLY RATES'!B$116:C$124,2,0)=0,$J$3,VLOOKUP(J199,'HOURLY RATES'!B$116:C$124,2,0))</f>
        <v>0.05</v>
      </c>
      <c r="I199" s="251">
        <f t="shared" ref="I199:I200" si="135">(G199*(1+H199))</f>
        <v>69.3</v>
      </c>
      <c r="J199" s="183" t="s">
        <v>17</v>
      </c>
      <c r="K199" s="368">
        <f>0.012*2</f>
        <v>2.4E-2</v>
      </c>
      <c r="L199" s="369">
        <f t="shared" ref="L199:L200" si="136">K199*I199</f>
        <v>1.6632</v>
      </c>
      <c r="M199" s="185">
        <f>IF(VLOOKUP(E199,'HOURLY RATES'!C$6:D$105,2,0)=0,$E$3,VLOOKUP(E199,'HOURLY RATES'!C$6:D$105,2,0))</f>
        <v>21.16197</v>
      </c>
      <c r="N199" s="197">
        <f t="shared" ref="N199:N200" si="137">M199*L199</f>
        <v>35.196588503999997</v>
      </c>
      <c r="O199" s="296">
        <v>0.76</v>
      </c>
      <c r="P199" s="188">
        <f t="shared" ref="P199:P200" si="138">O199*I199</f>
        <v>52.667999999999999</v>
      </c>
      <c r="Q199" s="189">
        <f t="shared" ref="Q199:Q200" si="139">P199+N199</f>
        <v>87.864588503999997</v>
      </c>
      <c r="R199" s="190"/>
      <c r="S199" s="311"/>
      <c r="X199" s="212"/>
    </row>
    <row r="200" spans="1:24" s="12" customFormat="1" ht="19.5" customHeight="1" x14ac:dyDescent="0.2">
      <c r="A200" s="298">
        <f>IF(J200&lt;&gt;"",1+MAX($A$18:A199),"")</f>
        <v>108</v>
      </c>
      <c r="B200" s="346" t="s">
        <v>721</v>
      </c>
      <c r="C200" s="346" t="s">
        <v>759</v>
      </c>
      <c r="D200" s="347" t="s">
        <v>32</v>
      </c>
      <c r="E200" s="302" t="s">
        <v>37</v>
      </c>
      <c r="F200" s="357" t="s">
        <v>883</v>
      </c>
      <c r="G200" s="373">
        <v>102</v>
      </c>
      <c r="H200" s="196">
        <f>IF(VLOOKUP(J200,'HOURLY RATES'!B$116:C$124,2,0)=0,$J$3,VLOOKUP(J200,'HOURLY RATES'!B$116:C$124,2,0))</f>
        <v>0.05</v>
      </c>
      <c r="I200" s="251">
        <f t="shared" si="135"/>
        <v>107.10000000000001</v>
      </c>
      <c r="J200" s="183" t="s">
        <v>17</v>
      </c>
      <c r="K200" s="368">
        <v>0.02</v>
      </c>
      <c r="L200" s="369">
        <f t="shared" si="136"/>
        <v>2.1420000000000003</v>
      </c>
      <c r="M200" s="185">
        <f>IF(VLOOKUP(E200,'HOURLY RATES'!C$6:D$105,2,0)=0,$E$3,VLOOKUP(E200,'HOURLY RATES'!C$6:D$105,2,0))</f>
        <v>21.16197</v>
      </c>
      <c r="N200" s="197">
        <f t="shared" si="137"/>
        <v>45.32893974000001</v>
      </c>
      <c r="O200" s="296">
        <v>1.2</v>
      </c>
      <c r="P200" s="188">
        <f t="shared" si="138"/>
        <v>128.52000000000001</v>
      </c>
      <c r="Q200" s="189">
        <f t="shared" si="139"/>
        <v>173.84893974000002</v>
      </c>
      <c r="R200" s="190"/>
      <c r="S200" s="311"/>
      <c r="X200" s="212"/>
    </row>
    <row r="201" spans="1:24" s="12" customFormat="1" ht="19.5" customHeight="1" x14ac:dyDescent="0.25">
      <c r="A201" s="298" t="str">
        <f>IF(J201&lt;&gt;"",1+MAX($A$18:A200),"")</f>
        <v/>
      </c>
      <c r="B201" s="346"/>
      <c r="C201" s="346"/>
      <c r="D201" s="347"/>
      <c r="E201" s="302"/>
      <c r="F201" s="379"/>
      <c r="G201" s="373"/>
      <c r="H201" s="196"/>
      <c r="I201" s="251"/>
      <c r="J201" s="183"/>
      <c r="K201" s="368"/>
      <c r="L201" s="210"/>
      <c r="M201" s="185"/>
      <c r="N201" s="197"/>
      <c r="O201" s="296"/>
      <c r="P201" s="188"/>
      <c r="Q201" s="189"/>
      <c r="R201" s="190"/>
      <c r="S201" s="311"/>
      <c r="X201" s="212"/>
    </row>
    <row r="202" spans="1:24" s="12" customFormat="1" ht="19.5" customHeight="1" x14ac:dyDescent="0.2">
      <c r="A202" s="298" t="str">
        <f>IF(J202&lt;&gt;"",1+MAX($A$18:A201),"")</f>
        <v/>
      </c>
      <c r="B202" s="346"/>
      <c r="C202" s="346"/>
      <c r="D202" s="347"/>
      <c r="E202" s="302"/>
      <c r="F202" s="313" t="s">
        <v>744</v>
      </c>
      <c r="G202" s="373"/>
      <c r="H202" s="196"/>
      <c r="I202" s="251"/>
      <c r="J202" s="183"/>
      <c r="K202" s="368"/>
      <c r="L202" s="210"/>
      <c r="M202" s="185"/>
      <c r="N202" s="197"/>
      <c r="O202" s="296"/>
      <c r="P202" s="188"/>
      <c r="Q202" s="189"/>
      <c r="R202" s="190"/>
      <c r="S202" s="311"/>
      <c r="X202" s="212"/>
    </row>
    <row r="203" spans="1:24" s="12" customFormat="1" ht="19.5" customHeight="1" x14ac:dyDescent="0.2">
      <c r="A203" s="298">
        <f>IF(J203&lt;&gt;"",1+MAX($A$18:A202),"")</f>
        <v>109</v>
      </c>
      <c r="B203" s="346"/>
      <c r="C203" s="346"/>
      <c r="D203" s="347" t="s">
        <v>32</v>
      </c>
      <c r="E203" s="302" t="s">
        <v>63</v>
      </c>
      <c r="F203" s="357" t="s">
        <v>961</v>
      </c>
      <c r="G203" s="373">
        <v>449</v>
      </c>
      <c r="H203" s="196">
        <f>IF(VLOOKUP(J203,'HOURLY RATES'!B$116:C$124,2,0)=0,$J$3,VLOOKUP(J203,'HOURLY RATES'!B$116:C$124,2,0))</f>
        <v>0.05</v>
      </c>
      <c r="I203" s="251">
        <f t="shared" ref="I203" si="140">(G203*(1+H203))</f>
        <v>471.45000000000005</v>
      </c>
      <c r="J203" s="183" t="s">
        <v>19</v>
      </c>
      <c r="K203" s="368">
        <v>7.0000000000000007E-2</v>
      </c>
      <c r="L203" s="369">
        <f t="shared" ref="L203" si="141">K203*I203</f>
        <v>33.001500000000007</v>
      </c>
      <c r="M203" s="185">
        <f>IF(VLOOKUP(E203,'HOURLY RATES'!C$6:D$105,2,0)=0,$E$3,VLOOKUP(E203,'HOURLY RATES'!C$6:D$105,2,0))</f>
        <v>21.16197</v>
      </c>
      <c r="N203" s="197">
        <f t="shared" ref="N203" si="142">M203*L203</f>
        <v>698.37675295500014</v>
      </c>
      <c r="O203" s="296">
        <v>2.2000000000000002</v>
      </c>
      <c r="P203" s="188">
        <f t="shared" ref="P203" si="143">O203*I203</f>
        <v>1037.1900000000003</v>
      </c>
      <c r="Q203" s="189">
        <f t="shared" ref="Q203" si="144">P203+N203</f>
        <v>1735.5667529550005</v>
      </c>
      <c r="R203" s="190"/>
      <c r="S203" s="311"/>
      <c r="X203" s="212"/>
    </row>
    <row r="204" spans="1:24" s="12" customFormat="1" ht="19.5" customHeight="1" x14ac:dyDescent="0.2">
      <c r="A204" s="298" t="str">
        <f>IF(J204&lt;&gt;"",1+MAX($A$18:A203),"")</f>
        <v/>
      </c>
      <c r="B204" s="346"/>
      <c r="C204" s="346"/>
      <c r="D204" s="347"/>
      <c r="E204" s="302"/>
      <c r="F204" s="357"/>
      <c r="G204" s="373"/>
      <c r="H204" s="196"/>
      <c r="I204" s="251"/>
      <c r="J204" s="183"/>
      <c r="K204" s="368"/>
      <c r="L204" s="210"/>
      <c r="M204" s="185"/>
      <c r="N204" s="197"/>
      <c r="O204" s="296"/>
      <c r="P204" s="188"/>
      <c r="Q204" s="189"/>
      <c r="R204" s="190"/>
      <c r="S204" s="311"/>
      <c r="X204" s="212"/>
    </row>
    <row r="205" spans="1:24" s="12" customFormat="1" ht="19.5" customHeight="1" x14ac:dyDescent="0.2">
      <c r="A205" s="298">
        <f>IF(J205&lt;&gt;"",1+MAX($A$18:A204),"")</f>
        <v>110</v>
      </c>
      <c r="B205" s="346" t="s">
        <v>757</v>
      </c>
      <c r="C205" s="346" t="s">
        <v>759</v>
      </c>
      <c r="D205" s="347" t="s">
        <v>32</v>
      </c>
      <c r="E205" s="302" t="s">
        <v>63</v>
      </c>
      <c r="F205" s="357" t="s">
        <v>745</v>
      </c>
      <c r="G205" s="373">
        <v>894.39</v>
      </c>
      <c r="H205" s="196">
        <f>IF(VLOOKUP(J205,'HOURLY RATES'!B$116:C$124,2,0)=0,$J$3,VLOOKUP(J205,'HOURLY RATES'!B$116:C$124,2,0))</f>
        <v>0.05</v>
      </c>
      <c r="I205" s="251">
        <f t="shared" ref="I205:I206" si="145">(G205*(1+H205))</f>
        <v>939.10950000000003</v>
      </c>
      <c r="J205" s="183" t="s">
        <v>17</v>
      </c>
      <c r="K205" s="368">
        <v>1.2E-2</v>
      </c>
      <c r="L205" s="369">
        <f t="shared" ref="L205:L206" si="146">K205*I205</f>
        <v>11.269314000000001</v>
      </c>
      <c r="M205" s="185">
        <f>IF(VLOOKUP(E205,'HOURLY RATES'!C$6:D$105,2,0)=0,$E$3,VLOOKUP(E205,'HOURLY RATES'!C$6:D$105,2,0))</f>
        <v>21.16197</v>
      </c>
      <c r="N205" s="197">
        <f t="shared" ref="N205:N206" si="147">M205*L205</f>
        <v>238.48088478858003</v>
      </c>
      <c r="O205" s="296">
        <f>58.4/32</f>
        <v>1.825</v>
      </c>
      <c r="P205" s="188">
        <f t="shared" ref="P205:P206" si="148">O205*I205</f>
        <v>1713.8748375</v>
      </c>
      <c r="Q205" s="189">
        <f t="shared" ref="Q205:Q206" si="149">P205+N205</f>
        <v>1952.35572228858</v>
      </c>
      <c r="R205" s="190"/>
      <c r="S205" s="311"/>
      <c r="X205" s="212"/>
    </row>
    <row r="206" spans="1:24" s="12" customFormat="1" ht="19.5" customHeight="1" x14ac:dyDescent="0.2">
      <c r="A206" s="298">
        <f>IF(J206&lt;&gt;"",1+MAX($A$18:A205),"")</f>
        <v>111</v>
      </c>
      <c r="B206" s="346" t="s">
        <v>757</v>
      </c>
      <c r="C206" s="346" t="s">
        <v>759</v>
      </c>
      <c r="D206" s="347" t="s">
        <v>32</v>
      </c>
      <c r="E206" s="302" t="s">
        <v>63</v>
      </c>
      <c r="F206" s="357" t="s">
        <v>746</v>
      </c>
      <c r="G206" s="373">
        <v>894.39</v>
      </c>
      <c r="H206" s="196">
        <f>IF(VLOOKUP(J206,'HOURLY RATES'!B$116:C$124,2,0)=0,$J$3,VLOOKUP(J206,'HOURLY RATES'!B$116:C$124,2,0))</f>
        <v>0.05</v>
      </c>
      <c r="I206" s="251">
        <f t="shared" si="145"/>
        <v>939.10950000000003</v>
      </c>
      <c r="J206" s="183" t="s">
        <v>17</v>
      </c>
      <c r="K206" s="368">
        <v>1.2E-2</v>
      </c>
      <c r="L206" s="369">
        <f t="shared" si="146"/>
        <v>11.269314000000001</v>
      </c>
      <c r="M206" s="185">
        <f>IF(VLOOKUP(E206,'HOURLY RATES'!C$6:D$105,2,0)=0,$E$3,VLOOKUP(E206,'HOURLY RATES'!C$6:D$105,2,0))</f>
        <v>21.16197</v>
      </c>
      <c r="N206" s="197">
        <f t="shared" si="147"/>
        <v>238.48088478858003</v>
      </c>
      <c r="O206" s="296">
        <v>1.24</v>
      </c>
      <c r="P206" s="188">
        <f t="shared" si="148"/>
        <v>1164.49578</v>
      </c>
      <c r="Q206" s="189">
        <f t="shared" si="149"/>
        <v>1402.9766647885799</v>
      </c>
      <c r="R206" s="190"/>
      <c r="S206" s="311"/>
      <c r="X206" s="212"/>
    </row>
    <row r="207" spans="1:24" s="12" customFormat="1" ht="19.5" customHeight="1" x14ac:dyDescent="0.25">
      <c r="A207" s="298" t="str">
        <f>IF(J207&lt;&gt;"",1+MAX($A$18:A206),"")</f>
        <v/>
      </c>
      <c r="B207" s="346"/>
      <c r="C207" s="346"/>
      <c r="D207" s="347"/>
      <c r="E207" s="302"/>
      <c r="F207" s="379"/>
      <c r="G207" s="379"/>
      <c r="H207" s="196"/>
      <c r="I207" s="251"/>
      <c r="J207" s="183"/>
      <c r="K207" s="368"/>
      <c r="L207" s="210"/>
      <c r="M207" s="185"/>
      <c r="N207" s="197"/>
      <c r="O207" s="296"/>
      <c r="P207" s="188"/>
      <c r="Q207" s="189"/>
      <c r="R207" s="190"/>
      <c r="S207" s="311"/>
      <c r="X207" s="212"/>
    </row>
    <row r="208" spans="1:24" s="12" customFormat="1" ht="19.5" customHeight="1" x14ac:dyDescent="0.25">
      <c r="A208" s="298" t="str">
        <f>IF(J208&lt;&gt;"",1+MAX($A$18:A207),"")</f>
        <v/>
      </c>
      <c r="B208" s="346"/>
      <c r="C208" s="346"/>
      <c r="D208" s="347"/>
      <c r="E208" s="302"/>
      <c r="F208" s="313" t="s">
        <v>747</v>
      </c>
      <c r="G208" s="379"/>
      <c r="H208" s="196"/>
      <c r="I208" s="251"/>
      <c r="J208" s="183"/>
      <c r="K208" s="368"/>
      <c r="L208" s="210"/>
      <c r="M208" s="185"/>
      <c r="N208" s="197"/>
      <c r="O208" s="296"/>
      <c r="P208" s="188"/>
      <c r="Q208" s="189"/>
      <c r="R208" s="190"/>
      <c r="S208" s="311"/>
      <c r="X208" s="212"/>
    </row>
    <row r="209" spans="1:24" s="12" customFormat="1" ht="19.5" customHeight="1" x14ac:dyDescent="0.2">
      <c r="A209" s="298">
        <f>IF(J209&lt;&gt;"",1+MAX($A$18:A208),"")</f>
        <v>112</v>
      </c>
      <c r="B209" s="346" t="s">
        <v>721</v>
      </c>
      <c r="C209" s="346" t="s">
        <v>721</v>
      </c>
      <c r="D209" s="347" t="s">
        <v>32</v>
      </c>
      <c r="E209" s="302" t="s">
        <v>63</v>
      </c>
      <c r="F209" s="357" t="s">
        <v>748</v>
      </c>
      <c r="G209" s="373">
        <v>6</v>
      </c>
      <c r="H209" s="196">
        <f>IF(VLOOKUP(J209,'HOURLY RATES'!B$116:C$124,2,0)=0,$J$3,VLOOKUP(J209,'HOURLY RATES'!B$116:C$124,2,0))</f>
        <v>0</v>
      </c>
      <c r="I209" s="251">
        <f t="shared" ref="I209:I210" si="150">(G209*(1+H209))</f>
        <v>6</v>
      </c>
      <c r="J209" s="183" t="s">
        <v>16</v>
      </c>
      <c r="K209" s="368">
        <f>0.095*10</f>
        <v>0.95</v>
      </c>
      <c r="L209" s="369">
        <f t="shared" ref="L209:L211" si="151">K209*I209</f>
        <v>5.6999999999999993</v>
      </c>
      <c r="M209" s="185">
        <f>IF(VLOOKUP(E209,'HOURLY RATES'!C$6:D$105,2,0)=0,$E$3,VLOOKUP(E209,'HOURLY RATES'!C$6:D$105,2,0))</f>
        <v>21.16197</v>
      </c>
      <c r="N209" s="197">
        <f t="shared" ref="N209:N210" si="152">M209*L209</f>
        <v>120.62322899999998</v>
      </c>
      <c r="O209" s="296">
        <f>63.35/16*10</f>
        <v>39.59375</v>
      </c>
      <c r="P209" s="188">
        <f t="shared" ref="P209:P210" si="153">O209*I209</f>
        <v>237.5625</v>
      </c>
      <c r="Q209" s="189">
        <f t="shared" ref="Q209:Q210" si="154">P209+N209</f>
        <v>358.18572899999998</v>
      </c>
      <c r="R209" s="190"/>
      <c r="S209" s="311"/>
      <c r="X209" s="212"/>
    </row>
    <row r="210" spans="1:24" s="12" customFormat="1" ht="19.5" customHeight="1" x14ac:dyDescent="0.2">
      <c r="A210" s="298">
        <f>IF(J210&lt;&gt;"",1+MAX($A$18:A209),"")</f>
        <v>113</v>
      </c>
      <c r="B210" s="346" t="s">
        <v>721</v>
      </c>
      <c r="C210" s="346" t="s">
        <v>717</v>
      </c>
      <c r="D210" s="347" t="s">
        <v>32</v>
      </c>
      <c r="E210" s="302" t="s">
        <v>63</v>
      </c>
      <c r="F210" s="357" t="s">
        <v>962</v>
      </c>
      <c r="G210" s="373">
        <v>6</v>
      </c>
      <c r="H210" s="196">
        <f>IF(VLOOKUP(J210,'HOURLY RATES'!B$116:C$124,2,0)=0,$J$3,VLOOKUP(J210,'HOURLY RATES'!B$116:C$124,2,0))</f>
        <v>0</v>
      </c>
      <c r="I210" s="251">
        <f t="shared" si="150"/>
        <v>6</v>
      </c>
      <c r="J210" s="183" t="s">
        <v>16</v>
      </c>
      <c r="K210" s="368">
        <v>0.35799999999999998</v>
      </c>
      <c r="L210" s="369">
        <f t="shared" si="151"/>
        <v>2.1479999999999997</v>
      </c>
      <c r="M210" s="185">
        <f>IF(VLOOKUP(E210,'HOURLY RATES'!C$6:D$105,2,0)=0,$E$3,VLOOKUP(E210,'HOURLY RATES'!C$6:D$105,2,0))</f>
        <v>21.16197</v>
      </c>
      <c r="N210" s="197">
        <f t="shared" si="152"/>
        <v>45.455911559999997</v>
      </c>
      <c r="O210" s="296">
        <f>164/20</f>
        <v>8.1999999999999993</v>
      </c>
      <c r="P210" s="188">
        <f t="shared" si="153"/>
        <v>49.199999999999996</v>
      </c>
      <c r="Q210" s="189">
        <f t="shared" si="154"/>
        <v>94.655911559999993</v>
      </c>
      <c r="R210" s="190"/>
      <c r="S210" s="311"/>
      <c r="X210" s="212"/>
    </row>
    <row r="211" spans="1:24" s="12" customFormat="1" ht="19.5" customHeight="1" x14ac:dyDescent="0.2">
      <c r="A211" s="298">
        <f>IF(J211&lt;&gt;"",1+MAX($A$18:A210),"")</f>
        <v>114</v>
      </c>
      <c r="B211" s="346" t="s">
        <v>721</v>
      </c>
      <c r="C211" s="346" t="s">
        <v>717</v>
      </c>
      <c r="D211" s="347" t="s">
        <v>32</v>
      </c>
      <c r="E211" s="302" t="s">
        <v>63</v>
      </c>
      <c r="F211" s="357" t="s">
        <v>963</v>
      </c>
      <c r="G211" s="373">
        <v>6</v>
      </c>
      <c r="H211" s="196">
        <f>IF(VLOOKUP(J211,'HOURLY RATES'!B$116:C$124,2,0)=0,$J$3,VLOOKUP(J211,'HOURLY RATES'!B$116:C$124,2,0))</f>
        <v>0</v>
      </c>
      <c r="I211" s="251">
        <f t="shared" ref="I211:I213" si="155">(G211*(1+H211))</f>
        <v>6</v>
      </c>
      <c r="J211" s="183" t="s">
        <v>16</v>
      </c>
      <c r="K211" s="368">
        <v>0.29499999999999998</v>
      </c>
      <c r="L211" s="369">
        <f t="shared" si="151"/>
        <v>1.77</v>
      </c>
      <c r="M211" s="185">
        <f>IF(VLOOKUP(E211,'HOURLY RATES'!C$6:D$105,2,0)=0,$E$3,VLOOKUP(E211,'HOURLY RATES'!C$6:D$105,2,0))</f>
        <v>21.16197</v>
      </c>
      <c r="N211" s="197">
        <f t="shared" ref="N211:N213" si="156">M211*L211</f>
        <v>37.456686900000001</v>
      </c>
      <c r="O211" s="296">
        <v>6</v>
      </c>
      <c r="P211" s="188">
        <f t="shared" ref="P211:P213" si="157">O211*I211</f>
        <v>36</v>
      </c>
      <c r="Q211" s="189">
        <f t="shared" ref="Q211:Q213" si="158">P211+N211</f>
        <v>73.456686899999994</v>
      </c>
      <c r="R211" s="190"/>
      <c r="S211" s="311"/>
      <c r="X211" s="212"/>
    </row>
    <row r="212" spans="1:24" s="12" customFormat="1" ht="19.5" customHeight="1" x14ac:dyDescent="0.2">
      <c r="A212" s="298" t="str">
        <f>IF(J212&lt;&gt;"",1+MAX($A$18:A211),"")</f>
        <v/>
      </c>
      <c r="B212" s="346"/>
      <c r="C212" s="346"/>
      <c r="D212" s="347"/>
      <c r="E212" s="302"/>
      <c r="F212" s="357"/>
      <c r="G212" s="373"/>
      <c r="H212" s="196"/>
      <c r="I212" s="251"/>
      <c r="J212" s="183"/>
      <c r="K212" s="368"/>
      <c r="L212" s="210"/>
      <c r="M212" s="185"/>
      <c r="N212" s="197"/>
      <c r="O212" s="296"/>
      <c r="P212" s="188"/>
      <c r="Q212" s="189"/>
      <c r="R212" s="190"/>
      <c r="S212" s="311"/>
      <c r="X212" s="212"/>
    </row>
    <row r="213" spans="1:24" s="12" customFormat="1" ht="19.5" customHeight="1" x14ac:dyDescent="0.2">
      <c r="A213" s="298">
        <f>IF(J213&lt;&gt;"",1+MAX($A$18:A212),"")</f>
        <v>115</v>
      </c>
      <c r="B213" s="346" t="s">
        <v>721</v>
      </c>
      <c r="C213" s="346" t="s">
        <v>721</v>
      </c>
      <c r="D213" s="347" t="s">
        <v>32</v>
      </c>
      <c r="E213" s="302" t="s">
        <v>63</v>
      </c>
      <c r="F213" s="357" t="s">
        <v>749</v>
      </c>
      <c r="G213" s="373">
        <v>40</v>
      </c>
      <c r="H213" s="196">
        <f>IF(VLOOKUP(J213,'HOURLY RATES'!B$116:C$124,2,0)=0,$J$3,VLOOKUP(J213,'HOURLY RATES'!B$116:C$124,2,0))</f>
        <v>0.05</v>
      </c>
      <c r="I213" s="251">
        <f t="shared" si="155"/>
        <v>42</v>
      </c>
      <c r="J213" s="183" t="s">
        <v>19</v>
      </c>
      <c r="K213" s="368">
        <v>6.2E-2</v>
      </c>
      <c r="L213" s="369">
        <f t="shared" ref="L213" si="159">K213*I213</f>
        <v>2.6040000000000001</v>
      </c>
      <c r="M213" s="185">
        <f>IF(VLOOKUP(E213,'HOURLY RATES'!C$6:D$105,2,0)=0,$E$3,VLOOKUP(E213,'HOURLY RATES'!C$6:D$105,2,0))</f>
        <v>21.16197</v>
      </c>
      <c r="N213" s="197">
        <f t="shared" si="156"/>
        <v>55.105769880000004</v>
      </c>
      <c r="O213" s="296">
        <v>2.15</v>
      </c>
      <c r="P213" s="188">
        <f t="shared" si="157"/>
        <v>90.3</v>
      </c>
      <c r="Q213" s="189">
        <f t="shared" si="158"/>
        <v>145.40576988000001</v>
      </c>
      <c r="R213" s="190"/>
      <c r="S213" s="311"/>
      <c r="X213" s="212"/>
    </row>
    <row r="214" spans="1:24" s="12" customFormat="1" ht="19.5" customHeight="1" x14ac:dyDescent="0.2">
      <c r="A214" s="298" t="str">
        <f>IF(J214&lt;&gt;"",1+MAX($A$18:A213),"")</f>
        <v/>
      </c>
      <c r="B214" s="346"/>
      <c r="C214" s="346"/>
      <c r="D214" s="347"/>
      <c r="E214" s="302"/>
      <c r="F214" s="357"/>
      <c r="G214" s="373"/>
      <c r="H214" s="196"/>
      <c r="I214" s="251"/>
      <c r="J214" s="183"/>
      <c r="K214" s="368"/>
      <c r="L214" s="210"/>
      <c r="M214" s="185"/>
      <c r="N214" s="197"/>
      <c r="O214" s="296"/>
      <c r="P214" s="188"/>
      <c r="Q214" s="189"/>
      <c r="R214" s="190"/>
      <c r="S214" s="311"/>
      <c r="X214" s="212"/>
    </row>
    <row r="215" spans="1:24" s="12" customFormat="1" ht="19.5" customHeight="1" x14ac:dyDescent="0.25">
      <c r="A215" s="298" t="str">
        <f>IF(J215&lt;&gt;"",1+MAX($A$18:A214),"")</f>
        <v/>
      </c>
      <c r="B215" s="346"/>
      <c r="C215" s="346"/>
      <c r="D215" s="347"/>
      <c r="E215" s="302"/>
      <c r="F215" s="313" t="s">
        <v>750</v>
      </c>
      <c r="G215" s="379"/>
      <c r="H215" s="196"/>
      <c r="I215" s="251"/>
      <c r="J215" s="183"/>
      <c r="K215" s="368"/>
      <c r="L215" s="210"/>
      <c r="M215" s="185"/>
      <c r="N215" s="197"/>
      <c r="O215" s="296"/>
      <c r="P215" s="188"/>
      <c r="Q215" s="189"/>
      <c r="R215" s="190"/>
      <c r="S215" s="311"/>
      <c r="X215" s="212"/>
    </row>
    <row r="216" spans="1:24" s="12" customFormat="1" ht="49.5" customHeight="1" x14ac:dyDescent="0.2">
      <c r="A216" s="298">
        <f>IF(J216&lt;&gt;"",1+MAX($A$18:A215),"")</f>
        <v>116</v>
      </c>
      <c r="B216" s="346" t="s">
        <v>757</v>
      </c>
      <c r="C216" s="346" t="s">
        <v>757</v>
      </c>
      <c r="D216" s="347" t="s">
        <v>32</v>
      </c>
      <c r="E216" s="302" t="s">
        <v>63</v>
      </c>
      <c r="F216" s="357" t="s">
        <v>751</v>
      </c>
      <c r="G216" s="373">
        <v>94</v>
      </c>
      <c r="H216" s="196">
        <f>IF(VLOOKUP(J216,'HOURLY RATES'!B$116:C$124,2,0)=0,$J$3,VLOOKUP(J216,'HOURLY RATES'!B$116:C$124,2,0))</f>
        <v>0</v>
      </c>
      <c r="I216" s="251">
        <f t="shared" ref="I216" si="160">(G216*(1+H216))</f>
        <v>94</v>
      </c>
      <c r="J216" s="183" t="s">
        <v>16</v>
      </c>
      <c r="K216" s="368">
        <f>0.058*10</f>
        <v>0.58000000000000007</v>
      </c>
      <c r="L216" s="369">
        <f t="shared" ref="L216" si="161">K216*I216</f>
        <v>54.52000000000001</v>
      </c>
      <c r="M216" s="185">
        <f>IF(VLOOKUP(E216,'HOURLY RATES'!C$6:D$105,2,0)=0,$E$3,VLOOKUP(E216,'HOURLY RATES'!C$6:D$105,2,0))</f>
        <v>21.16197</v>
      </c>
      <c r="N216" s="197">
        <f t="shared" ref="N216" si="162">M216*L216</f>
        <v>1153.7506044000002</v>
      </c>
      <c r="O216" s="296">
        <f>1.67*10</f>
        <v>16.7</v>
      </c>
      <c r="P216" s="188">
        <f t="shared" ref="P216" si="163">O216*I216</f>
        <v>1569.8</v>
      </c>
      <c r="Q216" s="189">
        <f t="shared" ref="Q216" si="164">P216+N216</f>
        <v>2723.5506044000003</v>
      </c>
      <c r="R216" s="190"/>
      <c r="S216" s="311"/>
      <c r="X216" s="212"/>
    </row>
    <row r="217" spans="1:24" s="12" customFormat="1" ht="19.5" customHeight="1" x14ac:dyDescent="0.2">
      <c r="A217" s="298" t="str">
        <f>IF(J217&lt;&gt;"",1+MAX($A$18:A216),"")</f>
        <v/>
      </c>
      <c r="B217" s="346"/>
      <c r="C217" s="346"/>
      <c r="D217" s="347"/>
      <c r="E217" s="302"/>
      <c r="F217" s="357"/>
      <c r="G217" s="373"/>
      <c r="H217" s="196"/>
      <c r="I217" s="251"/>
      <c r="J217" s="183"/>
      <c r="K217" s="368"/>
      <c r="L217" s="210"/>
      <c r="M217" s="185"/>
      <c r="N217" s="197"/>
      <c r="O217" s="296"/>
      <c r="P217" s="188"/>
      <c r="Q217" s="189"/>
      <c r="R217" s="190"/>
      <c r="S217" s="311"/>
      <c r="X217" s="212"/>
    </row>
    <row r="218" spans="1:24" s="12" customFormat="1" ht="19.5" customHeight="1" x14ac:dyDescent="0.25">
      <c r="A218" s="298" t="str">
        <f>IF(J218&lt;&gt;"",1+MAX($A$18:A217),"")</f>
        <v/>
      </c>
      <c r="B218" s="346"/>
      <c r="C218" s="346"/>
      <c r="D218" s="347"/>
      <c r="E218" s="302"/>
      <c r="F218" s="313" t="s">
        <v>752</v>
      </c>
      <c r="G218" s="379"/>
      <c r="H218" s="196"/>
      <c r="I218" s="251"/>
      <c r="J218" s="183"/>
      <c r="K218" s="368"/>
      <c r="L218" s="210"/>
      <c r="M218" s="185"/>
      <c r="N218" s="197"/>
      <c r="O218" s="296"/>
      <c r="P218" s="188"/>
      <c r="Q218" s="189"/>
      <c r="R218" s="190"/>
      <c r="S218" s="311"/>
      <c r="X218" s="212"/>
    </row>
    <row r="219" spans="1:24" s="12" customFormat="1" ht="19.5" customHeight="1" x14ac:dyDescent="0.2">
      <c r="A219" s="298">
        <f>IF(J219&lt;&gt;"",1+MAX($A$18:A218),"")</f>
        <v>117</v>
      </c>
      <c r="B219" s="346" t="s">
        <v>721</v>
      </c>
      <c r="C219" s="346" t="s">
        <v>721</v>
      </c>
      <c r="D219" s="347" t="s">
        <v>32</v>
      </c>
      <c r="E219" s="302" t="s">
        <v>63</v>
      </c>
      <c r="F219" s="357" t="s">
        <v>753</v>
      </c>
      <c r="G219" s="373">
        <v>65</v>
      </c>
      <c r="H219" s="196">
        <f>IF(VLOOKUP(J219,'HOURLY RATES'!B$116:C$124,2,0)=0,$J$3,VLOOKUP(J219,'HOURLY RATES'!B$116:C$124,2,0))</f>
        <v>0</v>
      </c>
      <c r="I219" s="251">
        <f t="shared" ref="I219" si="165">(G219*(1+H219))</f>
        <v>65</v>
      </c>
      <c r="J219" s="183" t="s">
        <v>16</v>
      </c>
      <c r="K219" s="368">
        <v>0.05</v>
      </c>
      <c r="L219" s="369">
        <f t="shared" ref="L219:L220" si="166">K219*I219</f>
        <v>3.25</v>
      </c>
      <c r="M219" s="185">
        <f>IF(VLOOKUP(E219,'HOURLY RATES'!C$6:D$105,2,0)=0,$E$3,VLOOKUP(E219,'HOURLY RATES'!C$6:D$105,2,0))</f>
        <v>21.16197</v>
      </c>
      <c r="N219" s="197">
        <f t="shared" ref="N219" si="167">M219*L219</f>
        <v>68.776402500000003</v>
      </c>
      <c r="O219" s="296">
        <v>0.78</v>
      </c>
      <c r="P219" s="188">
        <f t="shared" ref="P219" si="168">O219*I219</f>
        <v>50.7</v>
      </c>
      <c r="Q219" s="189">
        <f t="shared" ref="Q219" si="169">P219+N219</f>
        <v>119.47640250000001</v>
      </c>
      <c r="R219" s="190"/>
      <c r="S219" s="311"/>
      <c r="X219" s="212"/>
    </row>
    <row r="220" spans="1:24" s="12" customFormat="1" ht="19.5" customHeight="1" x14ac:dyDescent="0.2">
      <c r="A220" s="298">
        <f>IF(J220&lt;&gt;"",1+MAX($A$18:A219),"")</f>
        <v>118</v>
      </c>
      <c r="B220" s="346" t="s">
        <v>721</v>
      </c>
      <c r="C220" s="346" t="s">
        <v>717</v>
      </c>
      <c r="D220" s="347" t="s">
        <v>32</v>
      </c>
      <c r="E220" s="302" t="s">
        <v>63</v>
      </c>
      <c r="F220" s="357" t="s">
        <v>754</v>
      </c>
      <c r="G220" s="373">
        <v>6</v>
      </c>
      <c r="H220" s="196">
        <f>IF(VLOOKUP(J220,'HOURLY RATES'!B$116:C$124,2,0)=0,$J$3,VLOOKUP(J220,'HOURLY RATES'!B$116:C$124,2,0))</f>
        <v>0</v>
      </c>
      <c r="I220" s="251">
        <f t="shared" ref="I220" si="170">(G220*(1+H220))</f>
        <v>6</v>
      </c>
      <c r="J220" s="183" t="s">
        <v>16</v>
      </c>
      <c r="K220" s="368">
        <v>0.105</v>
      </c>
      <c r="L220" s="369">
        <f t="shared" si="166"/>
        <v>0.63</v>
      </c>
      <c r="M220" s="185">
        <f>IF(VLOOKUP(E220,'HOURLY RATES'!C$6:D$105,2,0)=0,$E$3,VLOOKUP(E220,'HOURLY RATES'!C$6:D$105,2,0))</f>
        <v>21.16197</v>
      </c>
      <c r="N220" s="197">
        <f t="shared" ref="N220" si="171">M220*L220</f>
        <v>13.3320411</v>
      </c>
      <c r="O220" s="296">
        <v>3.58</v>
      </c>
      <c r="P220" s="188">
        <f t="shared" ref="P220" si="172">O220*I220</f>
        <v>21.48</v>
      </c>
      <c r="Q220" s="189">
        <f t="shared" ref="Q220" si="173">P220+N220</f>
        <v>34.812041100000002</v>
      </c>
      <c r="R220" s="190"/>
      <c r="S220" s="311"/>
      <c r="X220" s="212"/>
    </row>
    <row r="221" spans="1:24" s="12" customFormat="1" ht="19.5" customHeight="1" x14ac:dyDescent="0.2">
      <c r="A221" s="298" t="str">
        <f>IF(J221&lt;&gt;"",1+MAX($A$18:A220),"")</f>
        <v/>
      </c>
      <c r="B221" s="346"/>
      <c r="C221" s="346"/>
      <c r="D221" s="347"/>
      <c r="E221" s="302"/>
      <c r="F221" s="357"/>
      <c r="G221" s="373"/>
      <c r="H221" s="196"/>
      <c r="I221" s="251"/>
      <c r="J221" s="183"/>
      <c r="K221" s="368"/>
      <c r="L221" s="210"/>
      <c r="M221" s="185"/>
      <c r="N221" s="197"/>
      <c r="O221" s="296"/>
      <c r="P221" s="188"/>
      <c r="Q221" s="189"/>
      <c r="R221" s="190"/>
      <c r="S221" s="311"/>
      <c r="X221" s="212"/>
    </row>
    <row r="222" spans="1:24" s="12" customFormat="1" ht="19.5" customHeight="1" x14ac:dyDescent="0.25">
      <c r="A222" s="298" t="str">
        <f>IF(J222&lt;&gt;"",1+MAX($A$18:A221),"")</f>
        <v/>
      </c>
      <c r="B222" s="346"/>
      <c r="C222" s="346"/>
      <c r="D222" s="347"/>
      <c r="E222" s="302"/>
      <c r="F222" s="313" t="s">
        <v>755</v>
      </c>
      <c r="G222" s="379"/>
      <c r="H222" s="196"/>
      <c r="I222" s="251"/>
      <c r="J222" s="183"/>
      <c r="K222" s="397"/>
      <c r="L222" s="210"/>
      <c r="M222" s="185"/>
      <c r="N222" s="197"/>
      <c r="O222" s="296"/>
      <c r="P222" s="188"/>
      <c r="Q222" s="189"/>
      <c r="R222" s="190"/>
      <c r="S222" s="311"/>
      <c r="X222" s="212"/>
    </row>
    <row r="223" spans="1:24" s="12" customFormat="1" ht="49.5" customHeight="1" x14ac:dyDescent="0.2">
      <c r="A223" s="298">
        <f>IF(J223&lt;&gt;"",1+MAX($A$18:A222),"")</f>
        <v>119</v>
      </c>
      <c r="B223" s="346" t="s">
        <v>760</v>
      </c>
      <c r="C223" s="346"/>
      <c r="D223" s="347" t="s">
        <v>32</v>
      </c>
      <c r="E223" s="302" t="s">
        <v>37</v>
      </c>
      <c r="F223" s="357" t="s">
        <v>923</v>
      </c>
      <c r="G223" s="373">
        <f>(416+63)*10/32</f>
        <v>149.6875</v>
      </c>
      <c r="H223" s="196">
        <f>IF(VLOOKUP(J223,'HOURLY RATES'!B$116:C$124,2,0)=0,$J$3,VLOOKUP(J223,'HOURLY RATES'!B$116:C$124,2,0))</f>
        <v>0</v>
      </c>
      <c r="I223" s="251">
        <f t="shared" ref="I223:I224" si="174">(G223*(1+H223))</f>
        <v>149.6875</v>
      </c>
      <c r="J223" s="183" t="s">
        <v>16</v>
      </c>
      <c r="K223" s="368">
        <f>0.02*32</f>
        <v>0.64</v>
      </c>
      <c r="L223" s="369">
        <f t="shared" ref="L223:L224" si="175">K223*I223</f>
        <v>95.8</v>
      </c>
      <c r="M223" s="185">
        <f>IF(VLOOKUP(E223,'HOURLY RATES'!C$6:D$105,2,0)=0,$E$3,VLOOKUP(E223,'HOURLY RATES'!C$6:D$105,2,0))</f>
        <v>21.16197</v>
      </c>
      <c r="N223" s="197">
        <f t="shared" ref="N223:N224" si="176">M223*L223</f>
        <v>2027.316726</v>
      </c>
      <c r="O223" s="296">
        <v>22</v>
      </c>
      <c r="P223" s="188">
        <f t="shared" ref="P223:P224" si="177">O223*I223</f>
        <v>3293.125</v>
      </c>
      <c r="Q223" s="189">
        <f t="shared" ref="Q223:Q224" si="178">P223+N223</f>
        <v>5320.441726</v>
      </c>
      <c r="R223" s="190"/>
      <c r="S223" s="311"/>
      <c r="X223" s="212"/>
    </row>
    <row r="224" spans="1:24" s="12" customFormat="1" ht="19.5" customHeight="1" x14ac:dyDescent="0.2">
      <c r="A224" s="298">
        <f>IF(J224&lt;&gt;"",1+MAX($A$18:A223),"")</f>
        <v>120</v>
      </c>
      <c r="B224" s="346" t="s">
        <v>760</v>
      </c>
      <c r="C224" s="346" t="s">
        <v>761</v>
      </c>
      <c r="D224" s="347" t="s">
        <v>32</v>
      </c>
      <c r="E224" s="302" t="s">
        <v>63</v>
      </c>
      <c r="F224" s="357" t="s">
        <v>756</v>
      </c>
      <c r="G224" s="373">
        <f>12+20</f>
        <v>32</v>
      </c>
      <c r="H224" s="196">
        <f>IF(VLOOKUP(J224,'HOURLY RATES'!B$116:C$124,2,0)=0,$J$3,VLOOKUP(J224,'HOURLY RATES'!B$116:C$124,2,0))</f>
        <v>0.05</v>
      </c>
      <c r="I224" s="251">
        <f t="shared" si="174"/>
        <v>33.6</v>
      </c>
      <c r="J224" s="183" t="s">
        <v>19</v>
      </c>
      <c r="K224" s="397">
        <v>5.3999999999999999E-2</v>
      </c>
      <c r="L224" s="369">
        <f t="shared" si="175"/>
        <v>1.8144</v>
      </c>
      <c r="M224" s="185">
        <f>IF(VLOOKUP(E224,'HOURLY RATES'!C$6:D$105,2,0)=0,$E$3,VLOOKUP(E224,'HOURLY RATES'!C$6:D$105,2,0))</f>
        <v>21.16197</v>
      </c>
      <c r="N224" s="197">
        <f t="shared" si="176"/>
        <v>38.396278367999997</v>
      </c>
      <c r="O224" s="296">
        <v>1.21</v>
      </c>
      <c r="P224" s="188">
        <f t="shared" si="177"/>
        <v>40.655999999999999</v>
      </c>
      <c r="Q224" s="189">
        <f t="shared" si="178"/>
        <v>79.052278368000003</v>
      </c>
      <c r="R224" s="190"/>
      <c r="S224" s="311"/>
      <c r="X224" s="212"/>
    </row>
    <row r="225" spans="1:24" s="12" customFormat="1" ht="19.5" customHeight="1" x14ac:dyDescent="0.2">
      <c r="A225" s="298" t="str">
        <f>IF(J225&lt;&gt;"",1+MAX($A$18:A224),"")</f>
        <v/>
      </c>
      <c r="B225" s="346"/>
      <c r="C225" s="346"/>
      <c r="D225" s="347"/>
      <c r="E225" s="302"/>
      <c r="F225" s="357"/>
      <c r="G225" s="373"/>
      <c r="H225" s="336"/>
      <c r="I225" s="348"/>
      <c r="J225" s="349"/>
      <c r="K225" s="397"/>
      <c r="L225" s="340"/>
      <c r="M225" s="341"/>
      <c r="N225" s="342"/>
      <c r="O225" s="398"/>
      <c r="P225" s="344"/>
      <c r="Q225" s="345"/>
      <c r="R225" s="190"/>
      <c r="S225" s="311"/>
      <c r="X225" s="212"/>
    </row>
    <row r="226" spans="1:24" s="12" customFormat="1" ht="19.5" customHeight="1" x14ac:dyDescent="0.2">
      <c r="A226" s="298" t="str">
        <f>IF(J226&lt;&gt;"",1+MAX($A$18:A225),"")</f>
        <v/>
      </c>
      <c r="B226" s="346"/>
      <c r="C226" s="346"/>
      <c r="D226" s="347"/>
      <c r="E226" s="302"/>
      <c r="F226" s="313" t="s">
        <v>497</v>
      </c>
      <c r="G226" s="312"/>
      <c r="H226" s="336"/>
      <c r="I226" s="348"/>
      <c r="J226" s="349"/>
      <c r="K226" s="397"/>
      <c r="L226" s="340"/>
      <c r="M226" s="341"/>
      <c r="N226" s="342"/>
      <c r="O226" s="398"/>
      <c r="P226" s="344"/>
      <c r="Q226" s="345"/>
      <c r="R226" s="190"/>
      <c r="S226" s="311"/>
      <c r="X226" s="212"/>
    </row>
    <row r="227" spans="1:24" s="12" customFormat="1" ht="19.5" customHeight="1" x14ac:dyDescent="0.2">
      <c r="A227" s="298">
        <f>IF(J227&lt;&gt;"",1+MAX($A$18:A226),"")</f>
        <v>121</v>
      </c>
      <c r="B227" s="346" t="s">
        <v>420</v>
      </c>
      <c r="C227" s="346" t="s">
        <v>500</v>
      </c>
      <c r="D227" s="347" t="s">
        <v>32</v>
      </c>
      <c r="E227" s="302" t="s">
        <v>199</v>
      </c>
      <c r="F227" s="357" t="s">
        <v>894</v>
      </c>
      <c r="G227" s="373">
        <v>4</v>
      </c>
      <c r="H227" s="196">
        <f>IF(VLOOKUP(J227,'HOURLY RATES'!B$116:C$124,2,0)=0,$J$3,VLOOKUP(J227,'HOURLY RATES'!B$116:C$124,2,0))</f>
        <v>0</v>
      </c>
      <c r="I227" s="251">
        <f t="shared" ref="I227:I228" si="179">(G227*(1+H227))</f>
        <v>4</v>
      </c>
      <c r="J227" s="183" t="s">
        <v>16</v>
      </c>
      <c r="K227" s="368">
        <f>((0.612*15)*3/3.5+(0.52*16))*(1.5)</f>
        <v>24.282857142857143</v>
      </c>
      <c r="L227" s="369">
        <f t="shared" ref="L227:L228" si="180">K227*I227</f>
        <v>97.131428571428572</v>
      </c>
      <c r="M227" s="185">
        <f>IF(VLOOKUP(E227,'HOURLY RATES'!C$6:D$105,2,0)=0,$E$3,VLOOKUP(E227,'HOURLY RATES'!C$6:D$105,2,0))</f>
        <v>29.5563775</v>
      </c>
      <c r="N227" s="197">
        <f t="shared" ref="N227:N228" si="181">M227*L227</f>
        <v>2870.8531699714285</v>
      </c>
      <c r="O227" s="296">
        <f>((81.1*15)*3/3.5+(59.1*16))*1.5</f>
        <v>2982.4714285714285</v>
      </c>
      <c r="P227" s="188">
        <f t="shared" ref="P227:P228" si="182">O227*I227</f>
        <v>11929.885714285714</v>
      </c>
      <c r="Q227" s="189">
        <f t="shared" ref="Q227:Q228" si="183">P227+N227</f>
        <v>14800.738884257142</v>
      </c>
      <c r="R227" s="190"/>
      <c r="S227" s="311"/>
      <c r="X227" s="212"/>
    </row>
    <row r="228" spans="1:24" s="12" customFormat="1" ht="19.5" customHeight="1" x14ac:dyDescent="0.2">
      <c r="A228" s="298">
        <f>IF(J228&lt;&gt;"",1+MAX($A$18:A227),"")</f>
        <v>122</v>
      </c>
      <c r="B228" s="346" t="s">
        <v>420</v>
      </c>
      <c r="C228" s="346" t="s">
        <v>500</v>
      </c>
      <c r="D228" s="347" t="s">
        <v>32</v>
      </c>
      <c r="E228" s="302" t="s">
        <v>63</v>
      </c>
      <c r="F228" s="357" t="s">
        <v>499</v>
      </c>
      <c r="G228" s="373">
        <f>(15.6*3)*4</f>
        <v>187.2</v>
      </c>
      <c r="H228" s="196">
        <f>IF(VLOOKUP(J228,'HOURLY RATES'!B$116:C$124,2,0)=0,$J$3,VLOOKUP(J228,'HOURLY RATES'!B$116:C$124,2,0))</f>
        <v>0.05</v>
      </c>
      <c r="I228" s="251">
        <f t="shared" si="179"/>
        <v>196.56</v>
      </c>
      <c r="J228" s="183" t="s">
        <v>19</v>
      </c>
      <c r="K228" s="368">
        <v>7.0000000000000007E-2</v>
      </c>
      <c r="L228" s="369">
        <f t="shared" si="180"/>
        <v>13.759200000000002</v>
      </c>
      <c r="M228" s="185">
        <f>IF(VLOOKUP(E228,'HOURLY RATES'!C$6:D$105,2,0)=0,$E$3,VLOOKUP(E228,'HOURLY RATES'!C$6:D$105,2,0))</f>
        <v>21.16197</v>
      </c>
      <c r="N228" s="197">
        <f t="shared" si="181"/>
        <v>291.17177762400001</v>
      </c>
      <c r="O228" s="296">
        <v>2.2000000000000002</v>
      </c>
      <c r="P228" s="188">
        <f t="shared" si="182"/>
        <v>432.43200000000002</v>
      </c>
      <c r="Q228" s="189">
        <f t="shared" si="183"/>
        <v>723.60377762400003</v>
      </c>
      <c r="R228" s="190"/>
      <c r="S228" s="311"/>
      <c r="X228" s="212"/>
    </row>
    <row r="229" spans="1:24" s="12" customFormat="1" ht="16.5" thickBot="1" x14ac:dyDescent="0.25">
      <c r="A229" s="214" t="str">
        <f>IF(J229&lt;&gt;"",1+MAX($A$18:A228),"")</f>
        <v/>
      </c>
      <c r="B229" s="215"/>
      <c r="C229" s="215"/>
      <c r="D229" s="215"/>
      <c r="E229" s="215"/>
      <c r="F229" s="216"/>
      <c r="G229" s="217"/>
      <c r="H229" s="218"/>
      <c r="I229" s="219"/>
      <c r="J229" s="220"/>
      <c r="K229" s="390"/>
      <c r="L229" s="222"/>
      <c r="M229" s="223"/>
      <c r="N229" s="224"/>
      <c r="O229" s="392"/>
      <c r="P229" s="226"/>
      <c r="Q229" s="227"/>
      <c r="R229" s="228"/>
      <c r="X229" s="212"/>
    </row>
    <row r="230" spans="1:24" s="12" customFormat="1" ht="20.100000000000001" customHeight="1" x14ac:dyDescent="0.2">
      <c r="A230" s="479" t="str">
        <f>IF(J230&lt;&gt;"",1+MAX($A$18:A229),"")</f>
        <v/>
      </c>
      <c r="B230" s="480"/>
      <c r="C230" s="480"/>
      <c r="D230" s="485" t="s">
        <v>42</v>
      </c>
      <c r="E230" s="485"/>
      <c r="F230" s="486" t="s">
        <v>649</v>
      </c>
      <c r="G230" s="481"/>
      <c r="H230" s="482"/>
      <c r="I230" s="483"/>
      <c r="J230" s="483"/>
      <c r="K230" s="482"/>
      <c r="L230" s="482"/>
      <c r="M230" s="482"/>
      <c r="N230" s="482"/>
      <c r="O230" s="482"/>
      <c r="P230" s="482"/>
      <c r="Q230" s="482"/>
      <c r="R230" s="484">
        <f>SUM(Q231:Q291)</f>
        <v>61117.365856823417</v>
      </c>
      <c r="X230" s="212"/>
    </row>
    <row r="231" spans="1:24" s="12" customFormat="1" ht="19.5" customHeight="1" x14ac:dyDescent="0.2">
      <c r="A231" s="298" t="str">
        <f>IF(J231&lt;&gt;"",1+MAX($A$18:A230),"")</f>
        <v/>
      </c>
      <c r="B231" s="346"/>
      <c r="C231" s="346"/>
      <c r="D231" s="347"/>
      <c r="E231" s="302"/>
      <c r="F231" s="9" t="s">
        <v>27</v>
      </c>
      <c r="G231" s="312"/>
      <c r="H231" s="336"/>
      <c r="I231" s="348"/>
      <c r="J231" s="349"/>
      <c r="K231" s="397"/>
      <c r="L231" s="340"/>
      <c r="M231" s="341"/>
      <c r="N231" s="342"/>
      <c r="O231" s="398"/>
      <c r="P231" s="344"/>
      <c r="Q231" s="345"/>
      <c r="R231" s="190"/>
      <c r="S231" s="311"/>
      <c r="X231" s="212"/>
    </row>
    <row r="232" spans="1:24" s="12" customFormat="1" ht="19.5" customHeight="1" x14ac:dyDescent="0.2">
      <c r="A232" s="298" t="str">
        <f>IF(J232&lt;&gt;"",1+MAX($A$18:A231),"")</f>
        <v/>
      </c>
      <c r="B232" s="346"/>
      <c r="C232" s="346"/>
      <c r="D232" s="347"/>
      <c r="E232" s="302"/>
      <c r="F232" s="313" t="s">
        <v>762</v>
      </c>
      <c r="G232" s="319"/>
      <c r="H232" s="336"/>
      <c r="I232" s="348"/>
      <c r="J232" s="349"/>
      <c r="K232" s="397"/>
      <c r="L232" s="340"/>
      <c r="M232" s="341"/>
      <c r="N232" s="342"/>
      <c r="O232" s="398"/>
      <c r="P232" s="344"/>
      <c r="Q232" s="345"/>
      <c r="R232" s="190"/>
      <c r="S232" s="311"/>
      <c r="X232" s="212"/>
    </row>
    <row r="233" spans="1:24" s="12" customFormat="1" ht="19.5" customHeight="1" x14ac:dyDescent="0.2">
      <c r="A233" s="298">
        <f>IF(J233&lt;&gt;"",1+MAX($A$18:A232),"")</f>
        <v>123</v>
      </c>
      <c r="B233" s="355" t="s">
        <v>716</v>
      </c>
      <c r="C233" s="355" t="s">
        <v>780</v>
      </c>
      <c r="D233" s="355" t="s">
        <v>42</v>
      </c>
      <c r="E233" s="302" t="s">
        <v>55</v>
      </c>
      <c r="F233" s="357" t="s">
        <v>854</v>
      </c>
      <c r="G233" s="288">
        <v>820</v>
      </c>
      <c r="H233" s="196">
        <f>IF(VLOOKUP(J233,'HOURLY RATES'!B$116:C$124,2,0)=0,$J$3,VLOOKUP(J233,'HOURLY RATES'!B$116:C$124,2,0))</f>
        <v>0.05</v>
      </c>
      <c r="I233" s="251">
        <f t="shared" ref="I233:I244" si="184">(G233*(1+H233))</f>
        <v>861</v>
      </c>
      <c r="J233" s="183" t="s">
        <v>17</v>
      </c>
      <c r="K233" s="368">
        <v>1.4999999999999999E-2</v>
      </c>
      <c r="L233" s="369">
        <f t="shared" ref="L233:L234" si="185">K233*I233</f>
        <v>12.914999999999999</v>
      </c>
      <c r="M233" s="185">
        <f>IF(VLOOKUP(E233,'HOURLY RATES'!C$6:D$105,2,0)=0,$E$3,VLOOKUP(E233,'HOURLY RATES'!C$6:D$105,2,0))</f>
        <v>21.16197</v>
      </c>
      <c r="N233" s="197">
        <f t="shared" ref="N233:N244" si="186">M233*L233</f>
        <v>273.30684255</v>
      </c>
      <c r="O233" s="296">
        <f>1262.92/768</f>
        <v>1.6444270833333334</v>
      </c>
      <c r="P233" s="188">
        <f t="shared" ref="P233:P244" si="187">O233*I233</f>
        <v>1415.8517187500001</v>
      </c>
      <c r="Q233" s="189">
        <f t="shared" ref="Q233:Q244" si="188">P233+N233</f>
        <v>1689.1585613000002</v>
      </c>
      <c r="R233" s="190"/>
      <c r="S233" s="311"/>
      <c r="X233" s="212"/>
    </row>
    <row r="234" spans="1:24" s="12" customFormat="1" ht="19.5" customHeight="1" x14ac:dyDescent="0.2">
      <c r="A234" s="298">
        <f>IF(J234&lt;&gt;"",1+MAX($A$18:A233),"")</f>
        <v>124</v>
      </c>
      <c r="B234" s="355" t="s">
        <v>716</v>
      </c>
      <c r="C234" s="355" t="s">
        <v>780</v>
      </c>
      <c r="D234" s="355" t="s">
        <v>42</v>
      </c>
      <c r="E234" s="302" t="s">
        <v>243</v>
      </c>
      <c r="F234" s="357" t="s">
        <v>704</v>
      </c>
      <c r="G234" s="288">
        <v>820</v>
      </c>
      <c r="H234" s="196">
        <f>IF(VLOOKUP(J234,'HOURLY RATES'!B$116:C$124,2,0)=0,$J$3,VLOOKUP(J234,'HOURLY RATES'!B$116:C$124,2,0))</f>
        <v>0.05</v>
      </c>
      <c r="I234" s="251">
        <f t="shared" si="184"/>
        <v>861</v>
      </c>
      <c r="J234" s="183" t="s">
        <v>17</v>
      </c>
      <c r="K234" s="368">
        <v>4.0000000000000001E-3</v>
      </c>
      <c r="L234" s="369">
        <f t="shared" si="185"/>
        <v>3.444</v>
      </c>
      <c r="M234" s="185">
        <f>IF(VLOOKUP(E234,'HOURLY RATES'!C$6:D$105,2,0)=0,$E$3,VLOOKUP(E234,'HOURLY RATES'!C$6:D$105,2,0))</f>
        <v>36.0703125</v>
      </c>
      <c r="N234" s="197">
        <f t="shared" si="186"/>
        <v>124.22615625</v>
      </c>
      <c r="O234" s="296">
        <v>0.1</v>
      </c>
      <c r="P234" s="188">
        <f t="shared" si="187"/>
        <v>86.100000000000009</v>
      </c>
      <c r="Q234" s="189">
        <f t="shared" si="188"/>
        <v>210.32615625</v>
      </c>
      <c r="R234" s="190"/>
      <c r="S234" s="311"/>
      <c r="X234" s="212"/>
    </row>
    <row r="235" spans="1:24" s="12" customFormat="1" ht="19.5" customHeight="1" x14ac:dyDescent="0.2">
      <c r="A235" s="298" t="str">
        <f>IF(J235&lt;&gt;"",1+MAX($A$18:A234),"")</f>
        <v/>
      </c>
      <c r="B235" s="355"/>
      <c r="C235" s="355"/>
      <c r="D235" s="355"/>
      <c r="E235" s="302"/>
      <c r="F235" s="9"/>
      <c r="G235" s="288"/>
      <c r="H235" s="196"/>
      <c r="I235" s="251"/>
      <c r="J235" s="183"/>
      <c r="K235" s="368"/>
      <c r="L235" s="210"/>
      <c r="M235" s="185"/>
      <c r="N235" s="197"/>
      <c r="O235" s="296"/>
      <c r="P235" s="188"/>
      <c r="Q235" s="189"/>
      <c r="R235" s="190"/>
      <c r="S235" s="311"/>
      <c r="X235" s="212"/>
    </row>
    <row r="236" spans="1:24" s="12" customFormat="1" ht="19.5" customHeight="1" x14ac:dyDescent="0.2">
      <c r="A236" s="298" t="str">
        <f>IF(J236&lt;&gt;"",1+MAX($A$18:A235),"")</f>
        <v/>
      </c>
      <c r="B236" s="355"/>
      <c r="C236" s="355"/>
      <c r="D236" s="355"/>
      <c r="E236" s="302"/>
      <c r="F236" s="313" t="s">
        <v>763</v>
      </c>
      <c r="G236" s="319"/>
      <c r="H236" s="196"/>
      <c r="I236" s="251"/>
      <c r="J236" s="183"/>
      <c r="K236" s="368"/>
      <c r="L236" s="210"/>
      <c r="M236" s="185"/>
      <c r="N236" s="197"/>
      <c r="O236" s="296"/>
      <c r="P236" s="188"/>
      <c r="Q236" s="189"/>
      <c r="R236" s="190"/>
      <c r="S236" s="311"/>
      <c r="X236" s="212"/>
    </row>
    <row r="237" spans="1:24" s="12" customFormat="1" ht="19.5" customHeight="1" x14ac:dyDescent="0.2">
      <c r="A237" s="298" t="str">
        <f>IF(J237&lt;&gt;"",1+MAX($A$18:A236),"")</f>
        <v/>
      </c>
      <c r="B237" s="355"/>
      <c r="C237" s="355"/>
      <c r="D237" s="355"/>
      <c r="E237" s="302"/>
      <c r="F237" s="386" t="s">
        <v>764</v>
      </c>
      <c r="G237" s="319"/>
      <c r="H237" s="196"/>
      <c r="I237" s="251"/>
      <c r="J237" s="183"/>
      <c r="K237" s="368"/>
      <c r="L237" s="210"/>
      <c r="M237" s="185"/>
      <c r="N237" s="197"/>
      <c r="O237" s="296"/>
      <c r="P237" s="188"/>
      <c r="Q237" s="189"/>
      <c r="R237" s="190"/>
      <c r="S237" s="311"/>
      <c r="X237" s="212"/>
    </row>
    <row r="238" spans="1:24" s="12" customFormat="1" ht="19.5" customHeight="1" x14ac:dyDescent="0.2">
      <c r="A238" s="298">
        <f>IF(J238&lt;&gt;"",1+MAX($A$18:A237),"")</f>
        <v>125</v>
      </c>
      <c r="B238" s="355" t="s">
        <v>781</v>
      </c>
      <c r="C238" s="355" t="s">
        <v>759</v>
      </c>
      <c r="D238" s="355" t="s">
        <v>42</v>
      </c>
      <c r="E238" s="302" t="s">
        <v>54</v>
      </c>
      <c r="F238" s="380" t="s">
        <v>765</v>
      </c>
      <c r="G238" s="288">
        <v>614</v>
      </c>
      <c r="H238" s="196">
        <f>IF(VLOOKUP(J238,'HOURLY RATES'!B$116:C$124,2,0)=0,$J$3,VLOOKUP(J238,'HOURLY RATES'!B$116:C$124,2,0))</f>
        <v>0.05</v>
      </c>
      <c r="I238" s="251">
        <f t="shared" si="184"/>
        <v>644.70000000000005</v>
      </c>
      <c r="J238" s="183" t="s">
        <v>17</v>
      </c>
      <c r="K238" s="368">
        <v>0.02</v>
      </c>
      <c r="L238" s="369">
        <f t="shared" ref="L238:L239" si="189">K238*I238</f>
        <v>12.894000000000002</v>
      </c>
      <c r="M238" s="185">
        <f>IF(VLOOKUP(E238,'HOURLY RATES'!C$6:D$105,2,0)=0,$E$3,VLOOKUP(E238,'HOURLY RATES'!C$6:D$105,2,0))</f>
        <v>28.769952499999999</v>
      </c>
      <c r="N238" s="197">
        <f t="shared" si="186"/>
        <v>370.95976753500003</v>
      </c>
      <c r="O238" s="296">
        <f>7554.9/(384*6)</f>
        <v>3.2790364583333331</v>
      </c>
      <c r="P238" s="188">
        <f t="shared" si="187"/>
        <v>2113.9948046875002</v>
      </c>
      <c r="Q238" s="189">
        <f t="shared" si="188"/>
        <v>2484.9545722225002</v>
      </c>
      <c r="R238" s="190"/>
      <c r="S238" s="311"/>
      <c r="X238" s="212"/>
    </row>
    <row r="239" spans="1:24" s="12" customFormat="1" ht="19.5" customHeight="1" x14ac:dyDescent="0.2">
      <c r="A239" s="298">
        <f>IF(J239&lt;&gt;"",1+MAX($A$18:A238),"")</f>
        <v>126</v>
      </c>
      <c r="B239" s="355" t="s">
        <v>781</v>
      </c>
      <c r="C239" s="355" t="s">
        <v>759</v>
      </c>
      <c r="D239" s="355" t="s">
        <v>42</v>
      </c>
      <c r="E239" s="302" t="s">
        <v>54</v>
      </c>
      <c r="F239" s="380" t="s">
        <v>766</v>
      </c>
      <c r="G239" s="288">
        <v>614</v>
      </c>
      <c r="H239" s="196">
        <f>IF(VLOOKUP(J239,'HOURLY RATES'!B$116:C$124,2,0)=0,$J$3,VLOOKUP(J239,'HOURLY RATES'!B$116:C$124,2,0))</f>
        <v>0.05</v>
      </c>
      <c r="I239" s="251">
        <f t="shared" si="184"/>
        <v>644.70000000000005</v>
      </c>
      <c r="J239" s="183" t="s">
        <v>17</v>
      </c>
      <c r="K239" s="368">
        <v>1.6E-2</v>
      </c>
      <c r="L239" s="369">
        <f t="shared" si="189"/>
        <v>10.315200000000001</v>
      </c>
      <c r="M239" s="185">
        <f>IF(VLOOKUP(E239,'HOURLY RATES'!C$6:D$105,2,0)=0,$E$3,VLOOKUP(E239,'HOURLY RATES'!C$6:D$105,2,0))</f>
        <v>28.769952499999999</v>
      </c>
      <c r="N239" s="197">
        <f t="shared" si="186"/>
        <v>296.76781402800003</v>
      </c>
      <c r="O239" s="296">
        <f>576/(5*100)</f>
        <v>1.1519999999999999</v>
      </c>
      <c r="P239" s="188">
        <f t="shared" si="187"/>
        <v>742.69439999999997</v>
      </c>
      <c r="Q239" s="189">
        <f t="shared" si="188"/>
        <v>1039.4622140280001</v>
      </c>
      <c r="R239" s="190"/>
      <c r="S239" s="311"/>
      <c r="X239" s="212"/>
    </row>
    <row r="240" spans="1:24" s="12" customFormat="1" ht="19.5" customHeight="1" x14ac:dyDescent="0.2">
      <c r="A240" s="298" t="str">
        <f>IF(J240&lt;&gt;"",1+MAX($A$18:A239),"")</f>
        <v/>
      </c>
      <c r="B240" s="355"/>
      <c r="C240" s="355"/>
      <c r="D240" s="355"/>
      <c r="E240" s="302"/>
      <c r="F240" s="380"/>
      <c r="G240" s="288"/>
      <c r="H240" s="196"/>
      <c r="I240" s="251"/>
      <c r="J240" s="183"/>
      <c r="K240" s="368"/>
      <c r="L240" s="210"/>
      <c r="M240" s="185"/>
      <c r="N240" s="197"/>
      <c r="O240" s="296"/>
      <c r="P240" s="188"/>
      <c r="Q240" s="189"/>
      <c r="R240" s="190"/>
      <c r="S240" s="311"/>
      <c r="X240" s="212"/>
    </row>
    <row r="241" spans="1:24" s="12" customFormat="1" ht="19.5" customHeight="1" x14ac:dyDescent="0.2">
      <c r="A241" s="298" t="str">
        <f>IF(J241&lt;&gt;"",1+MAX($A$18:A240),"")</f>
        <v/>
      </c>
      <c r="B241" s="355"/>
      <c r="C241" s="355"/>
      <c r="D241" s="355"/>
      <c r="E241" s="302"/>
      <c r="F241" s="386" t="s">
        <v>767</v>
      </c>
      <c r="G241" s="319"/>
      <c r="H241" s="196"/>
      <c r="I241" s="251"/>
      <c r="J241" s="183"/>
      <c r="K241" s="368"/>
      <c r="L241" s="210"/>
      <c r="M241" s="185"/>
      <c r="N241" s="197"/>
      <c r="O241" s="296"/>
      <c r="P241" s="188"/>
      <c r="Q241" s="189"/>
      <c r="R241" s="190"/>
      <c r="S241" s="311"/>
      <c r="X241" s="212"/>
    </row>
    <row r="242" spans="1:24" s="12" customFormat="1" ht="19.5" customHeight="1" x14ac:dyDescent="0.2">
      <c r="A242" s="298">
        <f>IF(J242&lt;&gt;"",1+MAX($A$18:A241),"")</f>
        <v>127</v>
      </c>
      <c r="B242" s="355" t="s">
        <v>781</v>
      </c>
      <c r="C242" s="355" t="s">
        <v>759</v>
      </c>
      <c r="D242" s="355" t="s">
        <v>42</v>
      </c>
      <c r="E242" s="302" t="s">
        <v>54</v>
      </c>
      <c r="F242" s="380" t="s">
        <v>768</v>
      </c>
      <c r="G242" s="288">
        <f t="shared" ref="G242:G245" si="190">365+109</f>
        <v>474</v>
      </c>
      <c r="H242" s="196">
        <f>IF(VLOOKUP(J242,'HOURLY RATES'!B$116:C$124,2,0)=0,$J$3,VLOOKUP(J242,'HOURLY RATES'!B$116:C$124,2,0))</f>
        <v>0.05</v>
      </c>
      <c r="I242" s="251">
        <f t="shared" si="184"/>
        <v>497.70000000000005</v>
      </c>
      <c r="J242" s="183" t="s">
        <v>17</v>
      </c>
      <c r="K242" s="368">
        <v>6.5000000000000002E-2</v>
      </c>
      <c r="L242" s="369">
        <f t="shared" ref="L242:L244" si="191">K242*I242</f>
        <v>32.350500000000004</v>
      </c>
      <c r="M242" s="185">
        <f>IF(VLOOKUP(E242,'HOURLY RATES'!C$6:D$105,2,0)=0,$E$3,VLOOKUP(E242,'HOURLY RATES'!C$6:D$105,2,0))</f>
        <v>28.769952499999999</v>
      </c>
      <c r="N242" s="197">
        <f t="shared" si="186"/>
        <v>930.72234835125005</v>
      </c>
      <c r="O242" s="296">
        <v>3.2</v>
      </c>
      <c r="P242" s="188">
        <f t="shared" si="187"/>
        <v>1592.6400000000003</v>
      </c>
      <c r="Q242" s="189">
        <f t="shared" si="188"/>
        <v>2523.3623483512501</v>
      </c>
      <c r="R242" s="190"/>
      <c r="S242" s="311"/>
      <c r="X242" s="212"/>
    </row>
    <row r="243" spans="1:24" s="12" customFormat="1" ht="19.5" customHeight="1" x14ac:dyDescent="0.2">
      <c r="A243" s="298">
        <f>IF(J243&lt;&gt;"",1+MAX($A$18:A242),"")</f>
        <v>128</v>
      </c>
      <c r="B243" s="355" t="s">
        <v>781</v>
      </c>
      <c r="C243" s="355" t="s">
        <v>759</v>
      </c>
      <c r="D243" s="355" t="s">
        <v>42</v>
      </c>
      <c r="E243" s="302" t="s">
        <v>54</v>
      </c>
      <c r="F243" s="380" t="s">
        <v>765</v>
      </c>
      <c r="G243" s="288">
        <f t="shared" si="190"/>
        <v>474</v>
      </c>
      <c r="H243" s="196">
        <f>IF(VLOOKUP(J243,'HOURLY RATES'!B$116:C$124,2,0)=0,$J$3,VLOOKUP(J243,'HOURLY RATES'!B$116:C$124,2,0))</f>
        <v>0.05</v>
      </c>
      <c r="I243" s="251">
        <f t="shared" si="184"/>
        <v>497.70000000000005</v>
      </c>
      <c r="J243" s="183" t="s">
        <v>17</v>
      </c>
      <c r="K243" s="368">
        <v>0.02</v>
      </c>
      <c r="L243" s="369">
        <f t="shared" si="191"/>
        <v>9.9540000000000006</v>
      </c>
      <c r="M243" s="185">
        <f>IF(VLOOKUP(E243,'HOURLY RATES'!C$6:D$105,2,0)=0,$E$3,VLOOKUP(E243,'HOURLY RATES'!C$6:D$105,2,0))</f>
        <v>28.769952499999999</v>
      </c>
      <c r="N243" s="197">
        <f t="shared" si="186"/>
        <v>286.37610718500002</v>
      </c>
      <c r="O243" s="296">
        <f>7554.9/(384*6)</f>
        <v>3.2790364583333331</v>
      </c>
      <c r="P243" s="188">
        <f t="shared" si="187"/>
        <v>1631.9764453125001</v>
      </c>
      <c r="Q243" s="189">
        <f t="shared" si="188"/>
        <v>1918.3525524975003</v>
      </c>
      <c r="R243" s="190"/>
      <c r="S243" s="311"/>
      <c r="X243" s="212"/>
    </row>
    <row r="244" spans="1:24" s="12" customFormat="1" ht="19.5" customHeight="1" x14ac:dyDescent="0.2">
      <c r="A244" s="298">
        <f>IF(J244&lt;&gt;"",1+MAX($A$18:A243),"")</f>
        <v>129</v>
      </c>
      <c r="B244" s="355" t="s">
        <v>781</v>
      </c>
      <c r="C244" s="355" t="s">
        <v>759</v>
      </c>
      <c r="D244" s="355" t="s">
        <v>42</v>
      </c>
      <c r="E244" s="302" t="s">
        <v>54</v>
      </c>
      <c r="F244" s="380" t="s">
        <v>924</v>
      </c>
      <c r="G244" s="288">
        <f t="shared" si="190"/>
        <v>474</v>
      </c>
      <c r="H244" s="196">
        <f>IF(VLOOKUP(J244,'HOURLY RATES'!B$116:C$124,2,0)=0,$J$3,VLOOKUP(J244,'HOURLY RATES'!B$116:C$124,2,0))</f>
        <v>0.05</v>
      </c>
      <c r="I244" s="251">
        <f t="shared" si="184"/>
        <v>497.70000000000005</v>
      </c>
      <c r="J244" s="183" t="s">
        <v>17</v>
      </c>
      <c r="K244" s="368">
        <v>0.02</v>
      </c>
      <c r="L244" s="369">
        <f t="shared" si="191"/>
        <v>9.9540000000000006</v>
      </c>
      <c r="M244" s="185">
        <f>IF(VLOOKUP(E244,'HOURLY RATES'!C$6:D$105,2,0)=0,$E$3,VLOOKUP(E244,'HOURLY RATES'!C$6:D$105,2,0))</f>
        <v>28.769952499999999</v>
      </c>
      <c r="N244" s="197">
        <f t="shared" si="186"/>
        <v>286.37610718500002</v>
      </c>
      <c r="O244" s="296">
        <f>245.78/225</f>
        <v>1.0923555555555555</v>
      </c>
      <c r="P244" s="188">
        <f t="shared" si="187"/>
        <v>543.66536000000008</v>
      </c>
      <c r="Q244" s="189">
        <f t="shared" si="188"/>
        <v>830.0414671850001</v>
      </c>
      <c r="R244" s="190"/>
      <c r="S244" s="311"/>
      <c r="X244" s="212"/>
    </row>
    <row r="245" spans="1:24" s="12" customFormat="1" ht="19.5" customHeight="1" x14ac:dyDescent="0.2">
      <c r="A245" s="298">
        <f>IF(J245&lt;&gt;"",1+MAX($A$18:A244),"")</f>
        <v>130</v>
      </c>
      <c r="B245" s="355" t="s">
        <v>781</v>
      </c>
      <c r="C245" s="355" t="s">
        <v>759</v>
      </c>
      <c r="D245" s="355" t="s">
        <v>42</v>
      </c>
      <c r="E245" s="302" t="s">
        <v>54</v>
      </c>
      <c r="F245" s="380" t="s">
        <v>885</v>
      </c>
      <c r="G245" s="288">
        <f t="shared" si="190"/>
        <v>474</v>
      </c>
      <c r="H245" s="196">
        <f>IF(VLOOKUP(J245,'HOURLY RATES'!B$116:C$124,2,0)=0,$J$3,VLOOKUP(J245,'HOURLY RATES'!B$116:C$124,2,0))</f>
        <v>0.05</v>
      </c>
      <c r="I245" s="251">
        <f t="shared" ref="I245" si="192">(G245*(1+H245))</f>
        <v>497.70000000000005</v>
      </c>
      <c r="J245" s="183" t="s">
        <v>17</v>
      </c>
      <c r="K245" s="368">
        <v>8.0000000000000002E-3</v>
      </c>
      <c r="L245" s="369">
        <f t="shared" ref="L245" si="193">K245*I245</f>
        <v>3.9816000000000003</v>
      </c>
      <c r="M245" s="185">
        <f>IF(VLOOKUP(E245,'HOURLY RATES'!C$6:D$105,2,0)=0,$E$3,VLOOKUP(E245,'HOURLY RATES'!C$6:D$105,2,0))</f>
        <v>28.769952499999999</v>
      </c>
      <c r="N245" s="197">
        <f t="shared" ref="N245" si="194">M245*L245</f>
        <v>114.550442874</v>
      </c>
      <c r="O245" s="296">
        <v>0.76500000000000001</v>
      </c>
      <c r="P245" s="188">
        <f t="shared" ref="P245" si="195">O245*I245</f>
        <v>380.74050000000005</v>
      </c>
      <c r="Q245" s="189">
        <f t="shared" ref="Q245" si="196">P245+N245</f>
        <v>495.29094287400005</v>
      </c>
      <c r="R245" s="190"/>
      <c r="S245" s="311"/>
      <c r="X245" s="212"/>
    </row>
    <row r="246" spans="1:24" s="12" customFormat="1" ht="19.5" customHeight="1" x14ac:dyDescent="0.2">
      <c r="A246" s="298" t="str">
        <f>IF(J246&lt;&gt;"",1+MAX($A$18:A245),"")</f>
        <v/>
      </c>
      <c r="B246" s="355"/>
      <c r="C246" s="355"/>
      <c r="D246" s="355"/>
      <c r="E246" s="302"/>
      <c r="F246" s="380"/>
      <c r="G246" s="288"/>
      <c r="H246" s="196"/>
      <c r="I246" s="251"/>
      <c r="J246" s="183"/>
      <c r="K246" s="368"/>
      <c r="L246" s="210"/>
      <c r="M246" s="185"/>
      <c r="N246" s="197"/>
      <c r="O246" s="296"/>
      <c r="P246" s="188"/>
      <c r="Q246" s="189"/>
      <c r="R246" s="190"/>
      <c r="S246" s="311"/>
      <c r="X246" s="212"/>
    </row>
    <row r="247" spans="1:24" s="12" customFormat="1" ht="19.5" customHeight="1" x14ac:dyDescent="0.2">
      <c r="A247" s="298" t="str">
        <f>IF(J247&lt;&gt;"",1+MAX($A$18:A246),"")</f>
        <v/>
      </c>
      <c r="B247" s="355"/>
      <c r="C247" s="355"/>
      <c r="D247" s="355"/>
      <c r="E247" s="302"/>
      <c r="F247" s="386" t="s">
        <v>769</v>
      </c>
      <c r="G247" s="319"/>
      <c r="H247" s="196"/>
      <c r="I247" s="251"/>
      <c r="J247" s="183"/>
      <c r="K247" s="368"/>
      <c r="L247" s="210"/>
      <c r="M247" s="185"/>
      <c r="N247" s="197"/>
      <c r="O247" s="296"/>
      <c r="P247" s="188"/>
      <c r="Q247" s="189"/>
      <c r="R247" s="190"/>
      <c r="S247" s="311"/>
      <c r="X247" s="212"/>
    </row>
    <row r="248" spans="1:24" s="12" customFormat="1" ht="19.5" customHeight="1" x14ac:dyDescent="0.2">
      <c r="A248" s="298">
        <f>IF(J248&lt;&gt;"",1+MAX($A$18:A247),"")</f>
        <v>131</v>
      </c>
      <c r="B248" s="355" t="s">
        <v>781</v>
      </c>
      <c r="C248" s="355" t="s">
        <v>759</v>
      </c>
      <c r="D248" s="355" t="s">
        <v>42</v>
      </c>
      <c r="E248" s="302" t="s">
        <v>54</v>
      </c>
      <c r="F248" s="380" t="s">
        <v>886</v>
      </c>
      <c r="G248" s="288">
        <v>205</v>
      </c>
      <c r="H248" s="196">
        <f>IF(VLOOKUP(J248,'HOURLY RATES'!B$116:C$124,2,0)=0,$J$3,VLOOKUP(J248,'HOURLY RATES'!B$116:C$124,2,0))</f>
        <v>0.05</v>
      </c>
      <c r="I248" s="251">
        <f t="shared" ref="I248:I249" si="197">(G248*(1+H248))</f>
        <v>215.25</v>
      </c>
      <c r="J248" s="183" t="s">
        <v>17</v>
      </c>
      <c r="K248" s="368">
        <v>4.4999999999999998E-2</v>
      </c>
      <c r="L248" s="369">
        <f t="shared" ref="L248:L251" si="198">K248*I248</f>
        <v>9.6862499999999994</v>
      </c>
      <c r="M248" s="185">
        <f>IF(VLOOKUP(E248,'HOURLY RATES'!C$6:D$105,2,0)=0,$E$3,VLOOKUP(E248,'HOURLY RATES'!C$6:D$105,2,0))</f>
        <v>28.769952499999999</v>
      </c>
      <c r="N248" s="197">
        <f t="shared" ref="N248:N249" si="199">M248*L248</f>
        <v>278.67295240312495</v>
      </c>
      <c r="O248" s="296">
        <v>6.87</v>
      </c>
      <c r="P248" s="188">
        <f t="shared" ref="P248:P249" si="200">O248*I248</f>
        <v>1478.7674999999999</v>
      </c>
      <c r="Q248" s="189">
        <f t="shared" ref="Q248:Q249" si="201">P248+N248</f>
        <v>1757.4404524031249</v>
      </c>
      <c r="R248" s="190"/>
      <c r="S248" s="311"/>
      <c r="X248" s="212"/>
    </row>
    <row r="249" spans="1:24" s="12" customFormat="1" ht="19.5" customHeight="1" x14ac:dyDescent="0.2">
      <c r="A249" s="298">
        <f>IF(J249&lt;&gt;"",1+MAX($A$18:A248),"")</f>
        <v>132</v>
      </c>
      <c r="B249" s="355" t="s">
        <v>781</v>
      </c>
      <c r="C249" s="355" t="s">
        <v>759</v>
      </c>
      <c r="D249" s="355" t="s">
        <v>42</v>
      </c>
      <c r="E249" s="302" t="s">
        <v>54</v>
      </c>
      <c r="F249" s="380" t="s">
        <v>770</v>
      </c>
      <c r="G249" s="288">
        <v>205</v>
      </c>
      <c r="H249" s="196">
        <f>IF(VLOOKUP(J249,'HOURLY RATES'!B$116:C$124,2,0)=0,$J$3,VLOOKUP(J249,'HOURLY RATES'!B$116:C$124,2,0))</f>
        <v>0.05</v>
      </c>
      <c r="I249" s="251">
        <f t="shared" si="197"/>
        <v>215.25</v>
      </c>
      <c r="J249" s="183" t="s">
        <v>17</v>
      </c>
      <c r="K249" s="368">
        <v>1.9E-2</v>
      </c>
      <c r="L249" s="369">
        <f t="shared" si="198"/>
        <v>4.0897499999999996</v>
      </c>
      <c r="M249" s="185">
        <f>IF(VLOOKUP(E249,'HOURLY RATES'!C$6:D$105,2,0)=0,$E$3,VLOOKUP(E249,'HOURLY RATES'!C$6:D$105,2,0))</f>
        <v>28.769952499999999</v>
      </c>
      <c r="N249" s="197">
        <f t="shared" si="199"/>
        <v>117.66191323687498</v>
      </c>
      <c r="O249" s="296">
        <f>576/(5*100)</f>
        <v>1.1519999999999999</v>
      </c>
      <c r="P249" s="188">
        <f t="shared" si="200"/>
        <v>247.96799999999999</v>
      </c>
      <c r="Q249" s="189">
        <f t="shared" si="201"/>
        <v>365.62991323687498</v>
      </c>
      <c r="R249" s="190"/>
      <c r="S249" s="311"/>
      <c r="X249" s="212"/>
    </row>
    <row r="250" spans="1:24" s="12" customFormat="1" ht="19.5" customHeight="1" x14ac:dyDescent="0.2">
      <c r="A250" s="298">
        <f>IF(J250&lt;&gt;"",1+MAX($A$18:A249),"")</f>
        <v>133</v>
      </c>
      <c r="B250" s="355" t="s">
        <v>781</v>
      </c>
      <c r="C250" s="355" t="s">
        <v>759</v>
      </c>
      <c r="D250" s="355" t="s">
        <v>42</v>
      </c>
      <c r="E250" s="302" t="s">
        <v>54</v>
      </c>
      <c r="F250" s="380" t="s">
        <v>771</v>
      </c>
      <c r="G250" s="288">
        <v>205</v>
      </c>
      <c r="H250" s="196">
        <f>IF(VLOOKUP(J250,'HOURLY RATES'!B$116:C$124,2,0)=0,$J$3,VLOOKUP(J250,'HOURLY RATES'!B$116:C$124,2,0))</f>
        <v>0.05</v>
      </c>
      <c r="I250" s="251">
        <f t="shared" ref="I250:I251" si="202">(G250*(1+H250))</f>
        <v>215.25</v>
      </c>
      <c r="J250" s="183" t="s">
        <v>17</v>
      </c>
      <c r="K250" s="368">
        <v>4.4999999999999998E-2</v>
      </c>
      <c r="L250" s="369">
        <f t="shared" si="198"/>
        <v>9.6862499999999994</v>
      </c>
      <c r="M250" s="185">
        <f>IF(VLOOKUP(E250,'HOURLY RATES'!C$6:D$105,2,0)=0,$E$3,VLOOKUP(E250,'HOURLY RATES'!C$6:D$105,2,0))</f>
        <v>28.769952499999999</v>
      </c>
      <c r="N250" s="197">
        <f t="shared" ref="N250:N251" si="203">M250*L250</f>
        <v>278.67295240312495</v>
      </c>
      <c r="O250" s="296">
        <f>36.1/32</f>
        <v>1.128125</v>
      </c>
      <c r="P250" s="188">
        <f t="shared" ref="P250:P251" si="204">O250*I250</f>
        <v>242.82890625000002</v>
      </c>
      <c r="Q250" s="189">
        <f t="shared" ref="Q250:Q251" si="205">P250+N250</f>
        <v>521.50185865312494</v>
      </c>
      <c r="R250" s="190"/>
      <c r="S250" s="311"/>
      <c r="X250" s="212"/>
    </row>
    <row r="251" spans="1:24" s="12" customFormat="1" ht="19.5" customHeight="1" x14ac:dyDescent="0.2">
      <c r="A251" s="298">
        <f>IF(J251&lt;&gt;"",1+MAX($A$18:A250),"")</f>
        <v>134</v>
      </c>
      <c r="B251" s="355" t="s">
        <v>781</v>
      </c>
      <c r="C251" s="355" t="s">
        <v>759</v>
      </c>
      <c r="D251" s="355" t="s">
        <v>42</v>
      </c>
      <c r="E251" s="302" t="s">
        <v>54</v>
      </c>
      <c r="F251" s="380" t="s">
        <v>772</v>
      </c>
      <c r="G251" s="288">
        <v>205</v>
      </c>
      <c r="H251" s="196">
        <f>IF(VLOOKUP(J251,'HOURLY RATES'!B$116:C$124,2,0)=0,$J$3,VLOOKUP(J251,'HOURLY RATES'!B$116:C$124,2,0))</f>
        <v>0.05</v>
      </c>
      <c r="I251" s="251">
        <f t="shared" si="202"/>
        <v>215.25</v>
      </c>
      <c r="J251" s="183" t="s">
        <v>17</v>
      </c>
      <c r="K251" s="368">
        <v>0.02</v>
      </c>
      <c r="L251" s="369">
        <f t="shared" si="198"/>
        <v>4.3049999999999997</v>
      </c>
      <c r="M251" s="185">
        <f>IF(VLOOKUP(E251,'HOURLY RATES'!C$6:D$105,2,0)=0,$E$3,VLOOKUP(E251,'HOURLY RATES'!C$6:D$105,2,0))</f>
        <v>28.769952499999999</v>
      </c>
      <c r="N251" s="197">
        <f t="shared" si="203"/>
        <v>123.85464551249999</v>
      </c>
      <c r="O251" s="296">
        <f>7554.9/(384*6)</f>
        <v>3.2790364583333331</v>
      </c>
      <c r="P251" s="188">
        <f t="shared" si="204"/>
        <v>705.81259765624998</v>
      </c>
      <c r="Q251" s="189">
        <f t="shared" si="205"/>
        <v>829.66724316875002</v>
      </c>
      <c r="R251" s="190"/>
      <c r="S251" s="311"/>
      <c r="X251" s="212"/>
    </row>
    <row r="252" spans="1:24" s="12" customFormat="1" ht="19.5" customHeight="1" x14ac:dyDescent="0.2">
      <c r="A252" s="298">
        <f>IF(J252&lt;&gt;"",1+MAX($A$18:A251),"")</f>
        <v>135</v>
      </c>
      <c r="B252" s="355" t="s">
        <v>781</v>
      </c>
      <c r="C252" s="355" t="s">
        <v>759</v>
      </c>
      <c r="D252" s="355" t="s">
        <v>42</v>
      </c>
      <c r="E252" s="302" t="s">
        <v>54</v>
      </c>
      <c r="F252" s="380" t="s">
        <v>887</v>
      </c>
      <c r="G252" s="288">
        <f>205/1.5</f>
        <v>136.66666666666666</v>
      </c>
      <c r="H252" s="196">
        <f>IF(VLOOKUP(J252,'HOURLY RATES'!B$116:C$124,2,0)=0,$J$3,VLOOKUP(J252,'HOURLY RATES'!B$116:C$124,2,0))</f>
        <v>0.05</v>
      </c>
      <c r="I252" s="251">
        <f t="shared" ref="I252:I253" si="206">(G252*(1+H252))</f>
        <v>143.5</v>
      </c>
      <c r="J252" s="183" t="s">
        <v>19</v>
      </c>
      <c r="K252" s="368">
        <v>4.4999999999999998E-2</v>
      </c>
      <c r="L252" s="369">
        <f t="shared" ref="L252:L253" si="207">K252*I252</f>
        <v>6.4574999999999996</v>
      </c>
      <c r="M252" s="185">
        <f>IF(VLOOKUP(E252,'HOURLY RATES'!C$6:D$105,2,0)=0,$E$3,VLOOKUP(E252,'HOURLY RATES'!C$6:D$105,2,0))</f>
        <v>28.769952499999999</v>
      </c>
      <c r="N252" s="197">
        <f t="shared" ref="N252:N253" si="208">M252*L252</f>
        <v>185.78196826874998</v>
      </c>
      <c r="O252" s="296">
        <v>1.1000000000000001</v>
      </c>
      <c r="P252" s="188">
        <f t="shared" ref="P252:P253" si="209">O252*I252</f>
        <v>157.85000000000002</v>
      </c>
      <c r="Q252" s="189">
        <f t="shared" ref="Q252:Q253" si="210">P252+N252</f>
        <v>343.63196826875003</v>
      </c>
      <c r="R252" s="190"/>
      <c r="S252" s="311"/>
      <c r="X252" s="212"/>
    </row>
    <row r="253" spans="1:24" s="12" customFormat="1" ht="19.5" customHeight="1" x14ac:dyDescent="0.2">
      <c r="A253" s="298">
        <f>IF(J253&lt;&gt;"",1+MAX($A$18:A252),"")</f>
        <v>136</v>
      </c>
      <c r="B253" s="355" t="s">
        <v>781</v>
      </c>
      <c r="C253" s="355" t="s">
        <v>759</v>
      </c>
      <c r="D253" s="355" t="s">
        <v>42</v>
      </c>
      <c r="E253" s="302" t="s">
        <v>54</v>
      </c>
      <c r="F253" s="380" t="s">
        <v>888</v>
      </c>
      <c r="G253" s="288">
        <f>205/1.5</f>
        <v>136.66666666666666</v>
      </c>
      <c r="H253" s="196">
        <f>IF(VLOOKUP(J253,'HOURLY RATES'!B$116:C$124,2,0)=0,$J$3,VLOOKUP(J253,'HOURLY RATES'!B$116:C$124,2,0))</f>
        <v>0.05</v>
      </c>
      <c r="I253" s="251">
        <f t="shared" si="206"/>
        <v>143.5</v>
      </c>
      <c r="J253" s="183" t="s">
        <v>19</v>
      </c>
      <c r="K253" s="368">
        <v>0.05</v>
      </c>
      <c r="L253" s="369">
        <f t="shared" si="207"/>
        <v>7.1750000000000007</v>
      </c>
      <c r="M253" s="185">
        <f>IF(VLOOKUP(E253,'HOURLY RATES'!C$6:D$105,2,0)=0,$E$3,VLOOKUP(E253,'HOURLY RATES'!C$6:D$105,2,0))</f>
        <v>28.769952499999999</v>
      </c>
      <c r="N253" s="197">
        <f t="shared" si="208"/>
        <v>206.4244091875</v>
      </c>
      <c r="O253" s="296">
        <v>1.2</v>
      </c>
      <c r="P253" s="188">
        <f t="shared" si="209"/>
        <v>172.2</v>
      </c>
      <c r="Q253" s="189">
        <f t="shared" si="210"/>
        <v>378.62440918749996</v>
      </c>
      <c r="R253" s="190"/>
      <c r="S253" s="311"/>
      <c r="X253" s="212"/>
    </row>
    <row r="254" spans="1:24" s="12" customFormat="1" ht="19.5" customHeight="1" x14ac:dyDescent="0.2">
      <c r="A254" s="298" t="str">
        <f>IF(J254&lt;&gt;"",1+MAX($A$18:A253),"")</f>
        <v/>
      </c>
      <c r="B254" s="355"/>
      <c r="C254" s="355"/>
      <c r="D254" s="355"/>
      <c r="E254" s="302"/>
      <c r="F254" s="380"/>
      <c r="G254" s="288"/>
      <c r="H254" s="196"/>
      <c r="I254" s="251"/>
      <c r="J254" s="183"/>
      <c r="K254" s="368"/>
      <c r="L254" s="369"/>
      <c r="M254" s="185"/>
      <c r="N254" s="197"/>
      <c r="O254" s="296"/>
      <c r="P254" s="188"/>
      <c r="Q254" s="189"/>
      <c r="R254" s="190"/>
      <c r="S254" s="311"/>
      <c r="X254" s="212"/>
    </row>
    <row r="255" spans="1:24" s="12" customFormat="1" ht="19.5" customHeight="1" x14ac:dyDescent="0.2">
      <c r="A255" s="298">
        <f>IF(J255&lt;&gt;"",1+MAX($A$18:A254),"")</f>
        <v>137</v>
      </c>
      <c r="B255" s="355" t="s">
        <v>781</v>
      </c>
      <c r="C255" s="355" t="s">
        <v>782</v>
      </c>
      <c r="D255" s="355" t="s">
        <v>42</v>
      </c>
      <c r="E255" s="302" t="s">
        <v>54</v>
      </c>
      <c r="F255" s="380" t="s">
        <v>895</v>
      </c>
      <c r="G255" s="288">
        <v>182</v>
      </c>
      <c r="H255" s="196">
        <f>IF(VLOOKUP(J255,'HOURLY RATES'!B$116:C$124,2,0)=0,$J$3,VLOOKUP(J255,'HOURLY RATES'!B$116:C$124,2,0))</f>
        <v>0.05</v>
      </c>
      <c r="I255" s="251">
        <f t="shared" ref="I255:I256" si="211">(G255*(1+H255))</f>
        <v>191.1</v>
      </c>
      <c r="J255" s="183" t="s">
        <v>19</v>
      </c>
      <c r="K255" s="368">
        <v>0.25</v>
      </c>
      <c r="L255" s="369">
        <f t="shared" ref="L255:L260" si="212">K255*I255</f>
        <v>47.774999999999999</v>
      </c>
      <c r="M255" s="185">
        <f>IF(VLOOKUP(E255,'HOURLY RATES'!C$6:D$105,2,0)=0,$E$3,VLOOKUP(E255,'HOURLY RATES'!C$6:D$105,2,0))</f>
        <v>28.769952499999999</v>
      </c>
      <c r="N255" s="197">
        <f t="shared" ref="N255:N256" si="213">M255*L255</f>
        <v>1374.4844806874999</v>
      </c>
      <c r="O255" s="296">
        <v>18.387</v>
      </c>
      <c r="P255" s="188">
        <f t="shared" ref="P255:P256" si="214">O255*I255</f>
        <v>3513.7557000000002</v>
      </c>
      <c r="Q255" s="189">
        <f t="shared" ref="Q255:Q256" si="215">P255+N255</f>
        <v>4888.2401806875005</v>
      </c>
      <c r="R255" s="190"/>
      <c r="S255" s="311"/>
      <c r="X255" s="212"/>
    </row>
    <row r="256" spans="1:24" s="12" customFormat="1" ht="19.5" customHeight="1" x14ac:dyDescent="0.2">
      <c r="A256" s="298">
        <f>IF(J256&lt;&gt;"",1+MAX($A$18:A255),"")</f>
        <v>138</v>
      </c>
      <c r="B256" s="355" t="s">
        <v>781</v>
      </c>
      <c r="C256" s="355" t="s">
        <v>782</v>
      </c>
      <c r="D256" s="355" t="s">
        <v>42</v>
      </c>
      <c r="E256" s="302" t="s">
        <v>54</v>
      </c>
      <c r="F256" s="380" t="s">
        <v>773</v>
      </c>
      <c r="G256" s="288">
        <v>30</v>
      </c>
      <c r="H256" s="196">
        <f>IF(VLOOKUP(J256,'HOURLY RATES'!B$116:C$124,2,0)=0,$J$3,VLOOKUP(J256,'HOURLY RATES'!B$116:C$124,2,0))</f>
        <v>0.05</v>
      </c>
      <c r="I256" s="251">
        <f t="shared" si="211"/>
        <v>31.5</v>
      </c>
      <c r="J256" s="183" t="s">
        <v>19</v>
      </c>
      <c r="K256" s="368">
        <v>4.3999999999999997E-2</v>
      </c>
      <c r="L256" s="369">
        <f t="shared" si="212"/>
        <v>1.3859999999999999</v>
      </c>
      <c r="M256" s="185">
        <f>IF(VLOOKUP(E256,'HOURLY RATES'!C$6:D$105,2,0)=0,$E$3,VLOOKUP(E256,'HOURLY RATES'!C$6:D$105,2,0))</f>
        <v>28.769952499999999</v>
      </c>
      <c r="N256" s="197">
        <f t="shared" si="213"/>
        <v>39.875154164999998</v>
      </c>
      <c r="O256" s="296">
        <v>3.2</v>
      </c>
      <c r="P256" s="188">
        <f t="shared" si="214"/>
        <v>100.80000000000001</v>
      </c>
      <c r="Q256" s="189">
        <f t="shared" si="215"/>
        <v>140.67515416500001</v>
      </c>
      <c r="R256" s="190"/>
      <c r="S256" s="311"/>
      <c r="X256" s="212"/>
    </row>
    <row r="257" spans="1:24" s="12" customFormat="1" ht="19.5" customHeight="1" x14ac:dyDescent="0.2">
      <c r="A257" s="298">
        <f>IF(J257&lt;&gt;"",1+MAX($A$18:A256),"")</f>
        <v>139</v>
      </c>
      <c r="B257" s="355" t="s">
        <v>781</v>
      </c>
      <c r="C257" s="355" t="s">
        <v>782</v>
      </c>
      <c r="D257" s="355" t="s">
        <v>42</v>
      </c>
      <c r="E257" s="302" t="s">
        <v>54</v>
      </c>
      <c r="F257" s="380" t="s">
        <v>774</v>
      </c>
      <c r="G257" s="288">
        <v>20</v>
      </c>
      <c r="H257" s="196">
        <f>IF(VLOOKUP(J257,'HOURLY RATES'!B$116:C$124,2,0)=0,$J$3,VLOOKUP(J257,'HOURLY RATES'!B$116:C$124,2,0))</f>
        <v>0.05</v>
      </c>
      <c r="I257" s="251">
        <f t="shared" ref="I257:I258" si="216">(G257*(1+H257))</f>
        <v>21</v>
      </c>
      <c r="J257" s="183" t="s">
        <v>19</v>
      </c>
      <c r="K257" s="368">
        <v>4.2000000000000003E-2</v>
      </c>
      <c r="L257" s="369">
        <f t="shared" si="212"/>
        <v>0.88200000000000001</v>
      </c>
      <c r="M257" s="185">
        <f>IF(VLOOKUP(E257,'HOURLY RATES'!C$6:D$105,2,0)=0,$E$3,VLOOKUP(E257,'HOURLY RATES'!C$6:D$105,2,0))</f>
        <v>28.769952499999999</v>
      </c>
      <c r="N257" s="197">
        <f t="shared" ref="N257:N258" si="217">M257*L257</f>
        <v>25.375098104999999</v>
      </c>
      <c r="O257" s="296">
        <f>221.1/100</f>
        <v>2.2109999999999999</v>
      </c>
      <c r="P257" s="188">
        <f t="shared" ref="P257:P258" si="218">O257*I257</f>
        <v>46.430999999999997</v>
      </c>
      <c r="Q257" s="189">
        <f t="shared" ref="Q257:Q258" si="219">P257+N257</f>
        <v>71.80609810499999</v>
      </c>
      <c r="R257" s="190"/>
      <c r="S257" s="311"/>
      <c r="X257" s="212"/>
    </row>
    <row r="258" spans="1:24" s="12" customFormat="1" ht="19.5" customHeight="1" x14ac:dyDescent="0.2">
      <c r="A258" s="298">
        <f>IF(J258&lt;&gt;"",1+MAX($A$18:A257),"")</f>
        <v>140</v>
      </c>
      <c r="B258" s="355" t="s">
        <v>781</v>
      </c>
      <c r="C258" s="355" t="s">
        <v>782</v>
      </c>
      <c r="D258" s="355" t="s">
        <v>42</v>
      </c>
      <c r="E258" s="302" t="s">
        <v>54</v>
      </c>
      <c r="F258" s="380" t="s">
        <v>775</v>
      </c>
      <c r="G258" s="288">
        <v>182</v>
      </c>
      <c r="H258" s="196">
        <f>IF(VLOOKUP(J258,'HOURLY RATES'!B$116:C$124,2,0)=0,$J$3,VLOOKUP(J258,'HOURLY RATES'!B$116:C$124,2,0))</f>
        <v>0.05</v>
      </c>
      <c r="I258" s="251">
        <f t="shared" si="216"/>
        <v>191.1</v>
      </c>
      <c r="J258" s="183" t="s">
        <v>19</v>
      </c>
      <c r="K258" s="368">
        <v>3.4000000000000002E-2</v>
      </c>
      <c r="L258" s="369">
        <f t="shared" si="212"/>
        <v>6.4973999999999998</v>
      </c>
      <c r="M258" s="185">
        <f>IF(VLOOKUP(E258,'HOURLY RATES'!C$6:D$105,2,0)=0,$E$3,VLOOKUP(E258,'HOURLY RATES'!C$6:D$105,2,0))</f>
        <v>28.769952499999999</v>
      </c>
      <c r="N258" s="197">
        <f t="shared" si="217"/>
        <v>186.92988937349998</v>
      </c>
      <c r="O258" s="296">
        <v>0.7</v>
      </c>
      <c r="P258" s="188">
        <f t="shared" si="218"/>
        <v>133.76999999999998</v>
      </c>
      <c r="Q258" s="189">
        <f t="shared" si="219"/>
        <v>320.69988937349996</v>
      </c>
      <c r="R258" s="190"/>
      <c r="S258" s="311"/>
      <c r="X258" s="212"/>
    </row>
    <row r="259" spans="1:24" s="12" customFormat="1" ht="19.5" customHeight="1" x14ac:dyDescent="0.2">
      <c r="A259" s="298">
        <f>IF(J259&lt;&gt;"",1+MAX($A$18:A258),"")</f>
        <v>141</v>
      </c>
      <c r="B259" s="355" t="s">
        <v>781</v>
      </c>
      <c r="C259" s="355" t="s">
        <v>782</v>
      </c>
      <c r="D259" s="355" t="s">
        <v>42</v>
      </c>
      <c r="E259" s="302" t="s">
        <v>54</v>
      </c>
      <c r="F259" s="380" t="s">
        <v>776</v>
      </c>
      <c r="G259" s="288">
        <v>27.6</v>
      </c>
      <c r="H259" s="196">
        <f>IF(VLOOKUP(J259,'HOURLY RATES'!B$116:C$124,2,0)=0,$J$3,VLOOKUP(J259,'HOURLY RATES'!B$116:C$124,2,0))</f>
        <v>0.05</v>
      </c>
      <c r="I259" s="251">
        <f t="shared" ref="I259:I260" si="220">(G259*(1+H259))</f>
        <v>28.980000000000004</v>
      </c>
      <c r="J259" s="183" t="s">
        <v>19</v>
      </c>
      <c r="K259" s="368">
        <v>6.5000000000000002E-2</v>
      </c>
      <c r="L259" s="369">
        <f t="shared" si="212"/>
        <v>1.8837000000000004</v>
      </c>
      <c r="M259" s="185">
        <f>IF(VLOOKUP(E259,'HOURLY RATES'!C$6:D$105,2,0)=0,$E$3,VLOOKUP(E259,'HOURLY RATES'!C$6:D$105,2,0))</f>
        <v>28.769952499999999</v>
      </c>
      <c r="N259" s="197">
        <f t="shared" ref="N259:N260" si="221">M259*L259</f>
        <v>54.193959524250012</v>
      </c>
      <c r="O259" s="296">
        <v>3.02</v>
      </c>
      <c r="P259" s="188">
        <f t="shared" ref="P259:P260" si="222">O259*I259</f>
        <v>87.519600000000011</v>
      </c>
      <c r="Q259" s="189">
        <f t="shared" ref="Q259:Q260" si="223">P259+N259</f>
        <v>141.71355952425003</v>
      </c>
      <c r="R259" s="190"/>
      <c r="S259" s="311"/>
      <c r="X259" s="212"/>
    </row>
    <row r="260" spans="1:24" s="12" customFormat="1" ht="19.5" customHeight="1" x14ac:dyDescent="0.2">
      <c r="A260" s="298">
        <f>IF(J260&lt;&gt;"",1+MAX($A$18:A259),"")</f>
        <v>142</v>
      </c>
      <c r="B260" s="355" t="s">
        <v>781</v>
      </c>
      <c r="C260" s="355" t="s">
        <v>782</v>
      </c>
      <c r="D260" s="355" t="s">
        <v>42</v>
      </c>
      <c r="E260" s="302" t="s">
        <v>54</v>
      </c>
      <c r="F260" s="380" t="s">
        <v>777</v>
      </c>
      <c r="G260" s="288">
        <v>3</v>
      </c>
      <c r="H260" s="196">
        <f>IF(VLOOKUP(J260,'HOURLY RATES'!B$116:C$124,2,0)=0,$J$3,VLOOKUP(J260,'HOURLY RATES'!B$116:C$124,2,0))</f>
        <v>0</v>
      </c>
      <c r="I260" s="251">
        <f t="shared" si="220"/>
        <v>3</v>
      </c>
      <c r="J260" s="183" t="s">
        <v>16</v>
      </c>
      <c r="K260" s="368">
        <v>0.57999999999999996</v>
      </c>
      <c r="L260" s="369">
        <f t="shared" si="212"/>
        <v>1.7399999999999998</v>
      </c>
      <c r="M260" s="185">
        <f>IF(VLOOKUP(E260,'HOURLY RATES'!C$6:D$105,2,0)=0,$E$3,VLOOKUP(E260,'HOURLY RATES'!C$6:D$105,2,0))</f>
        <v>28.769952499999999</v>
      </c>
      <c r="N260" s="197">
        <f t="shared" si="221"/>
        <v>50.059717349999993</v>
      </c>
      <c r="O260" s="296">
        <v>29.4</v>
      </c>
      <c r="P260" s="188">
        <f t="shared" si="222"/>
        <v>88.199999999999989</v>
      </c>
      <c r="Q260" s="189">
        <f t="shared" si="223"/>
        <v>138.25971734999999</v>
      </c>
      <c r="R260" s="190"/>
      <c r="S260" s="311"/>
      <c r="X260" s="212"/>
    </row>
    <row r="261" spans="1:24" s="12" customFormat="1" ht="19.5" customHeight="1" x14ac:dyDescent="0.2">
      <c r="A261" s="298" t="str">
        <f>IF(J261&lt;&gt;"",1+MAX($A$18:A260),"")</f>
        <v/>
      </c>
      <c r="B261" s="355"/>
      <c r="C261" s="355"/>
      <c r="D261" s="355"/>
      <c r="E261" s="302"/>
      <c r="F261" s="380"/>
      <c r="G261" s="288"/>
      <c r="H261" s="196"/>
      <c r="I261" s="251"/>
      <c r="J261" s="183"/>
      <c r="K261" s="368"/>
      <c r="L261" s="210"/>
      <c r="M261" s="185"/>
      <c r="N261" s="197"/>
      <c r="O261" s="296"/>
      <c r="P261" s="188"/>
      <c r="Q261" s="189"/>
      <c r="R261" s="190"/>
      <c r="S261" s="311"/>
      <c r="X261" s="212"/>
    </row>
    <row r="262" spans="1:24" s="12" customFormat="1" ht="19.5" customHeight="1" x14ac:dyDescent="0.2">
      <c r="A262" s="298" t="str">
        <f>IF(J262&lt;&gt;"",1+MAX($A$18:A261),"")</f>
        <v/>
      </c>
      <c r="B262" s="355"/>
      <c r="C262" s="355"/>
      <c r="D262" s="355"/>
      <c r="E262" s="302"/>
      <c r="F262" s="313" t="s">
        <v>778</v>
      </c>
      <c r="G262" s="288"/>
      <c r="H262" s="196"/>
      <c r="I262" s="251"/>
      <c r="J262" s="183"/>
      <c r="K262" s="368"/>
      <c r="L262" s="210"/>
      <c r="M262" s="185"/>
      <c r="N262" s="197"/>
      <c r="O262" s="296"/>
      <c r="P262" s="188"/>
      <c r="Q262" s="189"/>
      <c r="R262" s="190"/>
      <c r="S262" s="311"/>
      <c r="X262" s="212"/>
    </row>
    <row r="263" spans="1:24" s="12" customFormat="1" ht="19.5" customHeight="1" x14ac:dyDescent="0.2">
      <c r="A263" s="298">
        <f>IF(J263&lt;&gt;"",1+MAX($A$18:A262),"")</f>
        <v>143</v>
      </c>
      <c r="B263" s="355" t="s">
        <v>781</v>
      </c>
      <c r="C263" s="355" t="s">
        <v>782</v>
      </c>
      <c r="D263" s="355" t="s">
        <v>42</v>
      </c>
      <c r="E263" s="302" t="s">
        <v>54</v>
      </c>
      <c r="F263" s="314" t="s">
        <v>925</v>
      </c>
      <c r="G263" s="288">
        <f>(2.5*31)+(2*15)+(4*40)+(2.33 *86)</f>
        <v>467.88</v>
      </c>
      <c r="H263" s="196">
        <f>IF(VLOOKUP(J263,'HOURLY RATES'!B$116:C$124,2,0)=0,$J$3,VLOOKUP(J263,'HOURLY RATES'!B$116:C$124,2,0))</f>
        <v>0.05</v>
      </c>
      <c r="I263" s="251">
        <f t="shared" ref="I263:I264" si="224">(G263*(1+H263))</f>
        <v>491.274</v>
      </c>
      <c r="J263" s="183" t="s">
        <v>17</v>
      </c>
      <c r="K263" s="368">
        <v>1.6E-2</v>
      </c>
      <c r="L263" s="369">
        <f t="shared" ref="L263:L264" si="225">K263*I263</f>
        <v>7.8603839999999998</v>
      </c>
      <c r="M263" s="185">
        <f>IF(VLOOKUP(E263,'HOURLY RATES'!C$6:D$105,2,0)=0,$E$3,VLOOKUP(E263,'HOURLY RATES'!C$6:D$105,2,0))</f>
        <v>28.769952499999999</v>
      </c>
      <c r="N263" s="197">
        <f t="shared" ref="N263:N264" si="226">M263*L263</f>
        <v>226.14287431175998</v>
      </c>
      <c r="O263" s="296">
        <f t="shared" ref="O263" si="227">576/(5*100)</f>
        <v>1.1519999999999999</v>
      </c>
      <c r="P263" s="188">
        <f t="shared" ref="P263:P264" si="228">O263*I263</f>
        <v>565.94764799999996</v>
      </c>
      <c r="Q263" s="189">
        <f t="shared" ref="Q263:Q264" si="229">P263+N263</f>
        <v>792.09052231175997</v>
      </c>
      <c r="R263" s="190"/>
      <c r="S263" s="311"/>
      <c r="X263" s="212"/>
    </row>
    <row r="264" spans="1:24" s="12" customFormat="1" ht="19.5" customHeight="1" x14ac:dyDescent="0.2">
      <c r="A264" s="298">
        <f>IF(J264&lt;&gt;"",1+MAX($A$18:A263),"")</f>
        <v>144</v>
      </c>
      <c r="B264" s="355" t="s">
        <v>781</v>
      </c>
      <c r="C264" s="355" t="s">
        <v>782</v>
      </c>
      <c r="D264" s="355" t="s">
        <v>42</v>
      </c>
      <c r="E264" s="302" t="s">
        <v>54</v>
      </c>
      <c r="F264" s="314" t="s">
        <v>779</v>
      </c>
      <c r="G264" s="288">
        <f>(2.5*31)+(2*15)+(4*40)+(2.33 *86)</f>
        <v>467.88</v>
      </c>
      <c r="H264" s="196">
        <f>IF(VLOOKUP(J264,'HOURLY RATES'!B$116:C$124,2,0)=0,$J$3,VLOOKUP(J264,'HOURLY RATES'!B$116:C$124,2,0))</f>
        <v>0.05</v>
      </c>
      <c r="I264" s="251">
        <f t="shared" si="224"/>
        <v>491.274</v>
      </c>
      <c r="J264" s="183" t="s">
        <v>17</v>
      </c>
      <c r="K264" s="368">
        <v>0.01</v>
      </c>
      <c r="L264" s="369">
        <f t="shared" si="225"/>
        <v>4.9127400000000003</v>
      </c>
      <c r="M264" s="185">
        <f>IF(VLOOKUP(E264,'HOURLY RATES'!C$6:D$105,2,0)=0,$E$3,VLOOKUP(E264,'HOURLY RATES'!C$6:D$105,2,0))</f>
        <v>28.769952499999999</v>
      </c>
      <c r="N264" s="197">
        <f t="shared" si="226"/>
        <v>141.33929644484999</v>
      </c>
      <c r="O264" s="296">
        <f>(399.99/5/60)</f>
        <v>1.3333000000000002</v>
      </c>
      <c r="P264" s="188">
        <f t="shared" si="228"/>
        <v>655.01562420000005</v>
      </c>
      <c r="Q264" s="189">
        <f t="shared" si="229"/>
        <v>796.35492064485004</v>
      </c>
      <c r="R264" s="190"/>
      <c r="S264" s="311"/>
      <c r="X264" s="212"/>
    </row>
    <row r="265" spans="1:24" s="12" customFormat="1" ht="19.5" customHeight="1" x14ac:dyDescent="0.2">
      <c r="A265" s="298" t="str">
        <f>IF(J265&lt;&gt;"",1+MAX($A$18:A264),"")</f>
        <v/>
      </c>
      <c r="B265" s="346"/>
      <c r="C265" s="346"/>
      <c r="D265" s="347"/>
      <c r="E265" s="302"/>
      <c r="F265" s="9" t="s">
        <v>27</v>
      </c>
      <c r="G265" s="312"/>
      <c r="H265" s="336"/>
      <c r="I265" s="348"/>
      <c r="J265" s="349"/>
      <c r="K265" s="397"/>
      <c r="L265" s="340"/>
      <c r="M265" s="341"/>
      <c r="N265" s="342"/>
      <c r="O265" s="398"/>
      <c r="P265" s="344"/>
      <c r="Q265" s="345"/>
      <c r="R265" s="190"/>
      <c r="S265" s="311"/>
      <c r="X265" s="212"/>
    </row>
    <row r="266" spans="1:24" s="12" customFormat="1" ht="19.5" customHeight="1" x14ac:dyDescent="0.2">
      <c r="A266" s="298" t="str">
        <f>IF(J266&lt;&gt;"",1+MAX($A$18:A265),"")</f>
        <v/>
      </c>
      <c r="B266" s="346"/>
      <c r="C266" s="346"/>
      <c r="D266" s="347"/>
      <c r="E266" s="302"/>
      <c r="F266" s="313" t="s">
        <v>650</v>
      </c>
      <c r="G266" s="312"/>
      <c r="H266" s="336"/>
      <c r="I266" s="348"/>
      <c r="J266" s="349"/>
      <c r="K266" s="397"/>
      <c r="L266" s="340"/>
      <c r="M266" s="341"/>
      <c r="N266" s="342"/>
      <c r="O266" s="398"/>
      <c r="P266" s="344"/>
      <c r="Q266" s="345"/>
      <c r="R266" s="190"/>
      <c r="S266" s="311"/>
      <c r="X266" s="212"/>
    </row>
    <row r="267" spans="1:24" s="12" customFormat="1" ht="19.5" customHeight="1" x14ac:dyDescent="0.2">
      <c r="A267" s="298">
        <f>IF(J267&lt;&gt;"",1+MAX($A$18:A266),"")</f>
        <v>145</v>
      </c>
      <c r="B267" s="355" t="s">
        <v>662</v>
      </c>
      <c r="C267" s="355" t="s">
        <v>663</v>
      </c>
      <c r="D267" s="355" t="s">
        <v>42</v>
      </c>
      <c r="E267" s="302" t="s">
        <v>53</v>
      </c>
      <c r="F267" s="380" t="s">
        <v>945</v>
      </c>
      <c r="G267" s="288">
        <f>5040+306</f>
        <v>5346</v>
      </c>
      <c r="H267" s="196">
        <f>IF(VLOOKUP(J267,'HOURLY RATES'!B$116:C$124,2,0)=0,$J$3,VLOOKUP(J267,'HOURLY RATES'!B$116:C$124,2,0))</f>
        <v>0.05</v>
      </c>
      <c r="I267" s="251">
        <f t="shared" ref="I267" si="230">(G267*(1+H267))</f>
        <v>5613.3</v>
      </c>
      <c r="J267" s="183" t="s">
        <v>17</v>
      </c>
      <c r="K267" s="368">
        <v>0.04</v>
      </c>
      <c r="L267" s="369">
        <f t="shared" ref="L267" si="231">K267*I267</f>
        <v>224.53200000000001</v>
      </c>
      <c r="M267" s="185">
        <f>IF(VLOOKUP(E267,'HOURLY RATES'!C$6:D$105,2,0)=0,$E$3,VLOOKUP(E267,'HOURLY RATES'!C$6:D$105,2,0))</f>
        <v>39.777586500000005</v>
      </c>
      <c r="N267" s="197">
        <f t="shared" ref="N267" si="232">M267*L267</f>
        <v>8931.3410520180023</v>
      </c>
      <c r="O267" s="296">
        <v>1.4</v>
      </c>
      <c r="P267" s="188">
        <f t="shared" ref="P267" si="233">O267*I267</f>
        <v>7858.62</v>
      </c>
      <c r="Q267" s="189">
        <f t="shared" ref="Q267" si="234">P267+N267</f>
        <v>16789.961052018003</v>
      </c>
      <c r="R267" s="190"/>
      <c r="S267" s="311"/>
      <c r="X267" s="212"/>
    </row>
    <row r="268" spans="1:24" s="12" customFormat="1" ht="19.5" customHeight="1" x14ac:dyDescent="0.2">
      <c r="A268" s="298" t="str">
        <f>IF(J268&lt;&gt;"",1+MAX($A$18:A267),"")</f>
        <v/>
      </c>
      <c r="B268" s="355"/>
      <c r="C268" s="355"/>
      <c r="D268" s="355"/>
      <c r="E268" s="302"/>
      <c r="F268" s="314"/>
      <c r="G268" s="288"/>
      <c r="H268" s="336"/>
      <c r="I268" s="348"/>
      <c r="J268" s="349"/>
      <c r="K268" s="397"/>
      <c r="L268" s="340"/>
      <c r="M268" s="341"/>
      <c r="N268" s="342"/>
      <c r="O268" s="398"/>
      <c r="P268" s="344"/>
      <c r="Q268" s="345"/>
      <c r="R268" s="190"/>
      <c r="S268" s="311"/>
      <c r="X268" s="212"/>
    </row>
    <row r="269" spans="1:24" s="12" customFormat="1" ht="19.5" customHeight="1" x14ac:dyDescent="0.2">
      <c r="A269" s="298" t="str">
        <f>IF(J269&lt;&gt;"",1+MAX($A$18:A268),"")</f>
        <v/>
      </c>
      <c r="B269" s="355"/>
      <c r="C269" s="355"/>
      <c r="D269" s="355"/>
      <c r="E269" s="302"/>
      <c r="F269" s="313" t="s">
        <v>651</v>
      </c>
      <c r="G269" s="288"/>
      <c r="H269" s="336"/>
      <c r="I269" s="348"/>
      <c r="J269" s="349"/>
      <c r="K269" s="397"/>
      <c r="L269" s="340"/>
      <c r="M269" s="341"/>
      <c r="N269" s="342"/>
      <c r="O269" s="398"/>
      <c r="P269" s="344"/>
      <c r="Q269" s="345"/>
      <c r="R269" s="190"/>
      <c r="S269" s="311"/>
      <c r="X269" s="212"/>
    </row>
    <row r="270" spans="1:24" s="12" customFormat="1" ht="19.5" customHeight="1" x14ac:dyDescent="0.2">
      <c r="A270" s="298">
        <f>IF(J270&lt;&gt;"",1+MAX($A$18:A269),"")</f>
        <v>146</v>
      </c>
      <c r="B270" s="355" t="s">
        <v>662</v>
      </c>
      <c r="C270" s="355" t="s">
        <v>663</v>
      </c>
      <c r="D270" s="355" t="s">
        <v>42</v>
      </c>
      <c r="E270" s="302" t="s">
        <v>63</v>
      </c>
      <c r="F270" s="380" t="s">
        <v>857</v>
      </c>
      <c r="G270" s="288">
        <f>5040/1.33</f>
        <v>3789.4736842105262</v>
      </c>
      <c r="H270" s="196">
        <f>IF(VLOOKUP(J270,'HOURLY RATES'!B$116:C$124,2,0)=0,$J$3,VLOOKUP(J270,'HOURLY RATES'!B$116:C$124,2,0))</f>
        <v>0.05</v>
      </c>
      <c r="I270" s="251">
        <f t="shared" ref="I270:I271" si="235">(G270*(1+H270))</f>
        <v>3978.9473684210529</v>
      </c>
      <c r="J270" s="183" t="s">
        <v>19</v>
      </c>
      <c r="K270" s="368">
        <v>0.03</v>
      </c>
      <c r="L270" s="369">
        <f t="shared" ref="L270:L271" si="236">K270*I270</f>
        <v>119.36842105263159</v>
      </c>
      <c r="M270" s="185">
        <f>IF(VLOOKUP(E270,'HOURLY RATES'!C$6:D$105,2,0)=0,$E$3,VLOOKUP(E270,'HOURLY RATES'!C$6:D$105,2,0))</f>
        <v>21.16197</v>
      </c>
      <c r="N270" s="197">
        <f t="shared" ref="N270:N271" si="237">M270*L270</f>
        <v>2526.0709452631581</v>
      </c>
      <c r="O270" s="296">
        <v>0.54</v>
      </c>
      <c r="P270" s="188">
        <f t="shared" ref="P270:P271" si="238">O270*I270</f>
        <v>2148.6315789473688</v>
      </c>
      <c r="Q270" s="189">
        <f t="shared" ref="Q270:Q271" si="239">P270+N270</f>
        <v>4674.7025242105265</v>
      </c>
      <c r="R270" s="190"/>
      <c r="S270" s="311"/>
      <c r="X270" s="212"/>
    </row>
    <row r="271" spans="1:24" s="12" customFormat="1" ht="19.5" customHeight="1" x14ac:dyDescent="0.2">
      <c r="A271" s="298">
        <f>IF(J271&lt;&gt;"",1+MAX($A$18:A270),"")</f>
        <v>147</v>
      </c>
      <c r="B271" s="355" t="s">
        <v>662</v>
      </c>
      <c r="C271" s="355" t="s">
        <v>663</v>
      </c>
      <c r="D271" s="355" t="s">
        <v>42</v>
      </c>
      <c r="E271" s="302" t="s">
        <v>63</v>
      </c>
      <c r="F271" s="380" t="s">
        <v>856</v>
      </c>
      <c r="G271" s="288">
        <v>306.40700000000004</v>
      </c>
      <c r="H271" s="196">
        <f>IF(VLOOKUP(J271,'HOURLY RATES'!B$116:C$124,2,0)=0,$J$3,VLOOKUP(J271,'HOURLY RATES'!B$116:C$124,2,0))</f>
        <v>0.05</v>
      </c>
      <c r="I271" s="251">
        <f t="shared" si="235"/>
        <v>321.72735000000006</v>
      </c>
      <c r="J271" s="183" t="s">
        <v>19</v>
      </c>
      <c r="K271" s="368">
        <v>0.05</v>
      </c>
      <c r="L271" s="369">
        <f t="shared" si="236"/>
        <v>16.086367500000005</v>
      </c>
      <c r="M271" s="185">
        <f>IF(VLOOKUP(E271,'HOURLY RATES'!C$6:D$105,2,0)=0,$E$3,VLOOKUP(E271,'HOURLY RATES'!C$6:D$105,2,0))</f>
        <v>21.16197</v>
      </c>
      <c r="N271" s="197">
        <f t="shared" si="237"/>
        <v>340.41922644397511</v>
      </c>
      <c r="O271" s="296">
        <v>1.2</v>
      </c>
      <c r="P271" s="188">
        <f t="shared" si="238"/>
        <v>386.07282000000004</v>
      </c>
      <c r="Q271" s="189">
        <f t="shared" si="239"/>
        <v>726.49204644397514</v>
      </c>
      <c r="R271" s="190"/>
      <c r="S271" s="311"/>
      <c r="X271" s="212"/>
    </row>
    <row r="272" spans="1:24" s="12" customFormat="1" ht="19.5" customHeight="1" x14ac:dyDescent="0.2">
      <c r="A272" s="298" t="str">
        <f>IF(J272&lt;&gt;"",1+MAX($A$18:A271),"")</f>
        <v/>
      </c>
      <c r="B272" s="346"/>
      <c r="C272" s="346"/>
      <c r="D272" s="347"/>
      <c r="E272" s="302"/>
      <c r="F272" s="411" t="s">
        <v>909</v>
      </c>
      <c r="G272" s="312"/>
      <c r="H272" s="336"/>
      <c r="I272" s="348"/>
      <c r="J272" s="349"/>
      <c r="K272" s="397"/>
      <c r="L272" s="340"/>
      <c r="M272" s="341"/>
      <c r="N272" s="342"/>
      <c r="O272" s="398"/>
      <c r="P272" s="344"/>
      <c r="Q272" s="345"/>
      <c r="R272" s="190"/>
      <c r="S272" s="311"/>
      <c r="X272" s="212"/>
    </row>
    <row r="273" spans="1:24" s="12" customFormat="1" ht="19.5" customHeight="1" x14ac:dyDescent="0.2">
      <c r="A273" s="298" t="str">
        <f>IF(J273&lt;&gt;"",1+MAX($A$18:A272),"")</f>
        <v/>
      </c>
      <c r="B273" s="355"/>
      <c r="C273" s="355"/>
      <c r="D273" s="355"/>
      <c r="E273" s="302"/>
      <c r="F273" s="314"/>
      <c r="G273" s="288"/>
      <c r="H273" s="336"/>
      <c r="I273" s="348"/>
      <c r="J273" s="349"/>
      <c r="K273" s="397"/>
      <c r="L273" s="340"/>
      <c r="M273" s="341"/>
      <c r="N273" s="342"/>
      <c r="O273" s="398"/>
      <c r="P273" s="344"/>
      <c r="Q273" s="345"/>
      <c r="R273" s="190"/>
      <c r="S273" s="311"/>
      <c r="X273" s="212"/>
    </row>
    <row r="274" spans="1:24" s="12" customFormat="1" ht="19.5" customHeight="1" x14ac:dyDescent="0.2">
      <c r="A274" s="298" t="str">
        <f>IF(J274&lt;&gt;"",1+MAX($A$18:A273),"")</f>
        <v/>
      </c>
      <c r="B274" s="355"/>
      <c r="C274" s="355"/>
      <c r="D274" s="355"/>
      <c r="E274" s="302"/>
      <c r="F274" s="313" t="s">
        <v>55</v>
      </c>
      <c r="G274" s="288"/>
      <c r="H274" s="336"/>
      <c r="I274" s="348"/>
      <c r="J274" s="349"/>
      <c r="K274" s="397"/>
      <c r="L274" s="340"/>
      <c r="M274" s="341"/>
      <c r="N274" s="342"/>
      <c r="O274" s="398"/>
      <c r="P274" s="344"/>
      <c r="Q274" s="345"/>
      <c r="R274" s="190"/>
      <c r="S274" s="311"/>
      <c r="X274" s="212"/>
    </row>
    <row r="275" spans="1:24" s="12" customFormat="1" ht="19.5" customHeight="1" x14ac:dyDescent="0.2">
      <c r="A275" s="298">
        <f>IF(J275&lt;&gt;"",1+MAX($A$18:A274),"")</f>
        <v>148</v>
      </c>
      <c r="B275" s="355" t="s">
        <v>662</v>
      </c>
      <c r="C275" s="355"/>
      <c r="D275" s="355" t="s">
        <v>42</v>
      </c>
      <c r="E275" s="302" t="s">
        <v>55</v>
      </c>
      <c r="F275" s="314" t="s">
        <v>926</v>
      </c>
      <c r="G275" s="367">
        <f>294.57+49</f>
        <v>343.57</v>
      </c>
      <c r="H275" s="196">
        <f>IF(VLOOKUP(J275,'HOURLY RATES'!B$116:C$124,2,0)=0,$J$3,VLOOKUP(J275,'HOURLY RATES'!B$116:C$124,2,0))</f>
        <v>0.05</v>
      </c>
      <c r="I275" s="251">
        <f t="shared" ref="I275:I276" si="240">(G275*(1+H275))</f>
        <v>360.74850000000004</v>
      </c>
      <c r="J275" s="183" t="s">
        <v>17</v>
      </c>
      <c r="K275" s="368">
        <v>1.2E-2</v>
      </c>
      <c r="L275" s="369">
        <f t="shared" ref="L275:L276" si="241">K275*I275</f>
        <v>4.3289820000000008</v>
      </c>
      <c r="M275" s="185">
        <f>IF(VLOOKUP(E275,'HOURLY RATES'!C$6:D$105,2,0)=0,$E$3,VLOOKUP(E275,'HOURLY RATES'!C$6:D$105,2,0))</f>
        <v>21.16197</v>
      </c>
      <c r="N275" s="197">
        <f t="shared" ref="N275:N276" si="242">M275*L275</f>
        <v>91.60978721454002</v>
      </c>
      <c r="O275" s="296">
        <f>103.35/96</f>
        <v>1.0765624999999999</v>
      </c>
      <c r="P275" s="188">
        <f t="shared" ref="P275:P276" si="243">O275*I275</f>
        <v>388.36830703124997</v>
      </c>
      <c r="Q275" s="189">
        <f t="shared" ref="Q275:Q276" si="244">P275+N275</f>
        <v>479.97809424578998</v>
      </c>
      <c r="R275" s="190"/>
      <c r="S275" s="311"/>
      <c r="X275" s="212"/>
    </row>
    <row r="276" spans="1:24" s="12" customFormat="1" ht="19.5" customHeight="1" x14ac:dyDescent="0.2">
      <c r="A276" s="298">
        <f>IF(J276&lt;&gt;"",1+MAX($A$18:A275),"")</f>
        <v>149</v>
      </c>
      <c r="B276" s="355" t="s">
        <v>662</v>
      </c>
      <c r="C276" s="355" t="s">
        <v>663</v>
      </c>
      <c r="D276" s="355" t="s">
        <v>42</v>
      </c>
      <c r="E276" s="302" t="s">
        <v>55</v>
      </c>
      <c r="F276" s="314" t="s">
        <v>652</v>
      </c>
      <c r="G276" s="288">
        <v>5150</v>
      </c>
      <c r="H276" s="196">
        <f>IF(VLOOKUP(J276,'HOURLY RATES'!B$116:C$124,2,0)=0,$J$3,VLOOKUP(J276,'HOURLY RATES'!B$116:C$124,2,0))</f>
        <v>0.05</v>
      </c>
      <c r="I276" s="251">
        <f t="shared" si="240"/>
        <v>5407.5</v>
      </c>
      <c r="J276" s="183" t="s">
        <v>17</v>
      </c>
      <c r="K276" s="397">
        <v>1.2E-2</v>
      </c>
      <c r="L276" s="340">
        <f t="shared" si="241"/>
        <v>64.89</v>
      </c>
      <c r="M276" s="341">
        <f>IF(VLOOKUP(E276,'HOURLY RATES'!C$6:D$105,2,0)=0,$E$3,VLOOKUP(E276,'HOURLY RATES'!C$6:D$105,2,0))</f>
        <v>21.16197</v>
      </c>
      <c r="N276" s="342">
        <f t="shared" si="242"/>
        <v>1373.2002333</v>
      </c>
      <c r="O276" s="398">
        <f>1584.94/1536</f>
        <v>1.0318619791666668</v>
      </c>
      <c r="P276" s="188">
        <f t="shared" si="243"/>
        <v>5579.7936523437502</v>
      </c>
      <c r="Q276" s="189">
        <f t="shared" si="244"/>
        <v>6952.9938856437502</v>
      </c>
      <c r="R276" s="190"/>
      <c r="S276" s="311"/>
      <c r="X276" s="212"/>
    </row>
    <row r="277" spans="1:24" s="12" customFormat="1" ht="19.5" customHeight="1" x14ac:dyDescent="0.2">
      <c r="A277" s="298">
        <f>IF(J277&lt;&gt;"",1+MAX($A$18:A276),"")</f>
        <v>150</v>
      </c>
      <c r="B277" s="355" t="s">
        <v>662</v>
      </c>
      <c r="C277" s="355" t="s">
        <v>663</v>
      </c>
      <c r="D277" s="355" t="s">
        <v>42</v>
      </c>
      <c r="E277" s="302" t="s">
        <v>55</v>
      </c>
      <c r="F277" s="380" t="s">
        <v>855</v>
      </c>
      <c r="G277" s="288">
        <f>(23.55*8.34)</f>
        <v>196.40700000000001</v>
      </c>
      <c r="H277" s="196">
        <f>IF(VLOOKUP(J277,'HOURLY RATES'!B$116:C$124,2,0)=0,$J$3,VLOOKUP(J277,'HOURLY RATES'!B$116:C$124,2,0))</f>
        <v>0.05</v>
      </c>
      <c r="I277" s="251">
        <f t="shared" ref="I277" si="245">(G277*(1+H277))</f>
        <v>206.22735000000003</v>
      </c>
      <c r="J277" s="183" t="s">
        <v>17</v>
      </c>
      <c r="K277" s="397">
        <v>1.4999999999999999E-2</v>
      </c>
      <c r="L277" s="340">
        <f t="shared" ref="L277" si="246">K277*I277</f>
        <v>3.0934102500000003</v>
      </c>
      <c r="M277" s="341">
        <f>IF(VLOOKUP(E277,'HOURLY RATES'!C$6:D$105,2,0)=0,$E$3,VLOOKUP(E277,'HOURLY RATES'!C$6:D$105,2,0))</f>
        <v>21.16197</v>
      </c>
      <c r="N277" s="342">
        <f t="shared" ref="N277" si="247">M277*L277</f>
        <v>65.462654908192505</v>
      </c>
      <c r="O277" s="398">
        <v>1.65</v>
      </c>
      <c r="P277" s="188">
        <f t="shared" ref="P277" si="248">O277*I277</f>
        <v>340.27512750000005</v>
      </c>
      <c r="Q277" s="189">
        <f t="shared" ref="Q277" si="249">P277+N277</f>
        <v>405.73778240819257</v>
      </c>
      <c r="R277" s="190"/>
      <c r="S277" s="311"/>
      <c r="X277" s="212"/>
    </row>
    <row r="278" spans="1:24" s="12" customFormat="1" ht="19.5" customHeight="1" x14ac:dyDescent="0.2">
      <c r="A278" s="298">
        <f>IF(J278&lt;&gt;"",1+MAX($A$18:A277),"")</f>
        <v>151</v>
      </c>
      <c r="B278" s="346" t="s">
        <v>757</v>
      </c>
      <c r="C278" s="346" t="s">
        <v>759</v>
      </c>
      <c r="D278" s="355" t="s">
        <v>42</v>
      </c>
      <c r="E278" s="302" t="s">
        <v>55</v>
      </c>
      <c r="F278" s="357" t="s">
        <v>743</v>
      </c>
      <c r="G278" s="373">
        <v>1659</v>
      </c>
      <c r="H278" s="196">
        <f>IF(VLOOKUP(J278,'HOURLY RATES'!B$116:C$124,2,0)=0,$J$3,VLOOKUP(J278,'HOURLY RATES'!B$116:C$124,2,0))</f>
        <v>0.05</v>
      </c>
      <c r="I278" s="251">
        <f>(G278*(1+H278))</f>
        <v>1741.95</v>
      </c>
      <c r="J278" s="183" t="s">
        <v>17</v>
      </c>
      <c r="K278" s="368">
        <v>1.4999999999999999E-2</v>
      </c>
      <c r="L278" s="369">
        <f>K278*I278</f>
        <v>26.129249999999999</v>
      </c>
      <c r="M278" s="185">
        <f>IF(VLOOKUP(E278,'HOURLY RATES'!C$6:D$105,2,0)=0,$E$3,VLOOKUP(E278,'HOURLY RATES'!C$6:D$105,2,0))</f>
        <v>21.16197</v>
      </c>
      <c r="N278" s="197">
        <f>M278*L278</f>
        <v>552.94640462249993</v>
      </c>
      <c r="O278" s="296">
        <f>3390.15/4000*1.1</f>
        <v>0.93229125000000013</v>
      </c>
      <c r="P278" s="188">
        <f>O278*I278</f>
        <v>1624.0047429375002</v>
      </c>
      <c r="Q278" s="189">
        <f>P278+N278</f>
        <v>2176.9511475600002</v>
      </c>
      <c r="R278" s="190"/>
      <c r="S278" s="311"/>
      <c r="X278" s="212"/>
    </row>
    <row r="279" spans="1:24" s="12" customFormat="1" ht="19.5" customHeight="1" x14ac:dyDescent="0.2">
      <c r="A279" s="298" t="str">
        <f>IF(J279&lt;&gt;"",1+MAX($A$18:A278),"")</f>
        <v/>
      </c>
      <c r="B279" s="355"/>
      <c r="C279" s="355"/>
      <c r="D279" s="355"/>
      <c r="E279" s="302"/>
      <c r="F279" s="314"/>
      <c r="G279" s="288"/>
      <c r="H279" s="336"/>
      <c r="I279" s="348"/>
      <c r="J279" s="349"/>
      <c r="K279" s="368"/>
      <c r="L279" s="369"/>
      <c r="M279" s="185"/>
      <c r="N279" s="197"/>
      <c r="O279" s="296"/>
      <c r="P279" s="344"/>
      <c r="Q279" s="345"/>
      <c r="R279" s="190"/>
      <c r="S279" s="311"/>
      <c r="X279" s="212"/>
    </row>
    <row r="280" spans="1:24" s="12" customFormat="1" ht="19.5" customHeight="1" x14ac:dyDescent="0.2">
      <c r="A280" s="298" t="str">
        <f>IF(J280&lt;&gt;"",1+MAX($A$18:A279),"")</f>
        <v/>
      </c>
      <c r="B280" s="355"/>
      <c r="C280" s="355"/>
      <c r="D280" s="355"/>
      <c r="E280" s="302"/>
      <c r="F280" s="313" t="s">
        <v>653</v>
      </c>
      <c r="G280" s="288"/>
      <c r="H280" s="336"/>
      <c r="I280" s="348"/>
      <c r="J280" s="349"/>
      <c r="K280" s="397"/>
      <c r="L280" s="340"/>
      <c r="M280" s="341"/>
      <c r="N280" s="342"/>
      <c r="O280" s="398"/>
      <c r="P280" s="344"/>
      <c r="Q280" s="345"/>
      <c r="R280" s="190"/>
      <c r="S280" s="311"/>
      <c r="X280" s="212"/>
    </row>
    <row r="281" spans="1:24" s="12" customFormat="1" ht="19.5" customHeight="1" x14ac:dyDescent="0.2">
      <c r="A281" s="298">
        <f>IF(J281&lt;&gt;"",1+MAX($A$18:A280),"")</f>
        <v>152</v>
      </c>
      <c r="B281" s="355" t="s">
        <v>662</v>
      </c>
      <c r="C281" s="355"/>
      <c r="D281" s="355" t="s">
        <v>42</v>
      </c>
      <c r="E281" s="302" t="s">
        <v>243</v>
      </c>
      <c r="F281" s="314" t="s">
        <v>654</v>
      </c>
      <c r="G281" s="288">
        <f>294.57+49</f>
        <v>343.57</v>
      </c>
      <c r="H281" s="196">
        <f>IF(VLOOKUP(J281,'HOURLY RATES'!B$116:C$124,2,0)=0,$J$3,VLOOKUP(J281,'HOURLY RATES'!B$116:C$124,2,0))</f>
        <v>0.05</v>
      </c>
      <c r="I281" s="251">
        <f t="shared" ref="I281:I282" si="250">(G281*(1+H281))</f>
        <v>360.74850000000004</v>
      </c>
      <c r="J281" s="183" t="s">
        <v>17</v>
      </c>
      <c r="K281" s="368">
        <v>4.0000000000000001E-3</v>
      </c>
      <c r="L281" s="369">
        <f t="shared" ref="L281:L282" si="251">K281*I281</f>
        <v>1.4429940000000001</v>
      </c>
      <c r="M281" s="185">
        <f>IF(VLOOKUP(E281,'HOURLY RATES'!C$6:D$105,2,0)=0,$E$3,VLOOKUP(E281,'HOURLY RATES'!C$6:D$105,2,0))</f>
        <v>36.0703125</v>
      </c>
      <c r="N281" s="197">
        <f t="shared" ref="N281:N282" si="252">M281*L281</f>
        <v>52.049244515625006</v>
      </c>
      <c r="O281" s="408">
        <v>0.17</v>
      </c>
      <c r="P281" s="188">
        <f t="shared" ref="P281:P282" si="253">O281*I281</f>
        <v>61.327245000000012</v>
      </c>
      <c r="Q281" s="189">
        <f t="shared" ref="Q281:Q282" si="254">P281+N281</f>
        <v>113.37648951562502</v>
      </c>
      <c r="R281" s="190"/>
      <c r="S281" s="311"/>
      <c r="X281" s="212"/>
    </row>
    <row r="282" spans="1:24" s="12" customFormat="1" ht="19.5" customHeight="1" x14ac:dyDescent="0.2">
      <c r="A282" s="298">
        <f>IF(J282&lt;&gt;"",1+MAX($A$18:A281),"")</f>
        <v>153</v>
      </c>
      <c r="B282" s="355" t="s">
        <v>662</v>
      </c>
      <c r="C282" s="355" t="s">
        <v>663</v>
      </c>
      <c r="D282" s="355" t="s">
        <v>42</v>
      </c>
      <c r="E282" s="302" t="s">
        <v>243</v>
      </c>
      <c r="F282" s="314" t="s">
        <v>655</v>
      </c>
      <c r="G282" s="288">
        <f>5150+(23.55*8.34)</f>
        <v>5346.4070000000002</v>
      </c>
      <c r="H282" s="196">
        <f>IF(VLOOKUP(J282,'HOURLY RATES'!B$116:C$124,2,0)=0,$J$3,VLOOKUP(J282,'HOURLY RATES'!B$116:C$124,2,0))</f>
        <v>0.05</v>
      </c>
      <c r="I282" s="251">
        <f t="shared" si="250"/>
        <v>5613.7273500000001</v>
      </c>
      <c r="J282" s="183" t="s">
        <v>17</v>
      </c>
      <c r="K282" s="368">
        <v>4.0000000000000001E-3</v>
      </c>
      <c r="L282" s="369">
        <f t="shared" si="251"/>
        <v>22.454909400000002</v>
      </c>
      <c r="M282" s="185">
        <f>IF(VLOOKUP(E282,'HOURLY RATES'!C$6:D$105,2,0)=0,$E$3,VLOOKUP(E282,'HOURLY RATES'!C$6:D$105,2,0))</f>
        <v>36.0703125</v>
      </c>
      <c r="N282" s="197">
        <f t="shared" si="252"/>
        <v>809.95559921718757</v>
      </c>
      <c r="O282" s="408">
        <v>0.23230000000000001</v>
      </c>
      <c r="P282" s="188">
        <f t="shared" si="253"/>
        <v>1304.068863405</v>
      </c>
      <c r="Q282" s="189">
        <f t="shared" si="254"/>
        <v>2114.0244626221875</v>
      </c>
      <c r="R282" s="190"/>
      <c r="S282" s="311"/>
      <c r="X282" s="212"/>
    </row>
    <row r="283" spans="1:24" s="12" customFormat="1" ht="19.5" customHeight="1" x14ac:dyDescent="0.2">
      <c r="A283" s="298" t="str">
        <f>IF(J283&lt;&gt;"",1+MAX($A$18:A282),"")</f>
        <v/>
      </c>
      <c r="B283" s="355"/>
      <c r="C283" s="355"/>
      <c r="D283" s="355"/>
      <c r="E283" s="302"/>
      <c r="F283" s="314"/>
      <c r="G283" s="288"/>
      <c r="H283" s="336"/>
      <c r="I283" s="348"/>
      <c r="J283" s="349"/>
      <c r="K283" s="397"/>
      <c r="L283" s="340"/>
      <c r="M283" s="341"/>
      <c r="N283" s="342"/>
      <c r="O283" s="398"/>
      <c r="P283" s="344"/>
      <c r="Q283" s="345"/>
      <c r="R283" s="190"/>
      <c r="S283" s="311"/>
      <c r="X283" s="212"/>
    </row>
    <row r="284" spans="1:24" s="12" customFormat="1" ht="19.5" customHeight="1" x14ac:dyDescent="0.2">
      <c r="A284" s="298" t="str">
        <f>IF(J284&lt;&gt;"",1+MAX($A$18:A283),"")</f>
        <v/>
      </c>
      <c r="B284" s="355"/>
      <c r="C284" s="355"/>
      <c r="D284" s="355"/>
      <c r="E284" s="302"/>
      <c r="F284" s="313" t="s">
        <v>656</v>
      </c>
      <c r="G284" s="288"/>
      <c r="H284" s="336"/>
      <c r="I284" s="348"/>
      <c r="J284" s="349"/>
      <c r="K284" s="397"/>
      <c r="L284" s="340"/>
      <c r="M284" s="341"/>
      <c r="N284" s="342"/>
      <c r="O284" s="398"/>
      <c r="P284" s="344"/>
      <c r="Q284" s="345"/>
      <c r="R284" s="190"/>
      <c r="S284" s="311"/>
      <c r="X284" s="212"/>
    </row>
    <row r="285" spans="1:24" s="12" customFormat="1" ht="19.5" customHeight="1" x14ac:dyDescent="0.2">
      <c r="A285" s="298">
        <f>IF(J285&lt;&gt;"",1+MAX($A$18:A284),"")</f>
        <v>154</v>
      </c>
      <c r="B285" s="355" t="s">
        <v>420</v>
      </c>
      <c r="C285" s="355" t="s">
        <v>664</v>
      </c>
      <c r="D285" s="355" t="s">
        <v>42</v>
      </c>
      <c r="E285" s="302" t="s">
        <v>243</v>
      </c>
      <c r="F285" s="314" t="s">
        <v>657</v>
      </c>
      <c r="G285" s="288">
        <f>28.32</f>
        <v>28.32</v>
      </c>
      <c r="H285" s="196">
        <f>IF(VLOOKUP(J285,'HOURLY RATES'!B$116:C$124,2,0)=0,$J$3,VLOOKUP(J285,'HOURLY RATES'!B$116:C$124,2,0))</f>
        <v>0.05</v>
      </c>
      <c r="I285" s="251">
        <f t="shared" ref="I285:I288" si="255">(G285*(1+H285))</f>
        <v>29.736000000000001</v>
      </c>
      <c r="J285" s="183" t="s">
        <v>19</v>
      </c>
      <c r="K285" s="368">
        <v>4.3999999999999997E-2</v>
      </c>
      <c r="L285" s="369">
        <f t="shared" ref="L285:L288" si="256">K285*I285</f>
        <v>1.308384</v>
      </c>
      <c r="M285" s="185">
        <f>IF(VLOOKUP(E285,'HOURLY RATES'!C$6:D$105,2,0)=0,$E$3,VLOOKUP(E285,'HOURLY RATES'!C$6:D$105,2,0))</f>
        <v>36.0703125</v>
      </c>
      <c r="N285" s="197">
        <f t="shared" ref="N285:N288" si="257">M285*L285</f>
        <v>47.193819750000003</v>
      </c>
      <c r="O285" s="296">
        <v>3.2</v>
      </c>
      <c r="P285" s="188">
        <f t="shared" ref="P285:P288" si="258">O285*I285</f>
        <v>95.155200000000008</v>
      </c>
      <c r="Q285" s="189">
        <f t="shared" ref="Q285:Q288" si="259">P285+N285</f>
        <v>142.34901975000002</v>
      </c>
      <c r="R285" s="190"/>
      <c r="S285" s="311"/>
      <c r="X285" s="212"/>
    </row>
    <row r="286" spans="1:24" s="12" customFormat="1" ht="30.6" customHeight="1" x14ac:dyDescent="0.2">
      <c r="A286" s="298">
        <f>IF(J286&lt;&gt;"",1+MAX($A$18:A285),"")</f>
        <v>155</v>
      </c>
      <c r="B286" s="355" t="s">
        <v>420</v>
      </c>
      <c r="C286" s="355" t="s">
        <v>664</v>
      </c>
      <c r="D286" s="355" t="s">
        <v>42</v>
      </c>
      <c r="E286" s="302" t="s">
        <v>243</v>
      </c>
      <c r="F286" s="314" t="s">
        <v>658</v>
      </c>
      <c r="G286" s="288">
        <f>28.32</f>
        <v>28.32</v>
      </c>
      <c r="H286" s="196">
        <f>IF(VLOOKUP(J286,'HOURLY RATES'!B$116:C$124,2,0)=0,$J$3,VLOOKUP(J286,'HOURLY RATES'!B$116:C$124,2,0))</f>
        <v>0.05</v>
      </c>
      <c r="I286" s="251">
        <f t="shared" si="255"/>
        <v>29.736000000000001</v>
      </c>
      <c r="J286" s="183" t="s">
        <v>19</v>
      </c>
      <c r="K286" s="368">
        <v>3.4000000000000002E-2</v>
      </c>
      <c r="L286" s="369">
        <f t="shared" si="256"/>
        <v>1.0110240000000001</v>
      </c>
      <c r="M286" s="185">
        <f>IF(VLOOKUP(E286,'HOURLY RATES'!C$6:D$105,2,0)=0,$E$3,VLOOKUP(E286,'HOURLY RATES'!C$6:D$105,2,0))</f>
        <v>36.0703125</v>
      </c>
      <c r="N286" s="197">
        <f t="shared" si="257"/>
        <v>36.467951625000005</v>
      </c>
      <c r="O286" s="296">
        <f>1.39*2.625/1.5</f>
        <v>2.4324999999999997</v>
      </c>
      <c r="P286" s="188">
        <f t="shared" si="258"/>
        <v>72.332819999999998</v>
      </c>
      <c r="Q286" s="189">
        <f t="shared" si="259"/>
        <v>108.80077162500001</v>
      </c>
      <c r="R286" s="190"/>
      <c r="S286" s="311"/>
      <c r="X286" s="212"/>
    </row>
    <row r="287" spans="1:24" s="12" customFormat="1" ht="19.5" customHeight="1" x14ac:dyDescent="0.2">
      <c r="A287" s="298">
        <f>IF(J287&lt;&gt;"",1+MAX($A$18:A286),"")</f>
        <v>156</v>
      </c>
      <c r="B287" s="355" t="s">
        <v>420</v>
      </c>
      <c r="C287" s="355" t="s">
        <v>665</v>
      </c>
      <c r="D287" s="355" t="s">
        <v>42</v>
      </c>
      <c r="E287" s="302" t="s">
        <v>243</v>
      </c>
      <c r="F287" s="314" t="s">
        <v>659</v>
      </c>
      <c r="G287" s="288">
        <f>162.43+23.55</f>
        <v>185.98000000000002</v>
      </c>
      <c r="H287" s="196">
        <f>IF(VLOOKUP(J287,'HOURLY RATES'!B$116:C$124,2,0)=0,$J$3,VLOOKUP(J287,'HOURLY RATES'!B$116:C$124,2,0))</f>
        <v>0.05</v>
      </c>
      <c r="I287" s="251">
        <f t="shared" si="255"/>
        <v>195.27900000000002</v>
      </c>
      <c r="J287" s="183" t="s">
        <v>19</v>
      </c>
      <c r="K287" s="368">
        <v>4.2000000000000003E-2</v>
      </c>
      <c r="L287" s="369">
        <f t="shared" si="256"/>
        <v>8.2017180000000014</v>
      </c>
      <c r="M287" s="185">
        <f>IF(VLOOKUP(E287,'HOURLY RATES'!C$6:D$105,2,0)=0,$E$3,VLOOKUP(E287,'HOURLY RATES'!C$6:D$105,2,0))</f>
        <v>36.0703125</v>
      </c>
      <c r="N287" s="197">
        <f t="shared" si="257"/>
        <v>295.83853129687503</v>
      </c>
      <c r="O287" s="296">
        <f>3.99*1/1.33</f>
        <v>3</v>
      </c>
      <c r="P287" s="188">
        <f t="shared" si="258"/>
        <v>585.8370000000001</v>
      </c>
      <c r="Q287" s="189">
        <f t="shared" si="259"/>
        <v>881.67553129687508</v>
      </c>
      <c r="R287" s="190"/>
      <c r="S287" s="311"/>
      <c r="X287" s="212"/>
    </row>
    <row r="288" spans="1:24" s="12" customFormat="1" ht="19.5" customHeight="1" x14ac:dyDescent="0.2">
      <c r="A288" s="298">
        <f>IF(J288&lt;&gt;"",1+MAX($A$18:A287),"")</f>
        <v>157</v>
      </c>
      <c r="B288" s="355" t="s">
        <v>420</v>
      </c>
      <c r="C288" s="355" t="s">
        <v>665</v>
      </c>
      <c r="D288" s="355" t="s">
        <v>42</v>
      </c>
      <c r="E288" s="302" t="s">
        <v>220</v>
      </c>
      <c r="F288" s="314" t="s">
        <v>660</v>
      </c>
      <c r="G288" s="288">
        <f>(162+23.55)*2</f>
        <v>371.1</v>
      </c>
      <c r="H288" s="196">
        <f>IF(VLOOKUP(J288,'HOURLY RATES'!B$116:C$124,2,0)=0,$J$3,VLOOKUP(J288,'HOURLY RATES'!B$116:C$124,2,0))</f>
        <v>0.05</v>
      </c>
      <c r="I288" s="251">
        <f t="shared" si="255"/>
        <v>389.65500000000003</v>
      </c>
      <c r="J288" s="183" t="s">
        <v>19</v>
      </c>
      <c r="K288" s="368">
        <v>1.6E-2</v>
      </c>
      <c r="L288" s="369">
        <f t="shared" si="256"/>
        <v>6.2344800000000005</v>
      </c>
      <c r="M288" s="185">
        <f>IF(VLOOKUP(E288,'HOURLY RATES'!C$6:D$105,2,0)=0,$E$3,VLOOKUP(E288,'HOURLY RATES'!C$6:D$105,2,0))</f>
        <v>23.2578</v>
      </c>
      <c r="N288" s="197">
        <f t="shared" si="257"/>
        <v>145.000288944</v>
      </c>
      <c r="O288" s="296">
        <v>0.05</v>
      </c>
      <c r="P288" s="188">
        <f t="shared" si="258"/>
        <v>19.482750000000003</v>
      </c>
      <c r="Q288" s="189">
        <f t="shared" si="259"/>
        <v>164.48303894400001</v>
      </c>
      <c r="R288" s="190"/>
      <c r="S288" s="311"/>
      <c r="X288" s="212"/>
    </row>
    <row r="289" spans="1:24" s="12" customFormat="1" ht="19.5" customHeight="1" x14ac:dyDescent="0.2">
      <c r="A289" s="298" t="str">
        <f>IF(J289&lt;&gt;"",1+MAX($A$18:A288),"")</f>
        <v/>
      </c>
      <c r="B289" s="355"/>
      <c r="C289" s="355"/>
      <c r="D289" s="355"/>
      <c r="E289" s="302"/>
      <c r="F289" s="314"/>
      <c r="G289" s="288"/>
      <c r="H289" s="336"/>
      <c r="I289" s="348"/>
      <c r="J289" s="349"/>
      <c r="K289" s="397"/>
      <c r="L289" s="340"/>
      <c r="M289" s="341"/>
      <c r="N289" s="342"/>
      <c r="O289" s="398"/>
      <c r="P289" s="344"/>
      <c r="Q289" s="345"/>
      <c r="R289" s="190"/>
      <c r="S289" s="311"/>
      <c r="X289" s="212"/>
    </row>
    <row r="290" spans="1:24" s="12" customFormat="1" x14ac:dyDescent="0.2">
      <c r="A290" s="298">
        <f>IF(J290&lt;&gt;"",1+MAX($A$18:A289),"")</f>
        <v>158</v>
      </c>
      <c r="B290" s="355" t="s">
        <v>662</v>
      </c>
      <c r="C290" s="355"/>
      <c r="D290" s="355" t="s">
        <v>42</v>
      </c>
      <c r="E290" s="302" t="s">
        <v>53</v>
      </c>
      <c r="F290" s="357" t="s">
        <v>661</v>
      </c>
      <c r="G290" s="288">
        <v>6485</v>
      </c>
      <c r="H290" s="196">
        <f>IF(VLOOKUP(J290,'HOURLY RATES'!B$116:C$124,2,0)=0,$J$3,VLOOKUP(J290,'HOURLY RATES'!B$116:C$124,2,0))</f>
        <v>0.05</v>
      </c>
      <c r="I290" s="251">
        <f t="shared" ref="I290" si="260">(G290*(1+H290))</f>
        <v>6809.25</v>
      </c>
      <c r="J290" s="183" t="s">
        <v>17</v>
      </c>
      <c r="K290" s="368">
        <v>0.01</v>
      </c>
      <c r="L290" s="369">
        <f t="shared" ref="L290" si="261">K290*I290</f>
        <v>68.092500000000001</v>
      </c>
      <c r="M290" s="185">
        <f>IF(VLOOKUP(E290,'HOURLY RATES'!C$6:D$105,2,0)=0,$E$3,VLOOKUP(E290,'HOURLY RATES'!C$6:D$105,2,0))</f>
        <v>39.777586500000005</v>
      </c>
      <c r="N290" s="197">
        <f t="shared" ref="N290" si="262">M290*L290</f>
        <v>2708.5553087512503</v>
      </c>
      <c r="O290" s="296"/>
      <c r="P290" s="188">
        <f t="shared" ref="P290" si="263">O290*I290</f>
        <v>0</v>
      </c>
      <c r="Q290" s="189">
        <f t="shared" ref="Q290" si="264">P290+N290</f>
        <v>2708.5553087512503</v>
      </c>
      <c r="R290" s="190"/>
      <c r="S290" s="311"/>
      <c r="X290" s="212"/>
    </row>
    <row r="291" spans="1:24" s="12" customFormat="1" ht="16.5" thickBot="1" x14ac:dyDescent="0.25">
      <c r="A291" s="214" t="str">
        <f>IF(J291&lt;&gt;"",1+MAX($A$18:A290),"")</f>
        <v/>
      </c>
      <c r="B291" s="215"/>
      <c r="C291" s="215"/>
      <c r="D291" s="215"/>
      <c r="E291" s="215"/>
      <c r="F291" s="216"/>
      <c r="G291" s="217"/>
      <c r="H291" s="218"/>
      <c r="I291" s="219"/>
      <c r="J291" s="220"/>
      <c r="K291" s="221"/>
      <c r="L291" s="222"/>
      <c r="M291" s="223"/>
      <c r="N291" s="224"/>
      <c r="O291" s="225"/>
      <c r="P291" s="226"/>
      <c r="Q291" s="227"/>
      <c r="R291" s="228"/>
      <c r="X291" s="212"/>
    </row>
    <row r="292" spans="1:24" s="12" customFormat="1" ht="20.100000000000001" customHeight="1" x14ac:dyDescent="0.2">
      <c r="A292" s="479" t="str">
        <f>IF(J292&lt;&gt;"",1+MAX($A$18:A291),"")</f>
        <v/>
      </c>
      <c r="B292" s="480"/>
      <c r="C292" s="480"/>
      <c r="D292" s="485" t="s">
        <v>26</v>
      </c>
      <c r="E292" s="485"/>
      <c r="F292" s="486" t="s">
        <v>28</v>
      </c>
      <c r="G292" s="481"/>
      <c r="H292" s="482"/>
      <c r="I292" s="483"/>
      <c r="J292" s="483"/>
      <c r="K292" s="482"/>
      <c r="L292" s="482"/>
      <c r="M292" s="482"/>
      <c r="N292" s="482"/>
      <c r="O292" s="482"/>
      <c r="P292" s="482"/>
      <c r="Q292" s="482"/>
      <c r="R292" s="484">
        <f>SUM(Q293:Q332)</f>
        <v>57490.885135159253</v>
      </c>
      <c r="X292" s="212"/>
    </row>
    <row r="293" spans="1:24" s="12" customFormat="1" x14ac:dyDescent="0.2">
      <c r="A293" s="287" t="str">
        <f>IF(J293&lt;&gt;"",1+MAX($A$18:A292),"")</f>
        <v/>
      </c>
      <c r="B293" s="301"/>
      <c r="C293" s="301"/>
      <c r="D293" s="201"/>
      <c r="E293" s="192"/>
      <c r="F293" s="207" t="s">
        <v>27</v>
      </c>
      <c r="G293" s="288"/>
      <c r="H293" s="289"/>
      <c r="I293" s="290"/>
      <c r="J293" s="291"/>
      <c r="K293" s="292"/>
      <c r="L293" s="293"/>
      <c r="M293" s="294"/>
      <c r="N293" s="295"/>
      <c r="O293" s="296"/>
      <c r="P293" s="295"/>
      <c r="Q293" s="297"/>
      <c r="R293" s="304"/>
      <c r="X293" s="212"/>
    </row>
    <row r="294" spans="1:24" s="12" customFormat="1" x14ac:dyDescent="0.2">
      <c r="A294" s="287" t="str">
        <f>IF(J294&lt;&gt;"",1+MAX($A$18:A293),"")</f>
        <v/>
      </c>
      <c r="B294" s="301"/>
      <c r="C294" s="301"/>
      <c r="D294" s="201"/>
      <c r="E294" s="192"/>
      <c r="F294" s="313" t="s">
        <v>293</v>
      </c>
      <c r="G294" s="288"/>
      <c r="H294" s="289"/>
      <c r="I294" s="290"/>
      <c r="J294" s="291"/>
      <c r="K294" s="292"/>
      <c r="L294" s="293"/>
      <c r="M294" s="294"/>
      <c r="N294" s="295"/>
      <c r="O294" s="296"/>
      <c r="P294" s="295"/>
      <c r="Q294" s="297"/>
      <c r="R294" s="304"/>
      <c r="X294" s="212"/>
    </row>
    <row r="295" spans="1:24" s="12" customFormat="1" x14ac:dyDescent="0.25">
      <c r="A295" s="200">
        <f>IF(J295&lt;&gt;"",1+MAX($A$18:A294),"")</f>
        <v>159</v>
      </c>
      <c r="B295" s="299" t="s">
        <v>427</v>
      </c>
      <c r="C295" s="299" t="s">
        <v>516</v>
      </c>
      <c r="D295" s="208" t="s">
        <v>26</v>
      </c>
      <c r="E295" s="192" t="s">
        <v>139</v>
      </c>
      <c r="F295" s="330" t="s">
        <v>501</v>
      </c>
      <c r="G295" s="312">
        <v>1</v>
      </c>
      <c r="H295" s="196">
        <f>IF(VLOOKUP(J295,'HOURLY RATES'!B$116:C$124,2,0)=0,$J$3,VLOOKUP(J295,'HOURLY RATES'!B$116:C$124,2,0))</f>
        <v>0</v>
      </c>
      <c r="I295" s="251">
        <f t="shared" ref="I295" si="265">(G295*(1+H295))</f>
        <v>1</v>
      </c>
      <c r="J295" s="183" t="s">
        <v>16</v>
      </c>
      <c r="K295" s="368">
        <v>4.4160000000000004</v>
      </c>
      <c r="L295" s="369">
        <f t="shared" ref="L295:L309" si="266">K295*I295</f>
        <v>4.4160000000000004</v>
      </c>
      <c r="M295" s="185">
        <f>IF(VLOOKUP(E295,'HOURLY RATES'!C$6:D$105,2,0)=0,$E$3,VLOOKUP(E295,'HOURLY RATES'!C$6:D$105,2,0))</f>
        <v>29.5563775</v>
      </c>
      <c r="N295" s="197">
        <f t="shared" ref="N295" si="267">M295*L295</f>
        <v>130.52096304</v>
      </c>
      <c r="O295" s="296">
        <f>(3*7)*(45.5)</f>
        <v>955.5</v>
      </c>
      <c r="P295" s="188">
        <f t="shared" ref="P295" si="268">O295*I295</f>
        <v>955.5</v>
      </c>
      <c r="Q295" s="189">
        <f t="shared" ref="Q295" si="269">P295+N295</f>
        <v>1086.02096304</v>
      </c>
      <c r="R295" s="190"/>
      <c r="X295" s="212"/>
    </row>
    <row r="296" spans="1:24" s="12" customFormat="1" x14ac:dyDescent="0.25">
      <c r="A296" s="298">
        <f>IF(J296&lt;&gt;"",1+MAX($A$18:A295),"")</f>
        <v>160</v>
      </c>
      <c r="B296" s="299" t="s">
        <v>427</v>
      </c>
      <c r="C296" s="299" t="s">
        <v>516</v>
      </c>
      <c r="D296" s="208" t="s">
        <v>26</v>
      </c>
      <c r="E296" s="192" t="s">
        <v>139</v>
      </c>
      <c r="F296" s="330" t="s">
        <v>502</v>
      </c>
      <c r="G296" s="312">
        <v>1</v>
      </c>
      <c r="H296" s="196">
        <f>IF(VLOOKUP(J296,'HOURLY RATES'!B$116:C$124,2,0)=0,$J$3,VLOOKUP(J296,'HOURLY RATES'!B$116:C$124,2,0))</f>
        <v>0</v>
      </c>
      <c r="I296" s="251">
        <f t="shared" ref="I296:I309" si="270">(G296*(1+H296))</f>
        <v>1</v>
      </c>
      <c r="J296" s="183" t="s">
        <v>16</v>
      </c>
      <c r="K296" s="368">
        <v>4.4950000000000001</v>
      </c>
      <c r="L296" s="369">
        <f t="shared" si="266"/>
        <v>4.4950000000000001</v>
      </c>
      <c r="M296" s="185">
        <f>IF(VLOOKUP(E296,'HOURLY RATES'!C$6:D$105,2,0)=0,$E$3,VLOOKUP(E296,'HOURLY RATES'!C$6:D$105,2,0))</f>
        <v>29.5563775</v>
      </c>
      <c r="N296" s="197">
        <f t="shared" ref="N296:N309" si="271">M296*L296</f>
        <v>132.85591686250001</v>
      </c>
      <c r="O296" s="296">
        <f>(2.83*7.5)*(45.5)</f>
        <v>965.73750000000007</v>
      </c>
      <c r="P296" s="188">
        <f t="shared" ref="P296:P309" si="272">O296*I296</f>
        <v>965.73750000000007</v>
      </c>
      <c r="Q296" s="189">
        <f t="shared" ref="Q296:Q309" si="273">P296+N296</f>
        <v>1098.5934168625001</v>
      </c>
      <c r="R296" s="190"/>
      <c r="X296" s="212"/>
    </row>
    <row r="297" spans="1:24" s="12" customFormat="1" x14ac:dyDescent="0.25">
      <c r="A297" s="298">
        <f>IF(J297&lt;&gt;"",1+MAX($A$18:A296),"")</f>
        <v>161</v>
      </c>
      <c r="B297" s="299" t="s">
        <v>427</v>
      </c>
      <c r="C297" s="299" t="s">
        <v>516</v>
      </c>
      <c r="D297" s="208" t="s">
        <v>26</v>
      </c>
      <c r="E297" s="192" t="s">
        <v>139</v>
      </c>
      <c r="F297" s="330" t="s">
        <v>503</v>
      </c>
      <c r="G297" s="312">
        <v>1</v>
      </c>
      <c r="H297" s="196">
        <f>IF(VLOOKUP(J297,'HOURLY RATES'!B$116:C$124,2,0)=0,$J$3,VLOOKUP(J297,'HOURLY RATES'!B$116:C$124,2,0))</f>
        <v>0</v>
      </c>
      <c r="I297" s="251">
        <f t="shared" si="270"/>
        <v>1</v>
      </c>
      <c r="J297" s="183" t="s">
        <v>16</v>
      </c>
      <c r="K297" s="368">
        <v>4.6269999999999998</v>
      </c>
      <c r="L297" s="369">
        <f t="shared" si="266"/>
        <v>4.6269999999999998</v>
      </c>
      <c r="M297" s="185">
        <f>IF(VLOOKUP(E297,'HOURLY RATES'!C$6:D$105,2,0)=0,$E$3,VLOOKUP(E297,'HOURLY RATES'!C$6:D$105,2,0))</f>
        <v>29.5563775</v>
      </c>
      <c r="N297" s="197">
        <f t="shared" si="271"/>
        <v>136.75735869249999</v>
      </c>
      <c r="O297" s="296">
        <f>(4.542*7.5)*(45.5)</f>
        <v>1549.9575</v>
      </c>
      <c r="P297" s="188">
        <f t="shared" si="272"/>
        <v>1549.9575</v>
      </c>
      <c r="Q297" s="189">
        <f t="shared" si="273"/>
        <v>1686.7148586925</v>
      </c>
      <c r="R297" s="190"/>
      <c r="X297" s="212"/>
    </row>
    <row r="298" spans="1:24" s="12" customFormat="1" x14ac:dyDescent="0.25">
      <c r="A298" s="298">
        <f>IF(J298&lt;&gt;"",1+MAX($A$18:A297),"")</f>
        <v>162</v>
      </c>
      <c r="B298" s="299" t="s">
        <v>427</v>
      </c>
      <c r="C298" s="299" t="s">
        <v>516</v>
      </c>
      <c r="D298" s="208" t="s">
        <v>26</v>
      </c>
      <c r="E298" s="192" t="s">
        <v>139</v>
      </c>
      <c r="F298" s="330" t="s">
        <v>504</v>
      </c>
      <c r="G298" s="312">
        <v>5</v>
      </c>
      <c r="H298" s="196">
        <f>IF(VLOOKUP(J298,'HOURLY RATES'!B$116:C$124,2,0)=0,$J$3,VLOOKUP(J298,'HOURLY RATES'!B$116:C$124,2,0))</f>
        <v>0</v>
      </c>
      <c r="I298" s="251">
        <f t="shared" si="270"/>
        <v>5</v>
      </c>
      <c r="J298" s="183" t="s">
        <v>16</v>
      </c>
      <c r="K298" s="368">
        <v>4.5490000000000004</v>
      </c>
      <c r="L298" s="369">
        <f t="shared" si="266"/>
        <v>22.745000000000001</v>
      </c>
      <c r="M298" s="185">
        <f>IF(VLOOKUP(E298,'HOURLY RATES'!C$6:D$105,2,0)=0,$E$3,VLOOKUP(E298,'HOURLY RATES'!C$6:D$105,2,0))</f>
        <v>29.5563775</v>
      </c>
      <c r="N298" s="197">
        <f t="shared" si="271"/>
        <v>672.25980623750002</v>
      </c>
      <c r="O298" s="296">
        <f>(3*7.5)*(45.5)</f>
        <v>1023.75</v>
      </c>
      <c r="P298" s="188">
        <f t="shared" si="272"/>
        <v>5118.75</v>
      </c>
      <c r="Q298" s="189">
        <f t="shared" si="273"/>
        <v>5791.0098062375</v>
      </c>
      <c r="R298" s="190"/>
      <c r="X298" s="212"/>
    </row>
    <row r="299" spans="1:24" s="12" customFormat="1" x14ac:dyDescent="0.25">
      <c r="A299" s="298">
        <f>IF(J299&lt;&gt;"",1+MAX($A$18:A298),"")</f>
        <v>163</v>
      </c>
      <c r="B299" s="299" t="s">
        <v>427</v>
      </c>
      <c r="C299" s="299" t="s">
        <v>516</v>
      </c>
      <c r="D299" s="208" t="s">
        <v>26</v>
      </c>
      <c r="E299" s="192" t="s">
        <v>139</v>
      </c>
      <c r="F299" s="330" t="s">
        <v>505</v>
      </c>
      <c r="G299" s="312">
        <v>1</v>
      </c>
      <c r="H299" s="196">
        <f>IF(VLOOKUP(J299,'HOURLY RATES'!B$116:C$124,2,0)=0,$J$3,VLOOKUP(J299,'HOURLY RATES'!B$116:C$124,2,0))</f>
        <v>0</v>
      </c>
      <c r="I299" s="251">
        <f t="shared" si="270"/>
        <v>1</v>
      </c>
      <c r="J299" s="183" t="s">
        <v>16</v>
      </c>
      <c r="K299" s="368">
        <v>6.2539999999999996</v>
      </c>
      <c r="L299" s="369">
        <f t="shared" si="266"/>
        <v>6.2539999999999996</v>
      </c>
      <c r="M299" s="185">
        <f>IF(VLOOKUP(E299,'HOURLY RATES'!C$6:D$105,2,0)=0,$E$3,VLOOKUP(E299,'HOURLY RATES'!C$6:D$105,2,0))</f>
        <v>29.5563775</v>
      </c>
      <c r="N299" s="197">
        <f t="shared" si="271"/>
        <v>184.84558488499999</v>
      </c>
      <c r="O299" s="296">
        <f>(7.5*7.5)*(45.5)</f>
        <v>2559.375</v>
      </c>
      <c r="P299" s="188">
        <f t="shared" si="272"/>
        <v>2559.375</v>
      </c>
      <c r="Q299" s="189">
        <f t="shared" si="273"/>
        <v>2744.2205848849999</v>
      </c>
      <c r="R299" s="190"/>
      <c r="X299" s="212"/>
    </row>
    <row r="300" spans="1:24" s="12" customFormat="1" x14ac:dyDescent="0.25">
      <c r="A300" s="298">
        <f>IF(J300&lt;&gt;"",1+MAX($A$18:A299),"")</f>
        <v>164</v>
      </c>
      <c r="B300" s="299" t="s">
        <v>427</v>
      </c>
      <c r="C300" s="299" t="s">
        <v>516</v>
      </c>
      <c r="D300" s="208" t="s">
        <v>26</v>
      </c>
      <c r="E300" s="192" t="s">
        <v>139</v>
      </c>
      <c r="F300" s="330" t="s">
        <v>506</v>
      </c>
      <c r="G300" s="312">
        <v>1</v>
      </c>
      <c r="H300" s="196">
        <f>IF(VLOOKUP(J300,'HOURLY RATES'!B$116:C$124,2,0)=0,$J$3,VLOOKUP(J300,'HOURLY RATES'!B$116:C$124,2,0))</f>
        <v>0</v>
      </c>
      <c r="I300" s="251">
        <f t="shared" si="270"/>
        <v>1</v>
      </c>
      <c r="J300" s="183" t="s">
        <v>16</v>
      </c>
      <c r="K300" s="368">
        <v>8.6950000000000003</v>
      </c>
      <c r="L300" s="369">
        <f t="shared" si="266"/>
        <v>8.6950000000000003</v>
      </c>
      <c r="M300" s="185">
        <f>IF(VLOOKUP(E300,'HOURLY RATES'!C$6:D$105,2,0)=0,$E$3,VLOOKUP(E300,'HOURLY RATES'!C$6:D$105,2,0))</f>
        <v>29.5563775</v>
      </c>
      <c r="N300" s="197">
        <f t="shared" si="271"/>
        <v>256.99270236249998</v>
      </c>
      <c r="O300" s="296">
        <f>(12.71*7.5)*(45.5)</f>
        <v>4337.2875000000004</v>
      </c>
      <c r="P300" s="188">
        <f t="shared" si="272"/>
        <v>4337.2875000000004</v>
      </c>
      <c r="Q300" s="189">
        <f t="shared" si="273"/>
        <v>4594.2802023624999</v>
      </c>
      <c r="R300" s="190"/>
      <c r="X300" s="212"/>
    </row>
    <row r="301" spans="1:24" s="12" customFormat="1" x14ac:dyDescent="0.25">
      <c r="A301" s="298">
        <f>IF(J301&lt;&gt;"",1+MAX($A$18:A300),"")</f>
        <v>165</v>
      </c>
      <c r="B301" s="299" t="s">
        <v>427</v>
      </c>
      <c r="C301" s="299" t="s">
        <v>516</v>
      </c>
      <c r="D301" s="208" t="s">
        <v>26</v>
      </c>
      <c r="E301" s="192" t="s">
        <v>139</v>
      </c>
      <c r="F301" s="330" t="s">
        <v>507</v>
      </c>
      <c r="G301" s="312">
        <v>1</v>
      </c>
      <c r="H301" s="196">
        <f>IF(VLOOKUP(J301,'HOURLY RATES'!B$116:C$124,2,0)=0,$J$3,VLOOKUP(J301,'HOURLY RATES'!B$116:C$124,2,0))</f>
        <v>0</v>
      </c>
      <c r="I301" s="251">
        <f t="shared" si="270"/>
        <v>1</v>
      </c>
      <c r="J301" s="183" t="s">
        <v>16</v>
      </c>
      <c r="K301" s="368">
        <v>4.0650000000000004</v>
      </c>
      <c r="L301" s="369">
        <f t="shared" si="266"/>
        <v>4.0650000000000004</v>
      </c>
      <c r="M301" s="185">
        <f>IF(VLOOKUP(E301,'HOURLY RATES'!C$6:D$105,2,0)=0,$E$3,VLOOKUP(E301,'HOURLY RATES'!C$6:D$105,2,0))</f>
        <v>29.5563775</v>
      </c>
      <c r="N301" s="197">
        <f t="shared" si="271"/>
        <v>120.1466745375</v>
      </c>
      <c r="O301" s="296">
        <f>(2.5*5.83)*(21.25)</f>
        <v>309.71875</v>
      </c>
      <c r="P301" s="188">
        <f t="shared" si="272"/>
        <v>309.71875</v>
      </c>
      <c r="Q301" s="189">
        <f t="shared" si="273"/>
        <v>429.86542453750002</v>
      </c>
      <c r="R301" s="190"/>
      <c r="X301" s="212"/>
    </row>
    <row r="302" spans="1:24" s="12" customFormat="1" x14ac:dyDescent="0.25">
      <c r="A302" s="298">
        <f>IF(J302&lt;&gt;"",1+MAX($A$18:A301),"")</f>
        <v>166</v>
      </c>
      <c r="B302" s="299" t="s">
        <v>427</v>
      </c>
      <c r="C302" s="299" t="s">
        <v>516</v>
      </c>
      <c r="D302" s="208" t="s">
        <v>26</v>
      </c>
      <c r="E302" s="192" t="s">
        <v>139</v>
      </c>
      <c r="F302" s="330" t="s">
        <v>508</v>
      </c>
      <c r="G302" s="312">
        <v>4</v>
      </c>
      <c r="H302" s="196">
        <f>IF(VLOOKUP(J302,'HOURLY RATES'!B$116:C$124,2,0)=0,$J$3,VLOOKUP(J302,'HOURLY RATES'!B$116:C$124,2,0))</f>
        <v>0</v>
      </c>
      <c r="I302" s="251">
        <f t="shared" si="270"/>
        <v>4</v>
      </c>
      <c r="J302" s="183" t="s">
        <v>16</v>
      </c>
      <c r="K302" s="368">
        <v>4.21</v>
      </c>
      <c r="L302" s="369">
        <f t="shared" si="266"/>
        <v>16.84</v>
      </c>
      <c r="M302" s="185">
        <f>IF(VLOOKUP(E302,'HOURLY RATES'!C$6:D$105,2,0)=0,$E$3,VLOOKUP(E302,'HOURLY RATES'!C$6:D$105,2,0))</f>
        <v>29.5563775</v>
      </c>
      <c r="N302" s="197">
        <f t="shared" si="271"/>
        <v>497.72939709999997</v>
      </c>
      <c r="O302" s="296">
        <f>(2.83*7.5)*(21.25)</f>
        <v>451.03125000000006</v>
      </c>
      <c r="P302" s="188">
        <f t="shared" si="272"/>
        <v>1804.1250000000002</v>
      </c>
      <c r="Q302" s="189">
        <f t="shared" si="273"/>
        <v>2301.8543971000004</v>
      </c>
      <c r="R302" s="190"/>
      <c r="X302" s="212"/>
    </row>
    <row r="303" spans="1:24" s="12" customFormat="1" x14ac:dyDescent="0.25">
      <c r="A303" s="298">
        <f>IF(J303&lt;&gt;"",1+MAX($A$18:A302),"")</f>
        <v>167</v>
      </c>
      <c r="B303" s="299" t="s">
        <v>427</v>
      </c>
      <c r="C303" s="299" t="s">
        <v>516</v>
      </c>
      <c r="D303" s="208" t="s">
        <v>26</v>
      </c>
      <c r="E303" s="192" t="s">
        <v>139</v>
      </c>
      <c r="F303" s="330" t="s">
        <v>509</v>
      </c>
      <c r="G303" s="312">
        <v>8</v>
      </c>
      <c r="H303" s="196">
        <f>IF(VLOOKUP(J303,'HOURLY RATES'!B$116:C$124,2,0)=0,$J$3,VLOOKUP(J303,'HOURLY RATES'!B$116:C$124,2,0))</f>
        <v>0</v>
      </c>
      <c r="I303" s="251">
        <f t="shared" si="270"/>
        <v>8</v>
      </c>
      <c r="J303" s="183" t="s">
        <v>16</v>
      </c>
      <c r="K303" s="368">
        <v>4.1859999999999999</v>
      </c>
      <c r="L303" s="369">
        <f t="shared" si="266"/>
        <v>33.488</v>
      </c>
      <c r="M303" s="185">
        <f>IF(VLOOKUP(E303,'HOURLY RATES'!C$6:D$105,2,0)=0,$E$3,VLOOKUP(E303,'HOURLY RATES'!C$6:D$105,2,0))</f>
        <v>29.5563775</v>
      </c>
      <c r="N303" s="197">
        <f t="shared" si="271"/>
        <v>989.78396971999996</v>
      </c>
      <c r="O303" s="296">
        <f>(2.5*7.5)*(21.25)</f>
        <v>398.4375</v>
      </c>
      <c r="P303" s="188">
        <f t="shared" si="272"/>
        <v>3187.5</v>
      </c>
      <c r="Q303" s="189">
        <f t="shared" si="273"/>
        <v>4177.2839697199997</v>
      </c>
      <c r="R303" s="190"/>
      <c r="X303" s="212"/>
    </row>
    <row r="304" spans="1:24" s="12" customFormat="1" x14ac:dyDescent="0.25">
      <c r="A304" s="298">
        <f>IF(J304&lt;&gt;"",1+MAX($A$18:A303),"")</f>
        <v>168</v>
      </c>
      <c r="B304" s="299" t="s">
        <v>427</v>
      </c>
      <c r="C304" s="299" t="s">
        <v>516</v>
      </c>
      <c r="D304" s="208" t="s">
        <v>26</v>
      </c>
      <c r="E304" s="192" t="s">
        <v>139</v>
      </c>
      <c r="F304" s="330" t="s">
        <v>510</v>
      </c>
      <c r="G304" s="312">
        <v>4</v>
      </c>
      <c r="H304" s="196">
        <f>IF(VLOOKUP(J304,'HOURLY RATES'!B$116:C$124,2,0)=0,$J$3,VLOOKUP(J304,'HOURLY RATES'!B$116:C$124,2,0))</f>
        <v>0</v>
      </c>
      <c r="I304" s="251">
        <f t="shared" si="270"/>
        <v>4</v>
      </c>
      <c r="J304" s="183" t="s">
        <v>16</v>
      </c>
      <c r="K304" s="368">
        <v>4.29</v>
      </c>
      <c r="L304" s="369">
        <f t="shared" si="266"/>
        <v>17.16</v>
      </c>
      <c r="M304" s="185">
        <f>IF(VLOOKUP(E304,'HOURLY RATES'!C$6:D$105,2,0)=0,$E$3,VLOOKUP(E304,'HOURLY RATES'!C$6:D$105,2,0))</f>
        <v>29.5563775</v>
      </c>
      <c r="N304" s="197">
        <f t="shared" si="271"/>
        <v>507.18743790000002</v>
      </c>
      <c r="O304" s="296">
        <f>(3*7.5)*(21.25)</f>
        <v>478.125</v>
      </c>
      <c r="P304" s="188">
        <f t="shared" si="272"/>
        <v>1912.5</v>
      </c>
      <c r="Q304" s="189">
        <f t="shared" si="273"/>
        <v>2419.6874379000001</v>
      </c>
      <c r="R304" s="190"/>
      <c r="X304" s="212"/>
    </row>
    <row r="305" spans="1:24" s="12" customFormat="1" x14ac:dyDescent="0.25">
      <c r="A305" s="298">
        <f>IF(J305&lt;&gt;"",1+MAX($A$18:A304),"")</f>
        <v>169</v>
      </c>
      <c r="B305" s="299" t="s">
        <v>427</v>
      </c>
      <c r="C305" s="299" t="s">
        <v>516</v>
      </c>
      <c r="D305" s="208" t="s">
        <v>26</v>
      </c>
      <c r="E305" s="192" t="s">
        <v>139</v>
      </c>
      <c r="F305" s="330" t="s">
        <v>511</v>
      </c>
      <c r="G305" s="312">
        <v>2</v>
      </c>
      <c r="H305" s="196">
        <f>IF(VLOOKUP(J305,'HOURLY RATES'!B$116:C$124,2,0)=0,$J$3,VLOOKUP(J305,'HOURLY RATES'!B$116:C$124,2,0))</f>
        <v>0</v>
      </c>
      <c r="I305" s="251">
        <f t="shared" si="270"/>
        <v>2</v>
      </c>
      <c r="J305" s="183" t="s">
        <v>16</v>
      </c>
      <c r="K305" s="368">
        <v>4.0940000000000003</v>
      </c>
      <c r="L305" s="369">
        <f t="shared" si="266"/>
        <v>8.1880000000000006</v>
      </c>
      <c r="M305" s="185">
        <f>IF(VLOOKUP(E305,'HOURLY RATES'!C$6:D$105,2,0)=0,$E$3,VLOOKUP(E305,'HOURLY RATES'!C$6:D$105,2,0))</f>
        <v>29.5563775</v>
      </c>
      <c r="N305" s="197">
        <f t="shared" si="271"/>
        <v>242.00761897000001</v>
      </c>
      <c r="O305" s="296">
        <f>(2*7.5)*(21.25)</f>
        <v>318.75</v>
      </c>
      <c r="P305" s="188">
        <f t="shared" si="272"/>
        <v>637.5</v>
      </c>
      <c r="Q305" s="189">
        <f t="shared" si="273"/>
        <v>879.50761897000007</v>
      </c>
      <c r="R305" s="190"/>
      <c r="X305" s="212"/>
    </row>
    <row r="306" spans="1:24" s="12" customFormat="1" x14ac:dyDescent="0.25">
      <c r="A306" s="298">
        <f>IF(J306&lt;&gt;"",1+MAX($A$18:A305),"")</f>
        <v>170</v>
      </c>
      <c r="B306" s="299" t="s">
        <v>427</v>
      </c>
      <c r="C306" s="299" t="s">
        <v>516</v>
      </c>
      <c r="D306" s="208" t="s">
        <v>26</v>
      </c>
      <c r="E306" s="192" t="s">
        <v>139</v>
      </c>
      <c r="F306" s="330" t="s">
        <v>512</v>
      </c>
      <c r="G306" s="312">
        <v>1</v>
      </c>
      <c r="H306" s="196">
        <f>IF(VLOOKUP(J306,'HOURLY RATES'!B$116:C$124,2,0)=0,$J$3,VLOOKUP(J306,'HOURLY RATES'!B$116:C$124,2,0))</f>
        <v>0</v>
      </c>
      <c r="I306" s="251">
        <f t="shared" si="270"/>
        <v>1</v>
      </c>
      <c r="J306" s="183" t="s">
        <v>16</v>
      </c>
      <c r="K306" s="368">
        <v>4.3289999999999997</v>
      </c>
      <c r="L306" s="369">
        <f t="shared" si="266"/>
        <v>4.3289999999999997</v>
      </c>
      <c r="M306" s="185">
        <f>IF(VLOOKUP(E306,'HOURLY RATES'!C$6:D$105,2,0)=0,$E$3,VLOOKUP(E306,'HOURLY RATES'!C$6:D$105,2,0))</f>
        <v>29.5563775</v>
      </c>
      <c r="N306" s="197">
        <f t="shared" si="271"/>
        <v>127.9495581975</v>
      </c>
      <c r="O306" s="296">
        <f>(4*7.5)*(21.25)</f>
        <v>637.5</v>
      </c>
      <c r="P306" s="188">
        <f t="shared" si="272"/>
        <v>637.5</v>
      </c>
      <c r="Q306" s="189">
        <f t="shared" si="273"/>
        <v>765.44955819749998</v>
      </c>
      <c r="R306" s="190"/>
      <c r="X306" s="212"/>
    </row>
    <row r="307" spans="1:24" s="12" customFormat="1" x14ac:dyDescent="0.25">
      <c r="A307" s="298">
        <f>IF(J307&lt;&gt;"",1+MAX($A$18:A306),"")</f>
        <v>171</v>
      </c>
      <c r="B307" s="299" t="s">
        <v>427</v>
      </c>
      <c r="C307" s="299" t="s">
        <v>516</v>
      </c>
      <c r="D307" s="208" t="s">
        <v>26</v>
      </c>
      <c r="E307" s="192" t="s">
        <v>139</v>
      </c>
      <c r="F307" s="330" t="s">
        <v>513</v>
      </c>
      <c r="G307" s="312">
        <v>1</v>
      </c>
      <c r="H307" s="196">
        <f>IF(VLOOKUP(J307,'HOURLY RATES'!B$116:C$124,2,0)=0,$J$3,VLOOKUP(J307,'HOURLY RATES'!B$116:C$124,2,0))</f>
        <v>0</v>
      </c>
      <c r="I307" s="251">
        <f t="shared" si="270"/>
        <v>1</v>
      </c>
      <c r="J307" s="183" t="s">
        <v>16</v>
      </c>
      <c r="K307" s="368">
        <v>4.4279999999999999</v>
      </c>
      <c r="L307" s="369">
        <f t="shared" si="266"/>
        <v>4.4279999999999999</v>
      </c>
      <c r="M307" s="185">
        <f>IF(VLOOKUP(E307,'HOURLY RATES'!C$6:D$105,2,0)=0,$E$3,VLOOKUP(E307,'HOURLY RATES'!C$6:D$105,2,0))</f>
        <v>29.5563775</v>
      </c>
      <c r="N307" s="197">
        <f t="shared" si="271"/>
        <v>130.87563957</v>
      </c>
      <c r="O307" s="296">
        <f>(5*7.5)*(21.25)</f>
        <v>796.875</v>
      </c>
      <c r="P307" s="188">
        <f t="shared" si="272"/>
        <v>796.875</v>
      </c>
      <c r="Q307" s="189">
        <f t="shared" si="273"/>
        <v>927.75063956999998</v>
      </c>
      <c r="R307" s="190"/>
      <c r="X307" s="212"/>
    </row>
    <row r="308" spans="1:24" s="12" customFormat="1" x14ac:dyDescent="0.25">
      <c r="A308" s="298">
        <f>IF(J308&lt;&gt;"",1+MAX($A$18:A307),"")</f>
        <v>172</v>
      </c>
      <c r="B308" s="299" t="s">
        <v>427</v>
      </c>
      <c r="C308" s="299" t="s">
        <v>516</v>
      </c>
      <c r="D308" s="208" t="s">
        <v>26</v>
      </c>
      <c r="E308" s="192" t="s">
        <v>139</v>
      </c>
      <c r="F308" s="330" t="s">
        <v>514</v>
      </c>
      <c r="G308" s="312">
        <v>1</v>
      </c>
      <c r="H308" s="196">
        <f>IF(VLOOKUP(J308,'HOURLY RATES'!B$116:C$124,2,0)=0,$J$3,VLOOKUP(J308,'HOURLY RATES'!B$116:C$124,2,0))</f>
        <v>0</v>
      </c>
      <c r="I308" s="251">
        <f t="shared" si="270"/>
        <v>1</v>
      </c>
      <c r="J308" s="183" t="s">
        <v>16</v>
      </c>
      <c r="K308" s="368">
        <v>4.0209999999999999</v>
      </c>
      <c r="L308" s="369">
        <f t="shared" si="266"/>
        <v>4.0209999999999999</v>
      </c>
      <c r="M308" s="185">
        <f>IF(VLOOKUP(E308,'HOURLY RATES'!C$6:D$105,2,0)=0,$E$3,VLOOKUP(E308,'HOURLY RATES'!C$6:D$105,2,0))</f>
        <v>29.5563775</v>
      </c>
      <c r="N308" s="197">
        <f t="shared" si="271"/>
        <v>118.8461939275</v>
      </c>
      <c r="O308" s="296">
        <f>(2.5*5.5)*(21.25)</f>
        <v>292.1875</v>
      </c>
      <c r="P308" s="188">
        <f t="shared" si="272"/>
        <v>292.1875</v>
      </c>
      <c r="Q308" s="189">
        <f t="shared" si="273"/>
        <v>411.0336939275</v>
      </c>
      <c r="R308" s="190"/>
      <c r="X308" s="212"/>
    </row>
    <row r="309" spans="1:24" s="12" customFormat="1" x14ac:dyDescent="0.25">
      <c r="A309" s="298">
        <f>IF(J309&lt;&gt;"",1+MAX($A$18:A308),"")</f>
        <v>173</v>
      </c>
      <c r="B309" s="299" t="s">
        <v>427</v>
      </c>
      <c r="C309" s="299" t="s">
        <v>516</v>
      </c>
      <c r="D309" s="208" t="s">
        <v>26</v>
      </c>
      <c r="E309" s="192" t="s">
        <v>139</v>
      </c>
      <c r="F309" s="330" t="s">
        <v>515</v>
      </c>
      <c r="G309" s="312">
        <v>1</v>
      </c>
      <c r="H309" s="196">
        <f>IF(VLOOKUP(J309,'HOURLY RATES'!B$116:C$124,2,0)=0,$J$3,VLOOKUP(J309,'HOURLY RATES'!B$116:C$124,2,0))</f>
        <v>0</v>
      </c>
      <c r="I309" s="251">
        <f t="shared" si="270"/>
        <v>1</v>
      </c>
      <c r="J309" s="183" t="s">
        <v>16</v>
      </c>
      <c r="K309" s="368">
        <v>3.4209999999999998</v>
      </c>
      <c r="L309" s="369">
        <f t="shared" si="266"/>
        <v>3.4209999999999998</v>
      </c>
      <c r="M309" s="185">
        <f>IF(VLOOKUP(E309,'HOURLY RATES'!C$6:D$105,2,0)=0,$E$3,VLOOKUP(E309,'HOURLY RATES'!C$6:D$105,2,0))</f>
        <v>29.5563775</v>
      </c>
      <c r="N309" s="197">
        <f t="shared" si="271"/>
        <v>101.11236742749999</v>
      </c>
      <c r="O309" s="296">
        <f>(2*4.5)*(21.25)</f>
        <v>191.25</v>
      </c>
      <c r="P309" s="188">
        <f t="shared" si="272"/>
        <v>191.25</v>
      </c>
      <c r="Q309" s="189">
        <f t="shared" si="273"/>
        <v>292.36236742749998</v>
      </c>
      <c r="R309" s="190"/>
      <c r="X309" s="212"/>
    </row>
    <row r="310" spans="1:24" s="12" customFormat="1" x14ac:dyDescent="0.2">
      <c r="A310" s="298" t="str">
        <f>IF(J310&lt;&gt;"",1+MAX($A$18:A309),"")</f>
        <v/>
      </c>
      <c r="B310" s="299"/>
      <c r="C310" s="299"/>
      <c r="D310" s="208"/>
      <c r="E310" s="302"/>
      <c r="F310" s="314"/>
      <c r="G310" s="288"/>
      <c r="H310" s="196"/>
      <c r="I310" s="251"/>
      <c r="J310" s="183"/>
      <c r="K310" s="368"/>
      <c r="L310" s="210"/>
      <c r="M310" s="185"/>
      <c r="N310" s="197"/>
      <c r="O310" s="296"/>
      <c r="P310" s="188"/>
      <c r="Q310" s="189"/>
      <c r="R310" s="190"/>
      <c r="X310" s="212"/>
    </row>
    <row r="311" spans="1:24" s="12" customFormat="1" ht="20.100000000000001" customHeight="1" x14ac:dyDescent="0.2">
      <c r="A311" s="298" t="str">
        <f>IF(J311&lt;&gt;"",1+MAX($A$18:A310),"")</f>
        <v/>
      </c>
      <c r="B311" s="299"/>
      <c r="C311" s="299"/>
      <c r="D311" s="208"/>
      <c r="E311" s="302"/>
      <c r="F311" s="313" t="s">
        <v>294</v>
      </c>
      <c r="G311" s="288"/>
      <c r="H311" s="196"/>
      <c r="I311" s="251"/>
      <c r="J311" s="183"/>
      <c r="K311" s="368"/>
      <c r="L311" s="210"/>
      <c r="M311" s="185"/>
      <c r="N311" s="197"/>
      <c r="O311" s="296"/>
      <c r="P311" s="188"/>
      <c r="Q311" s="189"/>
      <c r="R311" s="190"/>
      <c r="X311" s="212"/>
    </row>
    <row r="312" spans="1:24" s="12" customFormat="1" ht="91.9" customHeight="1" x14ac:dyDescent="0.2">
      <c r="A312" s="298">
        <f>IF(J312&lt;&gt;"",1+MAX($A$18:A311),"")</f>
        <v>174</v>
      </c>
      <c r="B312" s="299" t="s">
        <v>427</v>
      </c>
      <c r="C312" s="299" t="s">
        <v>516</v>
      </c>
      <c r="D312" s="208" t="s">
        <v>26</v>
      </c>
      <c r="E312" s="302" t="s">
        <v>139</v>
      </c>
      <c r="F312" s="314" t="s">
        <v>941</v>
      </c>
      <c r="G312" s="288">
        <v>4</v>
      </c>
      <c r="H312" s="196">
        <f>IF(VLOOKUP(J312,'HOURLY RATES'!B$116:C$124,2,0)=0,$J$3,VLOOKUP(J312,'HOURLY RATES'!B$116:C$124,2,0))</f>
        <v>0</v>
      </c>
      <c r="I312" s="251">
        <f t="shared" ref="I312" si="274">(G312*(1+H312))</f>
        <v>4</v>
      </c>
      <c r="J312" s="183" t="s">
        <v>16</v>
      </c>
      <c r="K312" s="391">
        <f>0.546+O312/1000</f>
        <v>1.2509800000000002</v>
      </c>
      <c r="L312" s="369">
        <f t="shared" ref="L312:L316" si="275">K312*I312</f>
        <v>5.0039200000000008</v>
      </c>
      <c r="M312" s="185">
        <f>IF(VLOOKUP(E312,'HOURLY RATES'!C$6:D$105,2,0)=0,$E$3,VLOOKUP(E312,'HOURLY RATES'!C$6:D$105,2,0))</f>
        <v>29.5563775</v>
      </c>
      <c r="N312" s="197">
        <f t="shared" ref="N312" si="276">M312*L312</f>
        <v>147.89774849980003</v>
      </c>
      <c r="O312" s="296">
        <v>704.98</v>
      </c>
      <c r="P312" s="188">
        <f t="shared" ref="P312" si="277">O312*I312</f>
        <v>2819.92</v>
      </c>
      <c r="Q312" s="189">
        <f t="shared" ref="Q312" si="278">P312+N312</f>
        <v>2967.8177484998</v>
      </c>
      <c r="R312" s="190"/>
      <c r="X312" s="212"/>
    </row>
    <row r="313" spans="1:24" s="12" customFormat="1" ht="47.25" x14ac:dyDescent="0.2">
      <c r="A313" s="298">
        <f>IF(J313&lt;&gt;"",1+MAX($A$18:A312),"")</f>
        <v>175</v>
      </c>
      <c r="B313" s="299" t="s">
        <v>427</v>
      </c>
      <c r="C313" s="299" t="s">
        <v>516</v>
      </c>
      <c r="D313" s="208" t="s">
        <v>26</v>
      </c>
      <c r="E313" s="302" t="s">
        <v>139</v>
      </c>
      <c r="F313" s="315" t="s">
        <v>942</v>
      </c>
      <c r="G313" s="312">
        <v>8</v>
      </c>
      <c r="H313" s="196">
        <f>IF(VLOOKUP(J313,'HOURLY RATES'!B$116:C$124,2,0)=0,$J$3,VLOOKUP(J313,'HOURLY RATES'!B$116:C$124,2,0))</f>
        <v>0</v>
      </c>
      <c r="I313" s="251">
        <f t="shared" ref="I313:I316" si="279">(G313*(1+H313))</f>
        <v>8</v>
      </c>
      <c r="J313" s="183" t="s">
        <v>16</v>
      </c>
      <c r="K313" s="391">
        <f t="shared" ref="K313:K316" si="280">0.546+O313/1000</f>
        <v>0.73438000000000003</v>
      </c>
      <c r="L313" s="369">
        <f t="shared" si="275"/>
        <v>5.8750400000000003</v>
      </c>
      <c r="M313" s="185">
        <f>IF(VLOOKUP(E313,'HOURLY RATES'!C$6:D$105,2,0)=0,$E$3,VLOOKUP(E313,'HOURLY RATES'!C$6:D$105,2,0))</f>
        <v>29.5563775</v>
      </c>
      <c r="N313" s="197">
        <f t="shared" ref="N313:N316" si="281">M313*L313</f>
        <v>173.64490006760002</v>
      </c>
      <c r="O313" s="296">
        <v>188.38</v>
      </c>
      <c r="P313" s="188">
        <f t="shared" ref="P313:P316" si="282">O313*I313</f>
        <v>1507.04</v>
      </c>
      <c r="Q313" s="189">
        <f t="shared" ref="Q313:Q316" si="283">P313+N313</f>
        <v>1680.6849000676</v>
      </c>
      <c r="R313" s="190"/>
      <c r="X313" s="212"/>
    </row>
    <row r="314" spans="1:24" s="12" customFormat="1" ht="31.5" x14ac:dyDescent="0.2">
      <c r="A314" s="298">
        <f>IF(J314&lt;&gt;"",1+MAX($A$18:A313),"")</f>
        <v>176</v>
      </c>
      <c r="B314" s="299" t="s">
        <v>427</v>
      </c>
      <c r="C314" s="299" t="s">
        <v>516</v>
      </c>
      <c r="D314" s="208" t="s">
        <v>26</v>
      </c>
      <c r="E314" s="302" t="s">
        <v>139</v>
      </c>
      <c r="F314" s="315" t="s">
        <v>943</v>
      </c>
      <c r="G314" s="312">
        <v>10</v>
      </c>
      <c r="H314" s="196">
        <f>IF(VLOOKUP(J314,'HOURLY RATES'!B$116:C$124,2,0)=0,$J$3,VLOOKUP(J314,'HOURLY RATES'!B$116:C$124,2,0))</f>
        <v>0</v>
      </c>
      <c r="I314" s="251">
        <f t="shared" si="279"/>
        <v>10</v>
      </c>
      <c r="J314" s="183" t="s">
        <v>16</v>
      </c>
      <c r="K314" s="391">
        <f t="shared" si="280"/>
        <v>0.60408000000000006</v>
      </c>
      <c r="L314" s="369">
        <f t="shared" si="275"/>
        <v>6.0408000000000008</v>
      </c>
      <c r="M314" s="185">
        <f>IF(VLOOKUP(E314,'HOURLY RATES'!C$6:D$105,2,0)=0,$E$3,VLOOKUP(E314,'HOURLY RATES'!C$6:D$105,2,0))</f>
        <v>29.5563775</v>
      </c>
      <c r="N314" s="197">
        <f t="shared" si="281"/>
        <v>178.54416520200002</v>
      </c>
      <c r="O314" s="296">
        <v>58.08</v>
      </c>
      <c r="P314" s="188">
        <f t="shared" si="282"/>
        <v>580.79999999999995</v>
      </c>
      <c r="Q314" s="189">
        <f t="shared" si="283"/>
        <v>759.344165202</v>
      </c>
      <c r="R314" s="190"/>
      <c r="X314" s="212"/>
    </row>
    <row r="315" spans="1:24" s="12" customFormat="1" ht="47.25" x14ac:dyDescent="0.2">
      <c r="A315" s="298">
        <f>IF(J315&lt;&gt;"",1+MAX($A$18:A314),"")</f>
        <v>177</v>
      </c>
      <c r="B315" s="299" t="s">
        <v>427</v>
      </c>
      <c r="C315" s="299" t="s">
        <v>516</v>
      </c>
      <c r="D315" s="208" t="s">
        <v>26</v>
      </c>
      <c r="E315" s="302" t="s">
        <v>139</v>
      </c>
      <c r="F315" s="315" t="s">
        <v>952</v>
      </c>
      <c r="G315" s="312">
        <v>8</v>
      </c>
      <c r="H315" s="196">
        <f>IF(VLOOKUP(J315,'HOURLY RATES'!B$116:C$124,2,0)=0,$J$3,VLOOKUP(J315,'HOURLY RATES'!B$116:C$124,2,0))</f>
        <v>0</v>
      </c>
      <c r="I315" s="251">
        <f t="shared" si="279"/>
        <v>8</v>
      </c>
      <c r="J315" s="183" t="s">
        <v>16</v>
      </c>
      <c r="K315" s="391">
        <f t="shared" si="280"/>
        <v>1.1042800000000002</v>
      </c>
      <c r="L315" s="369">
        <f t="shared" si="275"/>
        <v>8.8342400000000012</v>
      </c>
      <c r="M315" s="185">
        <f>IF(VLOOKUP(E315,'HOURLY RATES'!C$6:D$105,2,0)=0,$E$3,VLOOKUP(E315,'HOURLY RATES'!C$6:D$105,2,0))</f>
        <v>29.5563775</v>
      </c>
      <c r="N315" s="197">
        <f t="shared" si="281"/>
        <v>261.10813236560006</v>
      </c>
      <c r="O315" s="296">
        <v>558.28</v>
      </c>
      <c r="P315" s="188">
        <f t="shared" si="282"/>
        <v>4466.24</v>
      </c>
      <c r="Q315" s="189">
        <f t="shared" si="283"/>
        <v>4727.3481323655997</v>
      </c>
      <c r="R315" s="190"/>
      <c r="X315" s="212"/>
    </row>
    <row r="316" spans="1:24" s="12" customFormat="1" ht="31.5" x14ac:dyDescent="0.2">
      <c r="A316" s="298">
        <f>IF(J316&lt;&gt;"",1+MAX($A$18:A315),"")</f>
        <v>178</v>
      </c>
      <c r="B316" s="299" t="s">
        <v>427</v>
      </c>
      <c r="C316" s="299" t="s">
        <v>516</v>
      </c>
      <c r="D316" s="208" t="s">
        <v>26</v>
      </c>
      <c r="E316" s="302" t="s">
        <v>139</v>
      </c>
      <c r="F316" s="315" t="s">
        <v>944</v>
      </c>
      <c r="G316" s="312">
        <v>3</v>
      </c>
      <c r="H316" s="196">
        <f>IF(VLOOKUP(J316,'HOURLY RATES'!B$116:C$124,2,0)=0,$J$3,VLOOKUP(J316,'HOURLY RATES'!B$116:C$124,2,0))</f>
        <v>0</v>
      </c>
      <c r="I316" s="251">
        <f t="shared" si="279"/>
        <v>3</v>
      </c>
      <c r="J316" s="183" t="s">
        <v>16</v>
      </c>
      <c r="K316" s="391">
        <f t="shared" si="280"/>
        <v>0.58051000000000008</v>
      </c>
      <c r="L316" s="369">
        <f t="shared" si="275"/>
        <v>1.7415300000000002</v>
      </c>
      <c r="M316" s="185">
        <f>IF(VLOOKUP(E316,'HOURLY RATES'!C$6:D$105,2,0)=0,$E$3,VLOOKUP(E316,'HOURLY RATES'!C$6:D$105,2,0))</f>
        <v>29.5563775</v>
      </c>
      <c r="N316" s="197">
        <f t="shared" si="281"/>
        <v>51.473318107575004</v>
      </c>
      <c r="O316" s="296">
        <v>34.51</v>
      </c>
      <c r="P316" s="188">
        <f t="shared" si="282"/>
        <v>103.53</v>
      </c>
      <c r="Q316" s="189">
        <f t="shared" si="283"/>
        <v>155.00331810757501</v>
      </c>
      <c r="R316" s="190"/>
      <c r="X316" s="212"/>
    </row>
    <row r="317" spans="1:24" s="12" customFormat="1" x14ac:dyDescent="0.2">
      <c r="A317" s="298" t="str">
        <f>IF(J317&lt;&gt;"",1+MAX($A$18:A316),"")</f>
        <v/>
      </c>
      <c r="B317" s="346"/>
      <c r="C317" s="346"/>
      <c r="D317" s="347"/>
      <c r="E317" s="302"/>
      <c r="F317" s="315"/>
      <c r="G317" s="312"/>
      <c r="H317" s="336"/>
      <c r="I317" s="348"/>
      <c r="J317" s="349"/>
      <c r="K317" s="397"/>
      <c r="L317" s="340"/>
      <c r="M317" s="341"/>
      <c r="N317" s="342"/>
      <c r="O317" s="398"/>
      <c r="P317" s="344"/>
      <c r="Q317" s="345"/>
      <c r="R317" s="190"/>
      <c r="X317" s="212"/>
    </row>
    <row r="318" spans="1:24" s="12" customFormat="1" x14ac:dyDescent="0.2">
      <c r="A318" s="298" t="str">
        <f>IF(J318&lt;&gt;"",1+MAX($A$18:A317),"")</f>
        <v/>
      </c>
      <c r="B318" s="346"/>
      <c r="C318" s="346"/>
      <c r="D318" s="347"/>
      <c r="E318" s="302"/>
      <c r="F318" s="313" t="s">
        <v>517</v>
      </c>
      <c r="G318" s="312"/>
      <c r="H318" s="336"/>
      <c r="I318" s="348"/>
      <c r="J318" s="349"/>
      <c r="K318" s="397"/>
      <c r="L318" s="340"/>
      <c r="M318" s="341"/>
      <c r="N318" s="342"/>
      <c r="O318" s="296"/>
      <c r="P318" s="344"/>
      <c r="Q318" s="345"/>
      <c r="R318" s="190"/>
      <c r="X318" s="212"/>
    </row>
    <row r="319" spans="1:24" s="12" customFormat="1" x14ac:dyDescent="0.2">
      <c r="A319" s="298">
        <f>IF(J319&lt;&gt;"",1+MAX($A$18:A318),"")</f>
        <v>179</v>
      </c>
      <c r="B319" s="299" t="s">
        <v>427</v>
      </c>
      <c r="C319" s="299" t="s">
        <v>526</v>
      </c>
      <c r="D319" s="208" t="s">
        <v>26</v>
      </c>
      <c r="E319" s="302" t="s">
        <v>139</v>
      </c>
      <c r="F319" s="315" t="s">
        <v>520</v>
      </c>
      <c r="G319" s="312">
        <v>2</v>
      </c>
      <c r="H319" s="196">
        <f>IF(VLOOKUP(J319,'HOURLY RATES'!B$116:C$124,2,0)=0,$J$3,VLOOKUP(J319,'HOURLY RATES'!B$116:C$124,2,0))</f>
        <v>0</v>
      </c>
      <c r="I319" s="251">
        <f t="shared" ref="I319:I331" si="284">(G319*(1+H319))</f>
        <v>2</v>
      </c>
      <c r="J319" s="183" t="s">
        <v>16</v>
      </c>
      <c r="K319" s="397">
        <f>(2.5*6.25)*(0.35)</f>
        <v>5.46875</v>
      </c>
      <c r="L319" s="369">
        <f t="shared" ref="L319:L331" si="285">K319*I319</f>
        <v>10.9375</v>
      </c>
      <c r="M319" s="185">
        <f>IF(VLOOKUP(E319,'HOURLY RATES'!C$6:D$105,2,0)=0,$E$3,VLOOKUP(E319,'HOURLY RATES'!C$6:D$105,2,0))</f>
        <v>29.5563775</v>
      </c>
      <c r="N319" s="197">
        <f t="shared" ref="N319:N331" si="286">M319*L319</f>
        <v>323.27287890625001</v>
      </c>
      <c r="O319" s="296">
        <f>(2.5*6.25)*(22.5+14.17)</f>
        <v>572.96875</v>
      </c>
      <c r="P319" s="188">
        <f t="shared" ref="P319:P331" si="287">O319*I319</f>
        <v>1145.9375</v>
      </c>
      <c r="Q319" s="189">
        <f t="shared" ref="Q319:Q331" si="288">P319+N319</f>
        <v>1469.2103789062501</v>
      </c>
      <c r="R319" s="190"/>
      <c r="X319" s="212"/>
    </row>
    <row r="320" spans="1:24" s="12" customFormat="1" x14ac:dyDescent="0.2">
      <c r="A320" s="298">
        <f>IF(J320&lt;&gt;"",1+MAX($A$18:A319),"")</f>
        <v>180</v>
      </c>
      <c r="B320" s="299" t="s">
        <v>427</v>
      </c>
      <c r="C320" s="299" t="s">
        <v>526</v>
      </c>
      <c r="D320" s="208" t="s">
        <v>26</v>
      </c>
      <c r="E320" s="302" t="s">
        <v>139</v>
      </c>
      <c r="F320" s="315" t="s">
        <v>521</v>
      </c>
      <c r="G320" s="312">
        <v>2</v>
      </c>
      <c r="H320" s="196">
        <f>IF(VLOOKUP(J320,'HOURLY RATES'!B$116:C$124,2,0)=0,$J$3,VLOOKUP(J320,'HOURLY RATES'!B$116:C$124,2,0))</f>
        <v>0</v>
      </c>
      <c r="I320" s="251">
        <f t="shared" si="284"/>
        <v>2</v>
      </c>
      <c r="J320" s="183" t="s">
        <v>16</v>
      </c>
      <c r="K320" s="397">
        <f>(2*5)*(0.35)</f>
        <v>3.5</v>
      </c>
      <c r="L320" s="369">
        <f t="shared" si="285"/>
        <v>7</v>
      </c>
      <c r="M320" s="185">
        <f>IF(VLOOKUP(E320,'HOURLY RATES'!C$6:D$105,2,0)=0,$E$3,VLOOKUP(E320,'HOURLY RATES'!C$6:D$105,2,0))</f>
        <v>29.5563775</v>
      </c>
      <c r="N320" s="197">
        <f t="shared" si="286"/>
        <v>206.8946425</v>
      </c>
      <c r="O320" s="296">
        <f>(2*5)*(22.5+14.17)</f>
        <v>366.70000000000005</v>
      </c>
      <c r="P320" s="188">
        <f t="shared" si="287"/>
        <v>733.40000000000009</v>
      </c>
      <c r="Q320" s="189">
        <f t="shared" si="288"/>
        <v>940.29464250000012</v>
      </c>
      <c r="R320" s="190"/>
      <c r="X320" s="212"/>
    </row>
    <row r="321" spans="1:24" s="12" customFormat="1" x14ac:dyDescent="0.2">
      <c r="A321" s="298">
        <f>IF(J321&lt;&gt;"",1+MAX($A$18:A320),"")</f>
        <v>181</v>
      </c>
      <c r="B321" s="299" t="s">
        <v>427</v>
      </c>
      <c r="C321" s="299" t="s">
        <v>526</v>
      </c>
      <c r="D321" s="208" t="s">
        <v>26</v>
      </c>
      <c r="E321" s="302" t="s">
        <v>139</v>
      </c>
      <c r="F321" s="315" t="s">
        <v>522</v>
      </c>
      <c r="G321" s="312">
        <v>1</v>
      </c>
      <c r="H321" s="196">
        <f>IF(VLOOKUP(J321,'HOURLY RATES'!B$116:C$124,2,0)=0,$J$3,VLOOKUP(J321,'HOURLY RATES'!B$116:C$124,2,0))</f>
        <v>0</v>
      </c>
      <c r="I321" s="251">
        <f t="shared" si="284"/>
        <v>1</v>
      </c>
      <c r="J321" s="183" t="s">
        <v>16</v>
      </c>
      <c r="K321" s="397">
        <f>(7.75*1.5)*(0.35)</f>
        <v>4.0687499999999996</v>
      </c>
      <c r="L321" s="369">
        <f t="shared" si="285"/>
        <v>4.0687499999999996</v>
      </c>
      <c r="M321" s="185">
        <f>IF(VLOOKUP(E321,'HOURLY RATES'!C$6:D$105,2,0)=0,$E$3,VLOOKUP(E321,'HOURLY RATES'!C$6:D$105,2,0))</f>
        <v>29.5563775</v>
      </c>
      <c r="N321" s="197">
        <f t="shared" si="286"/>
        <v>120.25751095312499</v>
      </c>
      <c r="O321" s="296">
        <f>(7.75*1.5)*(22.5+14.17)</f>
        <v>426.28874999999999</v>
      </c>
      <c r="P321" s="188">
        <f t="shared" si="287"/>
        <v>426.28874999999999</v>
      </c>
      <c r="Q321" s="189">
        <f t="shared" si="288"/>
        <v>546.54626095312494</v>
      </c>
      <c r="R321" s="190"/>
      <c r="X321" s="212"/>
    </row>
    <row r="322" spans="1:24" s="12" customFormat="1" x14ac:dyDescent="0.2">
      <c r="A322" s="298">
        <f>IF(J322&lt;&gt;"",1+MAX($A$18:A321),"")</f>
        <v>182</v>
      </c>
      <c r="B322" s="299" t="s">
        <v>427</v>
      </c>
      <c r="C322" s="299" t="s">
        <v>526</v>
      </c>
      <c r="D322" s="208" t="s">
        <v>26</v>
      </c>
      <c r="E322" s="302" t="s">
        <v>139</v>
      </c>
      <c r="F322" s="315" t="s">
        <v>523</v>
      </c>
      <c r="G322" s="312">
        <v>3</v>
      </c>
      <c r="H322" s="196">
        <f>IF(VLOOKUP(J322,'HOURLY RATES'!B$116:C$124,2,0)=0,$J$3,VLOOKUP(J322,'HOURLY RATES'!B$116:C$124,2,0))</f>
        <v>0</v>
      </c>
      <c r="I322" s="251">
        <f t="shared" si="284"/>
        <v>3</v>
      </c>
      <c r="J322" s="183" t="s">
        <v>16</v>
      </c>
      <c r="K322" s="397">
        <f>(2.5*5.16)*(0.35)</f>
        <v>4.5149999999999997</v>
      </c>
      <c r="L322" s="369">
        <f t="shared" si="285"/>
        <v>13.544999999999998</v>
      </c>
      <c r="M322" s="185">
        <f>IF(VLOOKUP(E322,'HOURLY RATES'!C$6:D$105,2,0)=0,$E$3,VLOOKUP(E322,'HOURLY RATES'!C$6:D$105,2,0))</f>
        <v>29.5563775</v>
      </c>
      <c r="N322" s="197">
        <f t="shared" si="286"/>
        <v>400.34113323749995</v>
      </c>
      <c r="O322" s="296">
        <f>(2.5*5.16)*(22.5+14.17)</f>
        <v>473.04300000000006</v>
      </c>
      <c r="P322" s="188">
        <f t="shared" si="287"/>
        <v>1419.1290000000001</v>
      </c>
      <c r="Q322" s="189">
        <f t="shared" si="288"/>
        <v>1819.4701332375</v>
      </c>
      <c r="R322" s="190"/>
      <c r="X322" s="212"/>
    </row>
    <row r="323" spans="1:24" s="12" customFormat="1" x14ac:dyDescent="0.2">
      <c r="A323" s="298">
        <f>IF(J323&lt;&gt;"",1+MAX($A$18:A322),"")</f>
        <v>183</v>
      </c>
      <c r="B323" s="299" t="s">
        <v>427</v>
      </c>
      <c r="C323" s="299" t="s">
        <v>526</v>
      </c>
      <c r="D323" s="208" t="s">
        <v>26</v>
      </c>
      <c r="E323" s="302" t="s">
        <v>139</v>
      </c>
      <c r="F323" s="315" t="s">
        <v>524</v>
      </c>
      <c r="G323" s="312">
        <v>2</v>
      </c>
      <c r="H323" s="196">
        <f>IF(VLOOKUP(J323,'HOURLY RATES'!B$116:C$124,2,0)=0,$J$3,VLOOKUP(J323,'HOURLY RATES'!B$116:C$124,2,0))</f>
        <v>0</v>
      </c>
      <c r="I323" s="251">
        <f t="shared" si="284"/>
        <v>2</v>
      </c>
      <c r="J323" s="183" t="s">
        <v>16</v>
      </c>
      <c r="K323" s="397">
        <f>(2*5)*(0.35)</f>
        <v>3.5</v>
      </c>
      <c r="L323" s="369">
        <f t="shared" si="285"/>
        <v>7</v>
      </c>
      <c r="M323" s="185">
        <f>IF(VLOOKUP(E323,'HOURLY RATES'!C$6:D$105,2,0)=0,$E$3,VLOOKUP(E323,'HOURLY RATES'!C$6:D$105,2,0))</f>
        <v>29.5563775</v>
      </c>
      <c r="N323" s="197">
        <f t="shared" si="286"/>
        <v>206.8946425</v>
      </c>
      <c r="O323" s="296">
        <f>(2*5)*(22.5+14.17)</f>
        <v>366.70000000000005</v>
      </c>
      <c r="P323" s="188">
        <f t="shared" si="287"/>
        <v>733.40000000000009</v>
      </c>
      <c r="Q323" s="189">
        <f t="shared" si="288"/>
        <v>940.29464250000012</v>
      </c>
      <c r="R323" s="190"/>
      <c r="X323" s="212"/>
    </row>
    <row r="324" spans="1:24" s="12" customFormat="1" x14ac:dyDescent="0.2">
      <c r="A324" s="298">
        <f>IF(J324&lt;&gt;"",1+MAX($A$18:A323),"")</f>
        <v>184</v>
      </c>
      <c r="B324" s="299" t="s">
        <v>427</v>
      </c>
      <c r="C324" s="299" t="s">
        <v>526</v>
      </c>
      <c r="D324" s="208" t="s">
        <v>26</v>
      </c>
      <c r="E324" s="302" t="s">
        <v>139</v>
      </c>
      <c r="F324" s="315" t="s">
        <v>525</v>
      </c>
      <c r="G324" s="312">
        <v>3</v>
      </c>
      <c r="H324" s="196">
        <f>IF(VLOOKUP(J324,'HOURLY RATES'!B$116:C$124,2,0)=0,$J$3,VLOOKUP(J324,'HOURLY RATES'!B$116:C$124,2,0))</f>
        <v>0</v>
      </c>
      <c r="I324" s="251">
        <f t="shared" si="284"/>
        <v>3</v>
      </c>
      <c r="J324" s="183" t="s">
        <v>16</v>
      </c>
      <c r="K324" s="397">
        <f>(7.5*5)*(0.35)</f>
        <v>13.125</v>
      </c>
      <c r="L324" s="369">
        <f t="shared" si="285"/>
        <v>39.375</v>
      </c>
      <c r="M324" s="185">
        <f>IF(VLOOKUP(E324,'HOURLY RATES'!C$6:D$105,2,0)=0,$E$3,VLOOKUP(E324,'HOURLY RATES'!C$6:D$105,2,0))</f>
        <v>29.5563775</v>
      </c>
      <c r="N324" s="197">
        <f t="shared" si="286"/>
        <v>1163.7823640624999</v>
      </c>
      <c r="O324" s="296">
        <f>(7.5*5)*(22.5+14.17)</f>
        <v>1375.125</v>
      </c>
      <c r="P324" s="188">
        <f t="shared" si="287"/>
        <v>4125.375</v>
      </c>
      <c r="Q324" s="189">
        <f t="shared" si="288"/>
        <v>5289.1573640625002</v>
      </c>
      <c r="R324" s="190"/>
      <c r="X324" s="212"/>
    </row>
    <row r="325" spans="1:24" s="12" customFormat="1" x14ac:dyDescent="0.2">
      <c r="A325" s="298">
        <f>IF(J325&lt;&gt;"",1+MAX($A$18:A324),"")</f>
        <v>185</v>
      </c>
      <c r="B325" s="299" t="s">
        <v>427</v>
      </c>
      <c r="C325" s="299" t="s">
        <v>526</v>
      </c>
      <c r="D325" s="208" t="s">
        <v>26</v>
      </c>
      <c r="E325" s="302" t="s">
        <v>139</v>
      </c>
      <c r="F325" s="315" t="s">
        <v>519</v>
      </c>
      <c r="G325" s="312">
        <v>3</v>
      </c>
      <c r="H325" s="196">
        <f>IF(VLOOKUP(J325,'HOURLY RATES'!B$116:C$124,2,0)=0,$J$3,VLOOKUP(J325,'HOURLY RATES'!B$116:C$124,2,0))</f>
        <v>0</v>
      </c>
      <c r="I325" s="251">
        <f t="shared" si="284"/>
        <v>3</v>
      </c>
      <c r="J325" s="183" t="s">
        <v>16</v>
      </c>
      <c r="K325" s="397">
        <f>(7.5*1.645)*(0.35)</f>
        <v>4.3181250000000002</v>
      </c>
      <c r="L325" s="369">
        <f t="shared" si="285"/>
        <v>12.954375000000001</v>
      </c>
      <c r="M325" s="185">
        <f>IF(VLOOKUP(E325,'HOURLY RATES'!C$6:D$105,2,0)=0,$E$3,VLOOKUP(E325,'HOURLY RATES'!C$6:D$105,2,0))</f>
        <v>29.5563775</v>
      </c>
      <c r="N325" s="197">
        <f t="shared" si="286"/>
        <v>382.88439777656254</v>
      </c>
      <c r="O325" s="296">
        <f>(7.5*1.645)*(22.5+14.17)</f>
        <v>452.41612500000002</v>
      </c>
      <c r="P325" s="188">
        <f t="shared" si="287"/>
        <v>1357.2483750000001</v>
      </c>
      <c r="Q325" s="189">
        <f t="shared" si="288"/>
        <v>1740.1327727765627</v>
      </c>
      <c r="R325" s="190"/>
      <c r="X325" s="212"/>
    </row>
    <row r="326" spans="1:24" s="12" customFormat="1" x14ac:dyDescent="0.2">
      <c r="A326" s="298">
        <f>IF(J326&lt;&gt;"",1+MAX($A$18:A325),"")</f>
        <v>186</v>
      </c>
      <c r="B326" s="299" t="s">
        <v>427</v>
      </c>
      <c r="C326" s="299" t="s">
        <v>526</v>
      </c>
      <c r="D326" s="208" t="s">
        <v>26</v>
      </c>
      <c r="E326" s="302" t="s">
        <v>139</v>
      </c>
      <c r="F326" s="315" t="s">
        <v>518</v>
      </c>
      <c r="G326" s="312">
        <v>1</v>
      </c>
      <c r="H326" s="196">
        <f>IF(VLOOKUP(J326,'HOURLY RATES'!B$116:C$124,2,0)=0,$J$3,VLOOKUP(J326,'HOURLY RATES'!B$116:C$124,2,0))</f>
        <v>0</v>
      </c>
      <c r="I326" s="251">
        <f t="shared" si="284"/>
        <v>1</v>
      </c>
      <c r="J326" s="183" t="s">
        <v>16</v>
      </c>
      <c r="K326" s="397">
        <f>(7*2.479)*(0.35)</f>
        <v>6.07355</v>
      </c>
      <c r="L326" s="369">
        <f t="shared" si="285"/>
        <v>6.07355</v>
      </c>
      <c r="M326" s="185">
        <f>IF(VLOOKUP(E326,'HOURLY RATES'!C$6:D$105,2,0)=0,$E$3,VLOOKUP(E326,'HOURLY RATES'!C$6:D$105,2,0))</f>
        <v>29.5563775</v>
      </c>
      <c r="N326" s="197">
        <f t="shared" si="286"/>
        <v>179.51213656512499</v>
      </c>
      <c r="O326" s="296">
        <f>(7*2.479)*(22.5+14.17)</f>
        <v>636.33451000000014</v>
      </c>
      <c r="P326" s="188">
        <f t="shared" si="287"/>
        <v>636.33451000000014</v>
      </c>
      <c r="Q326" s="189">
        <f t="shared" si="288"/>
        <v>815.84664656512518</v>
      </c>
      <c r="R326" s="190"/>
      <c r="X326" s="212"/>
    </row>
    <row r="327" spans="1:24" s="12" customFormat="1" x14ac:dyDescent="0.2">
      <c r="A327" s="298">
        <f>IF(J327&lt;&gt;"",1+MAX($A$18:A326),"")</f>
        <v>187</v>
      </c>
      <c r="B327" s="299" t="s">
        <v>427</v>
      </c>
      <c r="C327" s="299" t="s">
        <v>526</v>
      </c>
      <c r="D327" s="208" t="s">
        <v>26</v>
      </c>
      <c r="E327" s="302" t="s">
        <v>139</v>
      </c>
      <c r="F327" s="315" t="s">
        <v>644</v>
      </c>
      <c r="G327" s="312">
        <v>1</v>
      </c>
      <c r="H327" s="196">
        <f>IF(VLOOKUP(J327,'HOURLY RATES'!B$116:C$124,2,0)=0,$J$3,VLOOKUP(J327,'HOURLY RATES'!B$116:C$124,2,0))</f>
        <v>0</v>
      </c>
      <c r="I327" s="251">
        <f t="shared" si="284"/>
        <v>1</v>
      </c>
      <c r="J327" s="183" t="s">
        <v>16</v>
      </c>
      <c r="K327" s="397">
        <f>(5*2.479)*(0.35)</f>
        <v>4.3382499999999995</v>
      </c>
      <c r="L327" s="369">
        <f t="shared" si="285"/>
        <v>4.3382499999999995</v>
      </c>
      <c r="M327" s="185">
        <f>IF(VLOOKUP(E327,'HOURLY RATES'!C$6:D$105,2,0)=0,$E$3,VLOOKUP(E327,'HOURLY RATES'!C$6:D$105,2,0))</f>
        <v>29.5563775</v>
      </c>
      <c r="N327" s="197">
        <f t="shared" si="286"/>
        <v>128.22295468937497</v>
      </c>
      <c r="O327" s="296">
        <f>(5*2.479)*(22.5+14.17)</f>
        <v>454.52465000000001</v>
      </c>
      <c r="P327" s="188">
        <f t="shared" si="287"/>
        <v>454.52465000000001</v>
      </c>
      <c r="Q327" s="189">
        <f t="shared" si="288"/>
        <v>582.74760468937495</v>
      </c>
      <c r="R327" s="190"/>
      <c r="X327" s="212"/>
    </row>
    <row r="328" spans="1:24" s="12" customFormat="1" x14ac:dyDescent="0.2">
      <c r="A328" s="298">
        <f>IF(J328&lt;&gt;"",1+MAX($A$18:A327),"")</f>
        <v>188</v>
      </c>
      <c r="B328" s="299" t="s">
        <v>427</v>
      </c>
      <c r="C328" s="299" t="s">
        <v>526</v>
      </c>
      <c r="D328" s="208" t="s">
        <v>26</v>
      </c>
      <c r="E328" s="302" t="s">
        <v>139</v>
      </c>
      <c r="F328" s="315" t="s">
        <v>648</v>
      </c>
      <c r="G328" s="312">
        <v>1</v>
      </c>
      <c r="H328" s="196">
        <f>IF(VLOOKUP(J328,'HOURLY RATES'!B$116:C$124,2,0)=0,$J$3,VLOOKUP(J328,'HOURLY RATES'!B$116:C$124,2,0))</f>
        <v>0</v>
      </c>
      <c r="I328" s="251">
        <f t="shared" ref="I328" si="289">(G328*(1+H328))</f>
        <v>1</v>
      </c>
      <c r="J328" s="183" t="s">
        <v>16</v>
      </c>
      <c r="K328" s="397">
        <f>(2.5*2.98)*(0.35)</f>
        <v>2.6074999999999999</v>
      </c>
      <c r="L328" s="369">
        <f t="shared" si="285"/>
        <v>2.6074999999999999</v>
      </c>
      <c r="M328" s="185">
        <f>IF(VLOOKUP(E328,'HOURLY RATES'!C$6:D$105,2,0)=0,$E$3,VLOOKUP(E328,'HOURLY RATES'!C$6:D$105,2,0))</f>
        <v>29.5563775</v>
      </c>
      <c r="N328" s="197">
        <f t="shared" ref="N328" si="290">M328*L328</f>
        <v>77.068254331250003</v>
      </c>
      <c r="O328" s="296">
        <f>(2.5*2.98)*(22.5+14.17)</f>
        <v>273.19150000000002</v>
      </c>
      <c r="P328" s="188">
        <f t="shared" ref="P328" si="291">O328*I328</f>
        <v>273.19150000000002</v>
      </c>
      <c r="Q328" s="189">
        <f t="shared" ref="Q328" si="292">P328+N328</f>
        <v>350.25975433125001</v>
      </c>
      <c r="R328" s="190"/>
      <c r="X328" s="212"/>
    </row>
    <row r="329" spans="1:24" s="12" customFormat="1" x14ac:dyDescent="0.2">
      <c r="A329" s="298">
        <f>IF(J329&lt;&gt;"",1+MAX($A$18:A328),"")</f>
        <v>189</v>
      </c>
      <c r="B329" s="299" t="s">
        <v>427</v>
      </c>
      <c r="C329" s="299" t="s">
        <v>526</v>
      </c>
      <c r="D329" s="208" t="s">
        <v>26</v>
      </c>
      <c r="E329" s="302" t="s">
        <v>139</v>
      </c>
      <c r="F329" s="315" t="s">
        <v>647</v>
      </c>
      <c r="G329" s="312">
        <v>1</v>
      </c>
      <c r="H329" s="196">
        <f>IF(VLOOKUP(J329,'HOURLY RATES'!B$116:C$124,2,0)=0,$J$3,VLOOKUP(J329,'HOURLY RATES'!B$116:C$124,2,0))</f>
        <v>0</v>
      </c>
      <c r="I329" s="251">
        <f t="shared" si="284"/>
        <v>1</v>
      </c>
      <c r="J329" s="183" t="s">
        <v>16</v>
      </c>
      <c r="K329" s="397">
        <f>(5*6)*(0.35)</f>
        <v>10.5</v>
      </c>
      <c r="L329" s="369">
        <f t="shared" si="285"/>
        <v>10.5</v>
      </c>
      <c r="M329" s="185">
        <f>IF(VLOOKUP(E329,'HOURLY RATES'!C$6:D$105,2,0)=0,$E$3,VLOOKUP(E329,'HOURLY RATES'!C$6:D$105,2,0))</f>
        <v>29.5563775</v>
      </c>
      <c r="N329" s="197">
        <f t="shared" si="286"/>
        <v>310.34196374999999</v>
      </c>
      <c r="O329" s="296">
        <f>(5*6)*(22.5+14.17)</f>
        <v>1100.1000000000001</v>
      </c>
      <c r="P329" s="188">
        <f t="shared" si="287"/>
        <v>1100.1000000000001</v>
      </c>
      <c r="Q329" s="189">
        <f t="shared" si="288"/>
        <v>1410.44196375</v>
      </c>
      <c r="R329" s="190"/>
      <c r="X329" s="212"/>
    </row>
    <row r="330" spans="1:24" s="12" customFormat="1" x14ac:dyDescent="0.2">
      <c r="A330" s="298">
        <f>IF(J330&lt;&gt;"",1+MAX($A$18:A329),"")</f>
        <v>190</v>
      </c>
      <c r="B330" s="299" t="s">
        <v>427</v>
      </c>
      <c r="C330" s="299" t="s">
        <v>526</v>
      </c>
      <c r="D330" s="208" t="s">
        <v>26</v>
      </c>
      <c r="E330" s="302" t="s">
        <v>139</v>
      </c>
      <c r="F330" s="315" t="s">
        <v>646</v>
      </c>
      <c r="G330" s="312">
        <v>1</v>
      </c>
      <c r="H330" s="196">
        <f>IF(VLOOKUP(J330,'HOURLY RATES'!B$116:C$124,2,0)=0,$J$3,VLOOKUP(J330,'HOURLY RATES'!B$116:C$124,2,0))</f>
        <v>0</v>
      </c>
      <c r="I330" s="251">
        <f t="shared" si="284"/>
        <v>1</v>
      </c>
      <c r="J330" s="183" t="s">
        <v>16</v>
      </c>
      <c r="K330" s="397">
        <f>(2*2.98)*(0.35)</f>
        <v>2.0859999999999999</v>
      </c>
      <c r="L330" s="369">
        <f t="shared" si="285"/>
        <v>2.0859999999999999</v>
      </c>
      <c r="M330" s="185">
        <f>IF(VLOOKUP(E330,'HOURLY RATES'!C$6:D$105,2,0)=0,$E$3,VLOOKUP(E330,'HOURLY RATES'!C$6:D$105,2,0))</f>
        <v>29.5563775</v>
      </c>
      <c r="N330" s="197">
        <f t="shared" si="286"/>
        <v>61.654603464999994</v>
      </c>
      <c r="O330" s="296">
        <f>(2*2.98)*(22.5+14.17)</f>
        <v>218.5532</v>
      </c>
      <c r="P330" s="188">
        <f t="shared" si="287"/>
        <v>218.5532</v>
      </c>
      <c r="Q330" s="189">
        <f t="shared" si="288"/>
        <v>280.20780346499998</v>
      </c>
      <c r="R330" s="190"/>
      <c r="X330" s="212"/>
    </row>
    <row r="331" spans="1:24" s="12" customFormat="1" x14ac:dyDescent="0.2">
      <c r="A331" s="298">
        <f>IF(J331&lt;&gt;"",1+MAX($A$18:A330),"")</f>
        <v>191</v>
      </c>
      <c r="B331" s="299" t="s">
        <v>427</v>
      </c>
      <c r="C331" s="299" t="s">
        <v>526</v>
      </c>
      <c r="D331" s="208" t="s">
        <v>26</v>
      </c>
      <c r="E331" s="302" t="s">
        <v>139</v>
      </c>
      <c r="F331" s="315" t="s">
        <v>645</v>
      </c>
      <c r="G331" s="312">
        <v>1</v>
      </c>
      <c r="H331" s="196">
        <f>IF(VLOOKUP(J331,'HOURLY RATES'!B$116:C$124,2,0)=0,$J$3,VLOOKUP(J331,'HOURLY RATES'!B$116:C$124,2,0))</f>
        <v>0</v>
      </c>
      <c r="I331" s="251">
        <f t="shared" si="284"/>
        <v>1</v>
      </c>
      <c r="J331" s="183" t="s">
        <v>16</v>
      </c>
      <c r="K331" s="397">
        <f>(5*6)*(0.35)</f>
        <v>10.5</v>
      </c>
      <c r="L331" s="369">
        <f t="shared" si="285"/>
        <v>10.5</v>
      </c>
      <c r="M331" s="185">
        <f>IF(VLOOKUP(E331,'HOURLY RATES'!C$6:D$105,2,0)=0,$E$3,VLOOKUP(E331,'HOURLY RATES'!C$6:D$105,2,0))</f>
        <v>29.5563775</v>
      </c>
      <c r="N331" s="197">
        <f t="shared" si="286"/>
        <v>310.34196374999999</v>
      </c>
      <c r="O331" s="296">
        <f>(5*6)*(22.5+14.17)</f>
        <v>1100.1000000000001</v>
      </c>
      <c r="P331" s="188">
        <f t="shared" si="287"/>
        <v>1100.1000000000001</v>
      </c>
      <c r="Q331" s="189">
        <f t="shared" si="288"/>
        <v>1410.44196375</v>
      </c>
      <c r="R331" s="190"/>
      <c r="X331" s="212"/>
    </row>
    <row r="332" spans="1:24" s="12" customFormat="1" ht="16.5" thickBot="1" x14ac:dyDescent="0.25">
      <c r="A332" s="214" t="str">
        <f>IF(J332&lt;&gt;"",1+MAX($A$18:A331),"")</f>
        <v/>
      </c>
      <c r="B332" s="215"/>
      <c r="C332" s="215"/>
      <c r="D332" s="215"/>
      <c r="E332" s="215"/>
      <c r="F332" s="216"/>
      <c r="G332" s="217"/>
      <c r="H332" s="218"/>
      <c r="I332" s="219"/>
      <c r="J332" s="220"/>
      <c r="K332" s="390"/>
      <c r="L332" s="222"/>
      <c r="M332" s="223"/>
      <c r="N332" s="224"/>
      <c r="O332" s="392"/>
      <c r="P332" s="226"/>
      <c r="Q332" s="227"/>
      <c r="R332" s="228"/>
      <c r="X332" s="212"/>
    </row>
    <row r="333" spans="1:24" s="12" customFormat="1" ht="20.100000000000001" customHeight="1" x14ac:dyDescent="0.2">
      <c r="A333" s="479" t="str">
        <f>IF(J333&lt;&gt;"",1+MAX($A$18:A332),"")</f>
        <v/>
      </c>
      <c r="B333" s="480"/>
      <c r="C333" s="480"/>
      <c r="D333" s="485" t="s">
        <v>21</v>
      </c>
      <c r="E333" s="485"/>
      <c r="F333" s="486" t="s">
        <v>29</v>
      </c>
      <c r="G333" s="481"/>
      <c r="H333" s="482"/>
      <c r="I333" s="483"/>
      <c r="J333" s="483"/>
      <c r="K333" s="482"/>
      <c r="L333" s="482"/>
      <c r="M333" s="482"/>
      <c r="N333" s="482"/>
      <c r="O333" s="482"/>
      <c r="P333" s="482"/>
      <c r="Q333" s="482"/>
      <c r="R333" s="484">
        <f>SUM(Q334:Q565)</f>
        <v>100905.02829319413</v>
      </c>
      <c r="X333" s="212"/>
    </row>
    <row r="334" spans="1:24" s="12" customFormat="1" x14ac:dyDescent="0.2">
      <c r="A334" s="287" t="str">
        <f>IF(J334&lt;&gt;"",1+MAX($A$18:A333),"")</f>
        <v/>
      </c>
      <c r="B334" s="301"/>
      <c r="C334" s="301"/>
      <c r="D334" s="201"/>
      <c r="E334" s="192"/>
      <c r="F334" s="207" t="s">
        <v>27</v>
      </c>
      <c r="G334" s="288"/>
      <c r="H334" s="289"/>
      <c r="I334" s="290"/>
      <c r="J334" s="291"/>
      <c r="K334" s="292"/>
      <c r="L334" s="293"/>
      <c r="M334" s="294"/>
      <c r="N334" s="295"/>
      <c r="O334" s="296"/>
      <c r="P334" s="295"/>
      <c r="Q334" s="297"/>
      <c r="R334" s="304"/>
      <c r="X334" s="212"/>
    </row>
    <row r="335" spans="1:24" s="12" customFormat="1" ht="18.75" x14ac:dyDescent="0.2">
      <c r="A335" s="287" t="str">
        <f>IF(J335&lt;&gt;"",1+MAX($A$18:A334),"")</f>
        <v/>
      </c>
      <c r="B335" s="301"/>
      <c r="C335" s="301"/>
      <c r="D335" s="201"/>
      <c r="E335" s="192"/>
      <c r="F335" s="316" t="s">
        <v>296</v>
      </c>
      <c r="G335" s="288"/>
      <c r="H335" s="289"/>
      <c r="I335" s="290"/>
      <c r="J335" s="291"/>
      <c r="K335" s="292"/>
      <c r="L335" s="293"/>
      <c r="M335" s="294"/>
      <c r="N335" s="295"/>
      <c r="O335" s="296"/>
      <c r="P335" s="295"/>
      <c r="Q335" s="297"/>
      <c r="R335" s="304"/>
      <c r="X335" s="212"/>
    </row>
    <row r="336" spans="1:24" s="12" customFormat="1" x14ac:dyDescent="0.2">
      <c r="A336" s="287" t="str">
        <f>IF(J336&lt;&gt;"",1+MAX($A$18:A335),"")</f>
        <v/>
      </c>
      <c r="B336" s="301"/>
      <c r="C336" s="301"/>
      <c r="D336" s="201"/>
      <c r="E336" s="192"/>
      <c r="F336" s="313" t="s">
        <v>429</v>
      </c>
      <c r="G336" s="319">
        <v>30.39</v>
      </c>
      <c r="H336" s="196"/>
      <c r="I336" s="251"/>
      <c r="J336" s="291"/>
      <c r="K336" s="292"/>
      <c r="L336" s="293"/>
      <c r="M336" s="294"/>
      <c r="N336" s="295"/>
      <c r="O336" s="296"/>
      <c r="P336" s="295"/>
      <c r="Q336" s="297"/>
      <c r="R336" s="304"/>
      <c r="X336" s="212"/>
    </row>
    <row r="337" spans="1:24" s="12" customFormat="1" ht="20.100000000000001" customHeight="1" x14ac:dyDescent="0.2">
      <c r="A337" s="298">
        <f>IF(J337&lt;&gt;"",1+MAX($A$18:A336),"")</f>
        <v>192</v>
      </c>
      <c r="B337" s="299" t="s">
        <v>427</v>
      </c>
      <c r="C337" s="299" t="s">
        <v>470</v>
      </c>
      <c r="D337" s="208" t="s">
        <v>21</v>
      </c>
      <c r="E337" s="302" t="s">
        <v>63</v>
      </c>
      <c r="F337" s="317" t="s">
        <v>445</v>
      </c>
      <c r="G337" s="288">
        <f>G336*2</f>
        <v>60.78</v>
      </c>
      <c r="H337" s="196">
        <f>IF(VLOOKUP(J337,'HOURLY RATES'!B$116:C$124,2,0)=0,$J$3,VLOOKUP(J337,'HOURLY RATES'!B$116:C$124,2,0))</f>
        <v>0.05</v>
      </c>
      <c r="I337" s="251">
        <f t="shared" ref="I337:I338" si="293">(G337*(1+H337))</f>
        <v>63.819000000000003</v>
      </c>
      <c r="J337" s="183" t="s">
        <v>19</v>
      </c>
      <c r="K337" s="368">
        <v>5.8999999999999997E-2</v>
      </c>
      <c r="L337" s="369">
        <f t="shared" ref="L337:L343" si="294">K337*I337</f>
        <v>3.7653210000000001</v>
      </c>
      <c r="M337" s="185">
        <f>IF(VLOOKUP(E337,'HOURLY RATES'!C$6:D$105,2,0)=0,$E$3,VLOOKUP(E337,'HOURLY RATES'!C$6:D$105,2,0))</f>
        <v>21.16197</v>
      </c>
      <c r="N337" s="197">
        <f t="shared" ref="N337:N338" si="295">M337*L337</f>
        <v>79.681610042370011</v>
      </c>
      <c r="O337" s="296">
        <v>1.21</v>
      </c>
      <c r="P337" s="188">
        <f t="shared" ref="P337:P338" si="296">O337*I337</f>
        <v>77.22099</v>
      </c>
      <c r="Q337" s="189">
        <f t="shared" ref="Q337:Q338" si="297">P337+N337</f>
        <v>156.90260004237001</v>
      </c>
      <c r="R337" s="190"/>
      <c r="X337" s="212"/>
    </row>
    <row r="338" spans="1:24" s="12" customFormat="1" ht="20.100000000000001" customHeight="1" x14ac:dyDescent="0.2">
      <c r="A338" s="298">
        <f>IF(J338&lt;&gt;"",1+MAX($A$18:A337),"")</f>
        <v>193</v>
      </c>
      <c r="B338" s="299" t="s">
        <v>427</v>
      </c>
      <c r="C338" s="299" t="s">
        <v>470</v>
      </c>
      <c r="D338" s="208" t="s">
        <v>21</v>
      </c>
      <c r="E338" s="302" t="s">
        <v>63</v>
      </c>
      <c r="F338" s="317" t="s">
        <v>448</v>
      </c>
      <c r="G338" s="288">
        <f>G336</f>
        <v>30.39</v>
      </c>
      <c r="H338" s="196">
        <f>IF(VLOOKUP(J338,'HOURLY RATES'!B$116:C$124,2,0)=0,$J$3,VLOOKUP(J338,'HOURLY RATES'!B$116:C$124,2,0))</f>
        <v>0.05</v>
      </c>
      <c r="I338" s="251">
        <f t="shared" si="293"/>
        <v>31.909500000000001</v>
      </c>
      <c r="J338" s="183" t="s">
        <v>19</v>
      </c>
      <c r="K338" s="368">
        <v>5.8999999999999997E-2</v>
      </c>
      <c r="L338" s="369">
        <f t="shared" si="294"/>
        <v>1.8826605000000001</v>
      </c>
      <c r="M338" s="185">
        <f>IF(VLOOKUP(E338,'HOURLY RATES'!C$6:D$105,2,0)=0,$E$3,VLOOKUP(E338,'HOURLY RATES'!C$6:D$105,2,0))</f>
        <v>21.16197</v>
      </c>
      <c r="N338" s="197">
        <f t="shared" si="295"/>
        <v>39.840805021185005</v>
      </c>
      <c r="O338" s="296">
        <v>1.44</v>
      </c>
      <c r="P338" s="188">
        <f t="shared" si="296"/>
        <v>45.949680000000001</v>
      </c>
      <c r="Q338" s="189">
        <f t="shared" si="297"/>
        <v>85.790485021185006</v>
      </c>
      <c r="R338" s="190"/>
      <c r="X338" s="212"/>
    </row>
    <row r="339" spans="1:24" s="12" customFormat="1" x14ac:dyDescent="0.2">
      <c r="A339" s="200">
        <f>IF(J339&lt;&gt;"",1+MAX($A$18:A338),"")</f>
        <v>194</v>
      </c>
      <c r="B339" s="299" t="s">
        <v>427</v>
      </c>
      <c r="C339" s="299" t="s">
        <v>470</v>
      </c>
      <c r="D339" s="208" t="s">
        <v>21</v>
      </c>
      <c r="E339" s="302" t="s">
        <v>63</v>
      </c>
      <c r="F339" s="317" t="s">
        <v>456</v>
      </c>
      <c r="G339" s="288">
        <f>G336/1.33</f>
        <v>22.849624060150376</v>
      </c>
      <c r="H339" s="196">
        <f>IF(VLOOKUP(J339,'HOURLY RATES'!B$116:C$124,2,0)=0,$J$3,VLOOKUP(J339,'HOURLY RATES'!B$116:C$124,2,0))</f>
        <v>0</v>
      </c>
      <c r="I339" s="251">
        <f t="shared" ref="I339:I340" si="298">(G339*(1+H339))</f>
        <v>22.849624060150376</v>
      </c>
      <c r="J339" s="183" t="s">
        <v>16</v>
      </c>
      <c r="K339" s="368">
        <f>10*0.059</f>
        <v>0.59</v>
      </c>
      <c r="L339" s="369">
        <f t="shared" si="294"/>
        <v>13.481278195488722</v>
      </c>
      <c r="M339" s="185">
        <f>IF(VLOOKUP(E339,'HOURLY RATES'!C$6:D$105,2,0)=0,$E$3,VLOOKUP(E339,'HOURLY RATES'!C$6:D$105,2,0))</f>
        <v>21.16197</v>
      </c>
      <c r="N339" s="197">
        <f t="shared" ref="N339:N340" si="299">M339*L339</f>
        <v>285.29040473458645</v>
      </c>
      <c r="O339" s="296">
        <f>1.21*10</f>
        <v>12.1</v>
      </c>
      <c r="P339" s="188">
        <f t="shared" ref="P339:P340" si="300">O339*I339</f>
        <v>276.48045112781955</v>
      </c>
      <c r="Q339" s="189">
        <f t="shared" ref="Q339:Q340" si="301">P339+N339</f>
        <v>561.77085586240605</v>
      </c>
      <c r="R339" s="190"/>
      <c r="X339" s="212"/>
    </row>
    <row r="340" spans="1:24" s="12" customFormat="1" x14ac:dyDescent="0.2">
      <c r="A340" s="200">
        <f>IF(J340&lt;&gt;"",1+MAX($A$18:A339),"")</f>
        <v>195</v>
      </c>
      <c r="B340" s="299" t="s">
        <v>427</v>
      </c>
      <c r="C340" s="299" t="s">
        <v>470</v>
      </c>
      <c r="D340" s="208" t="s">
        <v>21</v>
      </c>
      <c r="E340" s="302" t="s">
        <v>55</v>
      </c>
      <c r="F340" s="317" t="s">
        <v>450</v>
      </c>
      <c r="G340" s="288">
        <f>G336*10</f>
        <v>303.89999999999998</v>
      </c>
      <c r="H340" s="196">
        <f>IF(VLOOKUP(J340,'HOURLY RATES'!B$116:C$124,2,0)=0,$J$3,VLOOKUP(J340,'HOURLY RATES'!B$116:C$124,2,0))</f>
        <v>0.05</v>
      </c>
      <c r="I340" s="251">
        <f t="shared" si="298"/>
        <v>319.09499999999997</v>
      </c>
      <c r="J340" s="183" t="s">
        <v>17</v>
      </c>
      <c r="K340" s="368">
        <v>0.01</v>
      </c>
      <c r="L340" s="369">
        <f t="shared" si="294"/>
        <v>3.19095</v>
      </c>
      <c r="M340" s="185">
        <f>IF(VLOOKUP(E340,'HOURLY RATES'!C$6:D$105,2,0)=0,$E$3,VLOOKUP(E340,'HOURLY RATES'!C$6:D$105,2,0))</f>
        <v>21.16197</v>
      </c>
      <c r="N340" s="197">
        <f t="shared" si="299"/>
        <v>67.526788171500002</v>
      </c>
      <c r="O340" s="296">
        <f>72.54/67.81</f>
        <v>1.0697537236395813</v>
      </c>
      <c r="P340" s="188">
        <f t="shared" si="300"/>
        <v>341.35306444477214</v>
      </c>
      <c r="Q340" s="189">
        <f t="shared" si="301"/>
        <v>408.87985261627216</v>
      </c>
      <c r="R340" s="190"/>
      <c r="X340" s="212"/>
    </row>
    <row r="341" spans="1:24" s="12" customFormat="1" x14ac:dyDescent="0.2">
      <c r="A341" s="200">
        <f>IF(J341&lt;&gt;"",1+MAX($A$18:A340),"")</f>
        <v>196</v>
      </c>
      <c r="B341" s="299" t="s">
        <v>427</v>
      </c>
      <c r="C341" s="299" t="s">
        <v>470</v>
      </c>
      <c r="D341" s="208" t="s">
        <v>21</v>
      </c>
      <c r="E341" s="192" t="s">
        <v>124</v>
      </c>
      <c r="F341" s="12" t="s">
        <v>927</v>
      </c>
      <c r="G341" s="288">
        <f>G336*9/32</f>
        <v>8.5471874999999997</v>
      </c>
      <c r="H341" s="196">
        <f>IF(VLOOKUP(J341,'HOURLY RATES'!B$116:C$124,2,0)=0,$J$3,VLOOKUP(J341,'HOURLY RATES'!B$116:C$124,2,0))</f>
        <v>0</v>
      </c>
      <c r="I341" s="251">
        <f t="shared" ref="I341:I342" si="302">(G341*(1+H341))</f>
        <v>8.5471874999999997</v>
      </c>
      <c r="J341" s="183" t="s">
        <v>16</v>
      </c>
      <c r="K341" s="368">
        <f>0.017*32</f>
        <v>0.54400000000000004</v>
      </c>
      <c r="L341" s="369">
        <f t="shared" si="294"/>
        <v>4.6496700000000004</v>
      </c>
      <c r="M341" s="185">
        <f>IF(VLOOKUP(E341,'HOURLY RATES'!C$6:D$105,2,0)=0,$E$3,VLOOKUP(E341,'HOURLY RATES'!C$6:D$105,2,0))</f>
        <v>21.16197</v>
      </c>
      <c r="N341" s="197">
        <f t="shared" ref="N341" si="303">M341*L341</f>
        <v>98.396177049900004</v>
      </c>
      <c r="O341" s="296">
        <f>30.98</f>
        <v>30.98</v>
      </c>
      <c r="P341" s="188">
        <f t="shared" ref="P341" si="304">O341*I341</f>
        <v>264.79186874999999</v>
      </c>
      <c r="Q341" s="189">
        <f t="shared" ref="Q341" si="305">P341+N341</f>
        <v>363.18804579990001</v>
      </c>
      <c r="R341" s="190"/>
      <c r="X341" s="212"/>
    </row>
    <row r="342" spans="1:24" s="12" customFormat="1" ht="20.100000000000001" customHeight="1" x14ac:dyDescent="0.2">
      <c r="A342" s="298">
        <f>IF(J342&lt;&gt;"",1+MAX($A$18:A341),"")</f>
        <v>197</v>
      </c>
      <c r="B342" s="299" t="s">
        <v>427</v>
      </c>
      <c r="C342" s="299" t="s">
        <v>470</v>
      </c>
      <c r="D342" s="208" t="s">
        <v>21</v>
      </c>
      <c r="E342" s="302" t="s">
        <v>37</v>
      </c>
      <c r="F342" s="317" t="s">
        <v>451</v>
      </c>
      <c r="G342" s="288">
        <f>G336*10/32</f>
        <v>9.4968749999999993</v>
      </c>
      <c r="H342" s="196">
        <f>IF(VLOOKUP(J342,'HOURLY RATES'!B$116:C$124,2,0)=0,$J$3,VLOOKUP(J342,'HOURLY RATES'!B$116:C$124,2,0))</f>
        <v>0</v>
      </c>
      <c r="I342" s="251">
        <f t="shared" si="302"/>
        <v>9.4968749999999993</v>
      </c>
      <c r="J342" s="183" t="s">
        <v>16</v>
      </c>
      <c r="K342" s="368">
        <f>0.022*32</f>
        <v>0.70399999999999996</v>
      </c>
      <c r="L342" s="369">
        <f t="shared" si="294"/>
        <v>6.6857999999999995</v>
      </c>
      <c r="M342" s="185">
        <f>IF(VLOOKUP(E342,'HOURLY RATES'!C$6:D$105,2,0)=0,$E$3,VLOOKUP(E342,'HOURLY RATES'!C$6:D$105,2,0))</f>
        <v>21.16197</v>
      </c>
      <c r="N342" s="197">
        <f t="shared" ref="N342" si="306">M342*L342</f>
        <v>141.48469902599999</v>
      </c>
      <c r="O342" s="296">
        <v>36.5</v>
      </c>
      <c r="P342" s="188">
        <f t="shared" ref="P342" si="307">O342*I342</f>
        <v>346.63593749999995</v>
      </c>
      <c r="Q342" s="189">
        <f t="shared" ref="Q342" si="308">P342+N342</f>
        <v>488.12063652599994</v>
      </c>
      <c r="R342" s="190"/>
      <c r="X342" s="212"/>
    </row>
    <row r="343" spans="1:24" s="12" customFormat="1" ht="20.100000000000001" customHeight="1" x14ac:dyDescent="0.2">
      <c r="A343" s="298">
        <f>IF(J343&lt;&gt;"",1+MAX($A$18:A342),"")</f>
        <v>198</v>
      </c>
      <c r="B343" s="299" t="s">
        <v>427</v>
      </c>
      <c r="C343" s="299" t="s">
        <v>470</v>
      </c>
      <c r="D343" s="208" t="s">
        <v>21</v>
      </c>
      <c r="E343" s="192" t="s">
        <v>220</v>
      </c>
      <c r="F343" s="317" t="s">
        <v>452</v>
      </c>
      <c r="G343" s="288">
        <f>G336*2</f>
        <v>60.78</v>
      </c>
      <c r="H343" s="196">
        <f>IF(VLOOKUP(J343,'HOURLY RATES'!B$116:C$124,2,0)=0,$J$3,VLOOKUP(J343,'HOURLY RATES'!B$116:C$124,2,0))</f>
        <v>0.05</v>
      </c>
      <c r="I343" s="251">
        <f t="shared" ref="I343" si="309">(G343*(1+H343))</f>
        <v>63.819000000000003</v>
      </c>
      <c r="J343" s="183" t="s">
        <v>19</v>
      </c>
      <c r="K343" s="368">
        <v>1.6E-2</v>
      </c>
      <c r="L343" s="369">
        <f t="shared" si="294"/>
        <v>1.021104</v>
      </c>
      <c r="M343" s="185">
        <f>IF(VLOOKUP(E343,'HOURLY RATES'!C$6:D$105,2,0)=0,$E$3,VLOOKUP(E343,'HOURLY RATES'!C$6:D$105,2,0))</f>
        <v>23.2578</v>
      </c>
      <c r="N343" s="197">
        <f t="shared" ref="N343" si="310">M343*L343</f>
        <v>23.748632611200001</v>
      </c>
      <c r="O343" s="296">
        <v>0.05</v>
      </c>
      <c r="P343" s="188">
        <f t="shared" ref="P343" si="311">O343*I343</f>
        <v>3.1909500000000004</v>
      </c>
      <c r="Q343" s="189">
        <f t="shared" ref="Q343" si="312">P343+N343</f>
        <v>26.939582611200002</v>
      </c>
      <c r="R343" s="190"/>
      <c r="X343" s="212"/>
    </row>
    <row r="344" spans="1:24" s="12" customFormat="1" ht="20.100000000000001" customHeight="1" x14ac:dyDescent="0.2">
      <c r="A344" s="298" t="str">
        <f>IF(J344&lt;&gt;"",1+MAX($A$18:A343),"")</f>
        <v/>
      </c>
      <c r="B344" s="299"/>
      <c r="C344" s="299"/>
      <c r="D344" s="208"/>
      <c r="E344" s="302"/>
      <c r="F344" s="317"/>
      <c r="G344" s="288"/>
      <c r="H344" s="196"/>
      <c r="I344" s="251"/>
      <c r="J344" s="183"/>
      <c r="K344" s="368"/>
      <c r="L344" s="210"/>
      <c r="M344" s="185"/>
      <c r="N344" s="197"/>
      <c r="O344" s="296"/>
      <c r="P344" s="188"/>
      <c r="Q344" s="189"/>
      <c r="R344" s="190"/>
      <c r="X344" s="212"/>
    </row>
    <row r="345" spans="1:24" s="12" customFormat="1" ht="20.100000000000001" customHeight="1" x14ac:dyDescent="0.2">
      <c r="A345" s="298" t="str">
        <f>IF(J345&lt;&gt;"",1+MAX($A$18:A344),"")</f>
        <v/>
      </c>
      <c r="B345" s="299"/>
      <c r="C345" s="299"/>
      <c r="D345" s="208"/>
      <c r="E345" s="302"/>
      <c r="F345" s="313" t="s">
        <v>430</v>
      </c>
      <c r="G345" s="319">
        <v>314.51</v>
      </c>
      <c r="H345" s="196"/>
      <c r="I345" s="251"/>
      <c r="J345" s="183"/>
      <c r="K345" s="368"/>
      <c r="L345" s="210"/>
      <c r="M345" s="185"/>
      <c r="N345" s="197"/>
      <c r="O345" s="296"/>
      <c r="P345" s="188"/>
      <c r="Q345" s="189"/>
      <c r="R345" s="190"/>
      <c r="X345" s="212"/>
    </row>
    <row r="346" spans="1:24" s="12" customFormat="1" ht="20.100000000000001" customHeight="1" x14ac:dyDescent="0.2">
      <c r="A346" s="298">
        <f>IF(J346&lt;&gt;"",1+MAX($A$18:A345),"")</f>
        <v>199</v>
      </c>
      <c r="B346" s="299" t="s">
        <v>427</v>
      </c>
      <c r="C346" s="299" t="s">
        <v>470</v>
      </c>
      <c r="D346" s="208" t="s">
        <v>21</v>
      </c>
      <c r="E346" s="302" t="s">
        <v>63</v>
      </c>
      <c r="F346" s="317" t="s">
        <v>446</v>
      </c>
      <c r="G346" s="288">
        <f>G345*2</f>
        <v>629.02</v>
      </c>
      <c r="H346" s="196">
        <f>IF(VLOOKUP(J346,'HOURLY RATES'!B$116:C$124,2,0)=0,$J$3,VLOOKUP(J346,'HOURLY RATES'!B$116:C$124,2,0))</f>
        <v>0.05</v>
      </c>
      <c r="I346" s="251">
        <f t="shared" ref="I346:I352" si="313">(G346*(1+H346))</f>
        <v>660.471</v>
      </c>
      <c r="J346" s="183" t="s">
        <v>19</v>
      </c>
      <c r="K346" s="368">
        <v>5.8999999999999997E-2</v>
      </c>
      <c r="L346" s="369">
        <f t="shared" ref="L346:L352" si="314">K346*I346</f>
        <v>38.967788999999996</v>
      </c>
      <c r="M346" s="185">
        <f>IF(VLOOKUP(E346,'HOURLY RATES'!C$6:D$105,2,0)=0,$E$3,VLOOKUP(E346,'HOURLY RATES'!C$6:D$105,2,0))</f>
        <v>21.16197</v>
      </c>
      <c r="N346" s="197">
        <f t="shared" ref="N346:N352" si="315">M346*L346</f>
        <v>824.63518178432992</v>
      </c>
      <c r="O346" s="296">
        <v>1.21</v>
      </c>
      <c r="P346" s="188">
        <f t="shared" ref="P346:P352" si="316">O346*I346</f>
        <v>799.16990999999996</v>
      </c>
      <c r="Q346" s="189">
        <f t="shared" ref="Q346:Q352" si="317">P346+N346</f>
        <v>1623.8050917843298</v>
      </c>
      <c r="R346" s="190"/>
      <c r="X346" s="212"/>
    </row>
    <row r="347" spans="1:24" s="12" customFormat="1" ht="20.100000000000001" customHeight="1" x14ac:dyDescent="0.2">
      <c r="A347" s="298">
        <f>IF(J347&lt;&gt;"",1+MAX($A$18:A346),"")</f>
        <v>200</v>
      </c>
      <c r="B347" s="299" t="s">
        <v>427</v>
      </c>
      <c r="C347" s="299" t="s">
        <v>470</v>
      </c>
      <c r="D347" s="208" t="s">
        <v>21</v>
      </c>
      <c r="E347" s="302" t="s">
        <v>63</v>
      </c>
      <c r="F347" s="317" t="s">
        <v>448</v>
      </c>
      <c r="G347" s="288">
        <f>G345</f>
        <v>314.51</v>
      </c>
      <c r="H347" s="196">
        <f>IF(VLOOKUP(J347,'HOURLY RATES'!B$116:C$124,2,0)=0,$J$3,VLOOKUP(J347,'HOURLY RATES'!B$116:C$124,2,0))</f>
        <v>0.05</v>
      </c>
      <c r="I347" s="251">
        <f t="shared" si="313"/>
        <v>330.2355</v>
      </c>
      <c r="J347" s="183" t="s">
        <v>19</v>
      </c>
      <c r="K347" s="368">
        <v>5.8999999999999997E-2</v>
      </c>
      <c r="L347" s="369">
        <f t="shared" si="314"/>
        <v>19.483894499999998</v>
      </c>
      <c r="M347" s="185">
        <f>IF(VLOOKUP(E347,'HOURLY RATES'!C$6:D$105,2,0)=0,$E$3,VLOOKUP(E347,'HOURLY RATES'!C$6:D$105,2,0))</f>
        <v>21.16197</v>
      </c>
      <c r="N347" s="197">
        <f t="shared" si="315"/>
        <v>412.31759089216496</v>
      </c>
      <c r="O347" s="296">
        <v>1.44</v>
      </c>
      <c r="P347" s="188">
        <f t="shared" si="316"/>
        <v>475.53911999999997</v>
      </c>
      <c r="Q347" s="189">
        <f t="shared" si="317"/>
        <v>887.85671089216498</v>
      </c>
      <c r="R347" s="190"/>
      <c r="X347" s="212"/>
    </row>
    <row r="348" spans="1:24" s="12" customFormat="1" ht="20.100000000000001" customHeight="1" x14ac:dyDescent="0.2">
      <c r="A348" s="298">
        <f>IF(J348&lt;&gt;"",1+MAX($A$18:A347),"")</f>
        <v>201</v>
      </c>
      <c r="B348" s="299" t="s">
        <v>427</v>
      </c>
      <c r="C348" s="299" t="s">
        <v>470</v>
      </c>
      <c r="D348" s="208" t="s">
        <v>21</v>
      </c>
      <c r="E348" s="302" t="s">
        <v>63</v>
      </c>
      <c r="F348" s="317" t="s">
        <v>456</v>
      </c>
      <c r="G348" s="288">
        <f>G345/1.33</f>
        <v>236.4736842105263</v>
      </c>
      <c r="H348" s="196">
        <f>IF(VLOOKUP(J348,'HOURLY RATES'!B$116:C$124,2,0)=0,$J$3,VLOOKUP(J348,'HOURLY RATES'!B$116:C$124,2,0))</f>
        <v>0</v>
      </c>
      <c r="I348" s="251">
        <f t="shared" si="313"/>
        <v>236.4736842105263</v>
      </c>
      <c r="J348" s="183" t="s">
        <v>16</v>
      </c>
      <c r="K348" s="368">
        <f>10*0.059</f>
        <v>0.59</v>
      </c>
      <c r="L348" s="369">
        <f t="shared" si="314"/>
        <v>139.51947368421051</v>
      </c>
      <c r="M348" s="185">
        <f>IF(VLOOKUP(E348,'HOURLY RATES'!C$6:D$105,2,0)=0,$E$3,VLOOKUP(E348,'HOURLY RATES'!C$6:D$105,2,0))</f>
        <v>21.16197</v>
      </c>
      <c r="N348" s="197">
        <f t="shared" si="315"/>
        <v>2952.5069165210525</v>
      </c>
      <c r="O348" s="296">
        <f>1.21*10</f>
        <v>12.1</v>
      </c>
      <c r="P348" s="188">
        <f t="shared" si="316"/>
        <v>2861.3315789473681</v>
      </c>
      <c r="Q348" s="189">
        <f t="shared" si="317"/>
        <v>5813.8384954684207</v>
      </c>
      <c r="R348" s="190"/>
      <c r="X348" s="212"/>
    </row>
    <row r="349" spans="1:24" s="12" customFormat="1" ht="20.100000000000001" customHeight="1" x14ac:dyDescent="0.2">
      <c r="A349" s="298">
        <f>IF(J349&lt;&gt;"",1+MAX($A$18:A348),"")</f>
        <v>202</v>
      </c>
      <c r="B349" s="299" t="s">
        <v>427</v>
      </c>
      <c r="C349" s="299" t="s">
        <v>470</v>
      </c>
      <c r="D349" s="208" t="s">
        <v>21</v>
      </c>
      <c r="E349" s="302" t="s">
        <v>55</v>
      </c>
      <c r="F349" s="317" t="s">
        <v>450</v>
      </c>
      <c r="G349" s="288">
        <f>G345*10</f>
        <v>3145.1</v>
      </c>
      <c r="H349" s="196">
        <f>IF(VLOOKUP(J349,'HOURLY RATES'!B$116:C$124,2,0)=0,$J$3,VLOOKUP(J349,'HOURLY RATES'!B$116:C$124,2,0))</f>
        <v>0.05</v>
      </c>
      <c r="I349" s="251">
        <f t="shared" si="313"/>
        <v>3302.355</v>
      </c>
      <c r="J349" s="183" t="s">
        <v>17</v>
      </c>
      <c r="K349" s="368">
        <v>0.01</v>
      </c>
      <c r="L349" s="369">
        <f t="shared" si="314"/>
        <v>33.02355</v>
      </c>
      <c r="M349" s="185">
        <f>IF(VLOOKUP(E349,'HOURLY RATES'!C$6:D$105,2,0)=0,$E$3,VLOOKUP(E349,'HOURLY RATES'!C$6:D$105,2,0))</f>
        <v>21.16197</v>
      </c>
      <c r="N349" s="197">
        <f t="shared" si="315"/>
        <v>698.84337439349997</v>
      </c>
      <c r="O349" s="296">
        <f>72.54/67.81</f>
        <v>1.0697537236395813</v>
      </c>
      <c r="P349" s="188">
        <f t="shared" si="316"/>
        <v>3532.7065580297894</v>
      </c>
      <c r="Q349" s="189">
        <f t="shared" si="317"/>
        <v>4231.5499324232896</v>
      </c>
      <c r="R349" s="190"/>
      <c r="X349" s="212"/>
    </row>
    <row r="350" spans="1:24" s="12" customFormat="1" ht="20.100000000000001" customHeight="1" x14ac:dyDescent="0.2">
      <c r="A350" s="298">
        <f>IF(J350&lt;&gt;"",1+MAX($A$18:A349),"")</f>
        <v>203</v>
      </c>
      <c r="B350" s="299" t="s">
        <v>427</v>
      </c>
      <c r="C350" s="299" t="s">
        <v>470</v>
      </c>
      <c r="D350" s="208" t="s">
        <v>21</v>
      </c>
      <c r="E350" s="192" t="s">
        <v>124</v>
      </c>
      <c r="F350" s="12" t="s">
        <v>927</v>
      </c>
      <c r="G350" s="288">
        <f>G345*9/32</f>
        <v>88.455937500000005</v>
      </c>
      <c r="H350" s="196">
        <f>IF(VLOOKUP(J350,'HOURLY RATES'!B$116:C$124,2,0)=0,$J$3,VLOOKUP(J350,'HOURLY RATES'!B$116:C$124,2,0))</f>
        <v>0</v>
      </c>
      <c r="I350" s="251">
        <f t="shared" si="313"/>
        <v>88.455937500000005</v>
      </c>
      <c r="J350" s="183" t="s">
        <v>16</v>
      </c>
      <c r="K350" s="368">
        <f>0.017*32</f>
        <v>0.54400000000000004</v>
      </c>
      <c r="L350" s="369">
        <f t="shared" si="314"/>
        <v>48.120030000000007</v>
      </c>
      <c r="M350" s="185">
        <f>IF(VLOOKUP(E350,'HOURLY RATES'!C$6:D$105,2,0)=0,$E$3,VLOOKUP(E350,'HOURLY RATES'!C$6:D$105,2,0))</f>
        <v>21.16197</v>
      </c>
      <c r="N350" s="197">
        <f t="shared" si="315"/>
        <v>1018.3146312591001</v>
      </c>
      <c r="O350" s="296">
        <f>30.98</f>
        <v>30.98</v>
      </c>
      <c r="P350" s="188">
        <f t="shared" si="316"/>
        <v>2740.3649437500003</v>
      </c>
      <c r="Q350" s="189">
        <f t="shared" si="317"/>
        <v>3758.6795750091005</v>
      </c>
      <c r="R350" s="190"/>
      <c r="X350" s="212"/>
    </row>
    <row r="351" spans="1:24" s="12" customFormat="1" ht="20.100000000000001" customHeight="1" x14ac:dyDescent="0.2">
      <c r="A351" s="298">
        <f>IF(J351&lt;&gt;"",1+MAX($A$18:A350),"")</f>
        <v>204</v>
      </c>
      <c r="B351" s="299" t="s">
        <v>427</v>
      </c>
      <c r="C351" s="299" t="s">
        <v>470</v>
      </c>
      <c r="D351" s="208" t="s">
        <v>21</v>
      </c>
      <c r="E351" s="302" t="s">
        <v>37</v>
      </c>
      <c r="F351" s="317" t="s">
        <v>928</v>
      </c>
      <c r="G351" s="288">
        <f>G345*10/32</f>
        <v>98.284374999999997</v>
      </c>
      <c r="H351" s="196">
        <f>IF(VLOOKUP(J351,'HOURLY RATES'!B$116:C$124,2,0)=0,$J$3,VLOOKUP(J351,'HOURLY RATES'!B$116:C$124,2,0))</f>
        <v>0</v>
      </c>
      <c r="I351" s="251">
        <f t="shared" si="313"/>
        <v>98.284374999999997</v>
      </c>
      <c r="J351" s="183" t="s">
        <v>16</v>
      </c>
      <c r="K351" s="368">
        <f>0.022*32</f>
        <v>0.70399999999999996</v>
      </c>
      <c r="L351" s="369">
        <f t="shared" si="314"/>
        <v>69.1922</v>
      </c>
      <c r="M351" s="185">
        <f>IF(VLOOKUP(E351,'HOURLY RATES'!C$6:D$105,2,0)=0,$E$3,VLOOKUP(E351,'HOURLY RATES'!C$6:D$105,2,0))</f>
        <v>21.16197</v>
      </c>
      <c r="N351" s="197">
        <f t="shared" si="315"/>
        <v>1464.2432606340001</v>
      </c>
      <c r="O351" s="296">
        <f>28.32*0.625/0.5</f>
        <v>35.4</v>
      </c>
      <c r="P351" s="188">
        <f t="shared" si="316"/>
        <v>3479.2668749999998</v>
      </c>
      <c r="Q351" s="189">
        <f t="shared" si="317"/>
        <v>4943.5101356340001</v>
      </c>
      <c r="R351" s="190"/>
      <c r="X351" s="212"/>
    </row>
    <row r="352" spans="1:24" s="12" customFormat="1" ht="20.100000000000001" customHeight="1" x14ac:dyDescent="0.2">
      <c r="A352" s="298">
        <f>IF(J352&lt;&gt;"",1+MAX($A$18:A351),"")</f>
        <v>205</v>
      </c>
      <c r="B352" s="299" t="s">
        <v>427</v>
      </c>
      <c r="C352" s="299" t="s">
        <v>470</v>
      </c>
      <c r="D352" s="208" t="s">
        <v>21</v>
      </c>
      <c r="E352" s="192" t="s">
        <v>220</v>
      </c>
      <c r="F352" s="317" t="s">
        <v>452</v>
      </c>
      <c r="G352" s="288">
        <f>G345*2</f>
        <v>629.02</v>
      </c>
      <c r="H352" s="196">
        <f>IF(VLOOKUP(J352,'HOURLY RATES'!B$116:C$124,2,0)=0,$J$3,VLOOKUP(J352,'HOURLY RATES'!B$116:C$124,2,0))</f>
        <v>0.05</v>
      </c>
      <c r="I352" s="251">
        <f t="shared" si="313"/>
        <v>660.471</v>
      </c>
      <c r="J352" s="183" t="s">
        <v>19</v>
      </c>
      <c r="K352" s="368">
        <v>1.6E-2</v>
      </c>
      <c r="L352" s="369">
        <f t="shared" si="314"/>
        <v>10.567536</v>
      </c>
      <c r="M352" s="185">
        <f>IF(VLOOKUP(E352,'HOURLY RATES'!C$6:D$105,2,0)=0,$E$3,VLOOKUP(E352,'HOURLY RATES'!C$6:D$105,2,0))</f>
        <v>23.2578</v>
      </c>
      <c r="N352" s="197">
        <f t="shared" si="315"/>
        <v>245.7776387808</v>
      </c>
      <c r="O352" s="296">
        <v>0.05</v>
      </c>
      <c r="P352" s="188">
        <f t="shared" si="316"/>
        <v>33.02355</v>
      </c>
      <c r="Q352" s="189">
        <f t="shared" si="317"/>
        <v>278.80118878079998</v>
      </c>
      <c r="R352" s="190"/>
      <c r="X352" s="212"/>
    </row>
    <row r="353" spans="1:24" s="12" customFormat="1" ht="20.100000000000001" customHeight="1" x14ac:dyDescent="0.2">
      <c r="A353" s="298" t="str">
        <f>IF(J353&lt;&gt;"",1+MAX($A$18:A352),"")</f>
        <v/>
      </c>
      <c r="B353" s="299"/>
      <c r="C353" s="299"/>
      <c r="D353" s="208"/>
      <c r="E353" s="302"/>
      <c r="F353" s="317"/>
      <c r="G353" s="288"/>
      <c r="H353" s="196"/>
      <c r="I353" s="251"/>
      <c r="J353" s="183"/>
      <c r="K353" s="368"/>
      <c r="L353" s="210"/>
      <c r="M353" s="185"/>
      <c r="N353" s="197"/>
      <c r="O353" s="296"/>
      <c r="P353" s="188"/>
      <c r="Q353" s="189"/>
      <c r="R353" s="190"/>
      <c r="X353" s="212"/>
    </row>
    <row r="354" spans="1:24" s="12" customFormat="1" ht="20.100000000000001" customHeight="1" x14ac:dyDescent="0.2">
      <c r="A354" s="298" t="str">
        <f>IF(J354&lt;&gt;"",1+MAX($A$18:A353),"")</f>
        <v/>
      </c>
      <c r="B354" s="299"/>
      <c r="C354" s="299"/>
      <c r="D354" s="208"/>
      <c r="E354" s="302"/>
      <c r="F354" s="313" t="s">
        <v>431</v>
      </c>
      <c r="G354" s="319">
        <v>140.05000000000001</v>
      </c>
      <c r="H354" s="196"/>
      <c r="I354" s="251"/>
      <c r="J354" s="183"/>
      <c r="K354" s="368"/>
      <c r="L354" s="210"/>
      <c r="M354" s="185"/>
      <c r="N354" s="197"/>
      <c r="O354" s="296"/>
      <c r="P354" s="188"/>
      <c r="Q354" s="189"/>
      <c r="R354" s="190"/>
      <c r="X354" s="212"/>
    </row>
    <row r="355" spans="1:24" s="12" customFormat="1" ht="20.100000000000001" customHeight="1" x14ac:dyDescent="0.2">
      <c r="A355" s="298">
        <f>IF(J355&lt;&gt;"",1+MAX($A$18:A354),"")</f>
        <v>206</v>
      </c>
      <c r="B355" s="299" t="s">
        <v>427</v>
      </c>
      <c r="C355" s="299" t="s">
        <v>470</v>
      </c>
      <c r="D355" s="208" t="s">
        <v>21</v>
      </c>
      <c r="E355" s="302" t="s">
        <v>63</v>
      </c>
      <c r="F355" s="317" t="s">
        <v>453</v>
      </c>
      <c r="G355" s="288">
        <f>G354*2</f>
        <v>280.10000000000002</v>
      </c>
      <c r="H355" s="196">
        <f>IF(VLOOKUP(J355,'HOURLY RATES'!B$116:C$124,2,0)=0,$J$3,VLOOKUP(J355,'HOURLY RATES'!B$116:C$124,2,0))</f>
        <v>0.05</v>
      </c>
      <c r="I355" s="251">
        <f t="shared" ref="I355:I360" si="318">(G355*(1+H355))</f>
        <v>294.10500000000002</v>
      </c>
      <c r="J355" s="183" t="s">
        <v>19</v>
      </c>
      <c r="K355" s="368">
        <v>5.5E-2</v>
      </c>
      <c r="L355" s="369">
        <f t="shared" ref="L355:L360" si="319">K355*I355</f>
        <v>16.175775000000002</v>
      </c>
      <c r="M355" s="185">
        <f>IF(VLOOKUP(E355,'HOURLY RATES'!C$6:D$105,2,0)=0,$E$3,VLOOKUP(E355,'HOURLY RATES'!C$6:D$105,2,0))</f>
        <v>21.16197</v>
      </c>
      <c r="N355" s="197">
        <f t="shared" ref="N355:N360" si="320">M355*L355</f>
        <v>342.31126527675002</v>
      </c>
      <c r="O355" s="296">
        <v>1.0920000000000001</v>
      </c>
      <c r="P355" s="188">
        <f t="shared" ref="P355:P360" si="321">O355*I355</f>
        <v>321.16266000000002</v>
      </c>
      <c r="Q355" s="189">
        <f t="shared" ref="Q355:Q360" si="322">P355+N355</f>
        <v>663.47392527675004</v>
      </c>
      <c r="R355" s="190"/>
      <c r="X355" s="212"/>
    </row>
    <row r="356" spans="1:24" s="12" customFormat="1" ht="20.100000000000001" customHeight="1" x14ac:dyDescent="0.2">
      <c r="A356" s="298">
        <f>IF(J356&lt;&gt;"",1+MAX($A$18:A355),"")</f>
        <v>207</v>
      </c>
      <c r="B356" s="299" t="s">
        <v>427</v>
      </c>
      <c r="C356" s="299" t="s">
        <v>470</v>
      </c>
      <c r="D356" s="208" t="s">
        <v>21</v>
      </c>
      <c r="E356" s="302" t="s">
        <v>63</v>
      </c>
      <c r="F356" s="317" t="s">
        <v>454</v>
      </c>
      <c r="G356" s="288">
        <f>G354</f>
        <v>140.05000000000001</v>
      </c>
      <c r="H356" s="196">
        <f>IF(VLOOKUP(J356,'HOURLY RATES'!B$116:C$124,2,0)=0,$J$3,VLOOKUP(J356,'HOURLY RATES'!B$116:C$124,2,0))</f>
        <v>0.05</v>
      </c>
      <c r="I356" s="251">
        <f t="shared" si="318"/>
        <v>147.05250000000001</v>
      </c>
      <c r="J356" s="183" t="s">
        <v>19</v>
      </c>
      <c r="K356" s="368">
        <v>5.5E-2</v>
      </c>
      <c r="L356" s="369">
        <f t="shared" si="319"/>
        <v>8.0878875000000008</v>
      </c>
      <c r="M356" s="185">
        <f>IF(VLOOKUP(E356,'HOURLY RATES'!C$6:D$105,2,0)=0,$E$3,VLOOKUP(E356,'HOURLY RATES'!C$6:D$105,2,0))</f>
        <v>21.16197</v>
      </c>
      <c r="N356" s="197">
        <f t="shared" si="320"/>
        <v>171.15563263837501</v>
      </c>
      <c r="O356" s="296">
        <v>1.21</v>
      </c>
      <c r="P356" s="188">
        <f t="shared" si="321"/>
        <v>177.933525</v>
      </c>
      <c r="Q356" s="189">
        <f t="shared" si="322"/>
        <v>349.08915763837501</v>
      </c>
      <c r="R356" s="190"/>
      <c r="X356" s="212"/>
    </row>
    <row r="357" spans="1:24" s="12" customFormat="1" ht="20.100000000000001" customHeight="1" x14ac:dyDescent="0.2">
      <c r="A357" s="298">
        <f>IF(J357&lt;&gt;"",1+MAX($A$18:A356),"")</f>
        <v>208</v>
      </c>
      <c r="B357" s="299" t="s">
        <v>427</v>
      </c>
      <c r="C357" s="299" t="s">
        <v>470</v>
      </c>
      <c r="D357" s="208" t="s">
        <v>21</v>
      </c>
      <c r="E357" s="302" t="s">
        <v>63</v>
      </c>
      <c r="F357" s="317" t="s">
        <v>455</v>
      </c>
      <c r="G357" s="288">
        <f>G354/1.33</f>
        <v>105.30075187969925</v>
      </c>
      <c r="H357" s="196">
        <f>IF(VLOOKUP(J357,'HOURLY RATES'!B$116:C$124,2,0)=0,$J$3,VLOOKUP(J357,'HOURLY RATES'!B$116:C$124,2,0))</f>
        <v>0</v>
      </c>
      <c r="I357" s="251">
        <f t="shared" si="318"/>
        <v>105.30075187969925</v>
      </c>
      <c r="J357" s="183" t="s">
        <v>16</v>
      </c>
      <c r="K357" s="368">
        <f>0.055*10</f>
        <v>0.55000000000000004</v>
      </c>
      <c r="L357" s="369">
        <f t="shared" si="319"/>
        <v>57.915413533834588</v>
      </c>
      <c r="M357" s="185">
        <f>IF(VLOOKUP(E357,'HOURLY RATES'!C$6:D$105,2,0)=0,$E$3,VLOOKUP(E357,'HOURLY RATES'!C$6:D$105,2,0))</f>
        <v>21.16197</v>
      </c>
      <c r="N357" s="197">
        <f t="shared" si="320"/>
        <v>1225.6042437406015</v>
      </c>
      <c r="O357" s="296">
        <f>1.092*10</f>
        <v>10.920000000000002</v>
      </c>
      <c r="P357" s="188">
        <f t="shared" si="321"/>
        <v>1149.8842105263159</v>
      </c>
      <c r="Q357" s="189">
        <f t="shared" si="322"/>
        <v>2375.4884542669174</v>
      </c>
      <c r="R357" s="190"/>
      <c r="X357" s="212"/>
    </row>
    <row r="358" spans="1:24" s="12" customFormat="1" ht="20.100000000000001" customHeight="1" x14ac:dyDescent="0.2">
      <c r="A358" s="298">
        <f>IF(J358&lt;&gt;"",1+MAX($A$18:A357),"")</f>
        <v>209</v>
      </c>
      <c r="B358" s="299" t="s">
        <v>427</v>
      </c>
      <c r="C358" s="299" t="s">
        <v>470</v>
      </c>
      <c r="D358" s="208" t="s">
        <v>21</v>
      </c>
      <c r="E358" s="192" t="s">
        <v>124</v>
      </c>
      <c r="F358" s="317" t="s">
        <v>461</v>
      </c>
      <c r="G358" s="288">
        <f>96*8/32+44*8/32</f>
        <v>35</v>
      </c>
      <c r="H358" s="196">
        <f>IF(VLOOKUP(J358,'HOURLY RATES'!B$116:C$124,2,0)=0,$J$3,VLOOKUP(J358,'HOURLY RATES'!B$116:C$124,2,0))</f>
        <v>0</v>
      </c>
      <c r="I358" s="251">
        <f t="shared" si="318"/>
        <v>35</v>
      </c>
      <c r="J358" s="183" t="s">
        <v>16</v>
      </c>
      <c r="K358" s="368">
        <f>0.015*32</f>
        <v>0.48</v>
      </c>
      <c r="L358" s="369">
        <f t="shared" si="319"/>
        <v>16.8</v>
      </c>
      <c r="M358" s="185">
        <f>IF(VLOOKUP(E358,'HOURLY RATES'!C$6:D$105,2,0)=0,$E$3,VLOOKUP(E358,'HOURLY RATES'!C$6:D$105,2,0))</f>
        <v>21.16197</v>
      </c>
      <c r="N358" s="197">
        <f t="shared" si="320"/>
        <v>355.521096</v>
      </c>
      <c r="O358" s="296">
        <v>9.56</v>
      </c>
      <c r="P358" s="188">
        <f t="shared" si="321"/>
        <v>334.6</v>
      </c>
      <c r="Q358" s="189">
        <f t="shared" si="322"/>
        <v>690.12109600000008</v>
      </c>
      <c r="R358" s="190"/>
      <c r="X358" s="212"/>
    </row>
    <row r="359" spans="1:24" s="12" customFormat="1" ht="20.100000000000001" customHeight="1" x14ac:dyDescent="0.2">
      <c r="A359" s="298">
        <f>IF(J359&lt;&gt;"",1+MAX($A$18:A358),"")</f>
        <v>210</v>
      </c>
      <c r="B359" s="299" t="s">
        <v>427</v>
      </c>
      <c r="C359" s="299" t="s">
        <v>470</v>
      </c>
      <c r="D359" s="208" t="s">
        <v>21</v>
      </c>
      <c r="E359" s="192" t="s">
        <v>124</v>
      </c>
      <c r="F359" s="317" t="s">
        <v>929</v>
      </c>
      <c r="G359" s="288">
        <f>44*8/32</f>
        <v>11</v>
      </c>
      <c r="H359" s="196">
        <f>IF(VLOOKUP(J359,'HOURLY RATES'!B$116:C$124,2,0)=0,$J$3,VLOOKUP(J359,'HOURLY RATES'!B$116:C$124,2,0))</f>
        <v>0</v>
      </c>
      <c r="I359" s="251">
        <f t="shared" si="318"/>
        <v>11</v>
      </c>
      <c r="J359" s="183" t="s">
        <v>16</v>
      </c>
      <c r="K359" s="292">
        <f>0.02*32</f>
        <v>0.64</v>
      </c>
      <c r="L359" s="369">
        <f t="shared" si="319"/>
        <v>7.04</v>
      </c>
      <c r="M359" s="185">
        <f>IF(VLOOKUP(E359,'HOURLY RATES'!C$6:D$105,2,0)=0,$E$3,VLOOKUP(E359,'HOURLY RATES'!C$6:D$105,2,0))</f>
        <v>21.16197</v>
      </c>
      <c r="N359" s="197">
        <f t="shared" si="320"/>
        <v>148.9802688</v>
      </c>
      <c r="O359" s="296">
        <v>24.99</v>
      </c>
      <c r="P359" s="188">
        <f t="shared" si="321"/>
        <v>274.89</v>
      </c>
      <c r="Q359" s="189">
        <f t="shared" si="322"/>
        <v>423.87026879999996</v>
      </c>
      <c r="R359" s="190"/>
      <c r="X359" s="212"/>
    </row>
    <row r="360" spans="1:24" s="12" customFormat="1" ht="20.100000000000001" customHeight="1" x14ac:dyDescent="0.2">
      <c r="A360" s="298">
        <f>IF(J360&lt;&gt;"",1+MAX($A$18:A359),"")</f>
        <v>211</v>
      </c>
      <c r="B360" s="299" t="s">
        <v>427</v>
      </c>
      <c r="C360" s="299" t="s">
        <v>470</v>
      </c>
      <c r="D360" s="208" t="s">
        <v>21</v>
      </c>
      <c r="E360" s="192" t="s">
        <v>220</v>
      </c>
      <c r="F360" s="317" t="s">
        <v>452</v>
      </c>
      <c r="G360" s="288">
        <f>G354*4</f>
        <v>560.20000000000005</v>
      </c>
      <c r="H360" s="196">
        <f>IF(VLOOKUP(J360,'HOURLY RATES'!B$116:C$124,2,0)=0,$J$3,VLOOKUP(J360,'HOURLY RATES'!B$116:C$124,2,0))</f>
        <v>0.05</v>
      </c>
      <c r="I360" s="251">
        <f t="shared" si="318"/>
        <v>588.21</v>
      </c>
      <c r="J360" s="183" t="s">
        <v>19</v>
      </c>
      <c r="K360" s="368">
        <v>1.6E-2</v>
      </c>
      <c r="L360" s="369">
        <f t="shared" si="319"/>
        <v>9.4113600000000002</v>
      </c>
      <c r="M360" s="185">
        <f>IF(VLOOKUP(E360,'HOURLY RATES'!C$6:D$105,2,0)=0,$E$3,VLOOKUP(E360,'HOURLY RATES'!C$6:D$105,2,0))</f>
        <v>23.2578</v>
      </c>
      <c r="N360" s="197">
        <f t="shared" si="320"/>
        <v>218.887528608</v>
      </c>
      <c r="O360" s="296">
        <v>0.05</v>
      </c>
      <c r="P360" s="188">
        <f t="shared" si="321"/>
        <v>29.410500000000003</v>
      </c>
      <c r="Q360" s="189">
        <f t="shared" si="322"/>
        <v>248.29802860800001</v>
      </c>
      <c r="R360" s="190"/>
      <c r="X360" s="212"/>
    </row>
    <row r="361" spans="1:24" s="12" customFormat="1" ht="20.100000000000001" customHeight="1" x14ac:dyDescent="0.2">
      <c r="A361" s="298" t="str">
        <f>IF(J361&lt;&gt;"",1+MAX($A$18:A360),"")</f>
        <v/>
      </c>
      <c r="B361" s="299"/>
      <c r="C361" s="299"/>
      <c r="D361" s="208"/>
      <c r="E361" s="302"/>
      <c r="F361" s="317"/>
      <c r="G361" s="288"/>
      <c r="H361" s="196"/>
      <c r="I361" s="251"/>
      <c r="J361" s="183"/>
      <c r="K361" s="368"/>
      <c r="L361" s="210"/>
      <c r="M361" s="185"/>
      <c r="N361" s="197"/>
      <c r="O361" s="296"/>
      <c r="P361" s="188"/>
      <c r="Q361" s="189"/>
      <c r="R361" s="190"/>
      <c r="X361" s="212"/>
    </row>
    <row r="362" spans="1:24" s="12" customFormat="1" ht="20.100000000000001" customHeight="1" x14ac:dyDescent="0.2">
      <c r="A362" s="298" t="str">
        <f>IF(J362&lt;&gt;"",1+MAX($A$18:A361),"")</f>
        <v/>
      </c>
      <c r="B362" s="299"/>
      <c r="C362" s="299"/>
      <c r="D362" s="208"/>
      <c r="E362" s="302"/>
      <c r="F362" s="313" t="s">
        <v>432</v>
      </c>
      <c r="G362" s="319">
        <v>43.58</v>
      </c>
      <c r="H362" s="196"/>
      <c r="I362" s="251"/>
      <c r="J362" s="183"/>
      <c r="K362" s="368"/>
      <c r="L362" s="210"/>
      <c r="M362" s="185"/>
      <c r="N362" s="197"/>
      <c r="O362" s="296"/>
      <c r="P362" s="188"/>
      <c r="Q362" s="189"/>
      <c r="R362" s="190"/>
      <c r="X362" s="212"/>
    </row>
    <row r="363" spans="1:24" s="12" customFormat="1" ht="20.100000000000001" customHeight="1" x14ac:dyDescent="0.2">
      <c r="A363" s="298">
        <f>IF(J363&lt;&gt;"",1+MAX($A$18:A362),"")</f>
        <v>212</v>
      </c>
      <c r="B363" s="299" t="s">
        <v>427</v>
      </c>
      <c r="C363" s="299" t="s">
        <v>470</v>
      </c>
      <c r="D363" s="208" t="s">
        <v>21</v>
      </c>
      <c r="E363" s="302" t="s">
        <v>63</v>
      </c>
      <c r="F363" s="317" t="s">
        <v>446</v>
      </c>
      <c r="G363" s="288">
        <f>G362*2</f>
        <v>87.16</v>
      </c>
      <c r="H363" s="196">
        <f>IF(VLOOKUP(J363,'HOURLY RATES'!B$116:C$124,2,0)=0,$J$3,VLOOKUP(J363,'HOURLY RATES'!B$116:C$124,2,0))</f>
        <v>0.05</v>
      </c>
      <c r="I363" s="251">
        <f t="shared" ref="I363:I368" si="323">(G363*(1+H363))</f>
        <v>91.518000000000001</v>
      </c>
      <c r="J363" s="183" t="s">
        <v>19</v>
      </c>
      <c r="K363" s="368">
        <v>5.8999999999999997E-2</v>
      </c>
      <c r="L363" s="369">
        <f t="shared" ref="L363:L368" si="324">K363*I363</f>
        <v>5.3995619999999995</v>
      </c>
      <c r="M363" s="185">
        <f>IF(VLOOKUP(E363,'HOURLY RATES'!C$6:D$105,2,0)=0,$E$3,VLOOKUP(E363,'HOURLY RATES'!C$6:D$105,2,0))</f>
        <v>21.16197</v>
      </c>
      <c r="N363" s="197">
        <f t="shared" ref="N363:N368" si="325">M363*L363</f>
        <v>114.26536905713999</v>
      </c>
      <c r="O363" s="296">
        <v>1.21</v>
      </c>
      <c r="P363" s="188">
        <f t="shared" ref="P363:P368" si="326">O363*I363</f>
        <v>110.73678</v>
      </c>
      <c r="Q363" s="189">
        <f t="shared" ref="Q363:Q368" si="327">P363+N363</f>
        <v>225.00214905714</v>
      </c>
      <c r="R363" s="190"/>
      <c r="X363" s="212"/>
    </row>
    <row r="364" spans="1:24" s="12" customFormat="1" ht="20.100000000000001" customHeight="1" x14ac:dyDescent="0.2">
      <c r="A364" s="298">
        <f>IF(J364&lt;&gt;"",1+MAX($A$18:A363),"")</f>
        <v>213</v>
      </c>
      <c r="B364" s="299" t="s">
        <v>427</v>
      </c>
      <c r="C364" s="299" t="s">
        <v>470</v>
      </c>
      <c r="D364" s="208" t="s">
        <v>21</v>
      </c>
      <c r="E364" s="302" t="s">
        <v>63</v>
      </c>
      <c r="F364" s="317" t="s">
        <v>448</v>
      </c>
      <c r="G364" s="288">
        <f>G362</f>
        <v>43.58</v>
      </c>
      <c r="H364" s="196">
        <f>IF(VLOOKUP(J364,'HOURLY RATES'!B$116:C$124,2,0)=0,$J$3,VLOOKUP(J364,'HOURLY RATES'!B$116:C$124,2,0))</f>
        <v>0.05</v>
      </c>
      <c r="I364" s="251">
        <f t="shared" si="323"/>
        <v>45.759</v>
      </c>
      <c r="J364" s="183" t="s">
        <v>19</v>
      </c>
      <c r="K364" s="368">
        <v>5.8999999999999997E-2</v>
      </c>
      <c r="L364" s="369">
        <f t="shared" si="324"/>
        <v>2.6997809999999998</v>
      </c>
      <c r="M364" s="185">
        <f>IF(VLOOKUP(E364,'HOURLY RATES'!C$6:D$105,2,0)=0,$E$3,VLOOKUP(E364,'HOURLY RATES'!C$6:D$105,2,0))</f>
        <v>21.16197</v>
      </c>
      <c r="N364" s="197">
        <f t="shared" si="325"/>
        <v>57.132684528569996</v>
      </c>
      <c r="O364" s="296">
        <v>1.44</v>
      </c>
      <c r="P364" s="188">
        <f t="shared" si="326"/>
        <v>65.892960000000002</v>
      </c>
      <c r="Q364" s="189">
        <f t="shared" si="327"/>
        <v>123.02564452857</v>
      </c>
      <c r="R364" s="190"/>
      <c r="X364" s="212"/>
    </row>
    <row r="365" spans="1:24" s="12" customFormat="1" ht="20.100000000000001" customHeight="1" x14ac:dyDescent="0.2">
      <c r="A365" s="298">
        <f>IF(J365&lt;&gt;"",1+MAX($A$18:A364),"")</f>
        <v>214</v>
      </c>
      <c r="B365" s="299" t="s">
        <v>427</v>
      </c>
      <c r="C365" s="299" t="s">
        <v>470</v>
      </c>
      <c r="D365" s="208" t="s">
        <v>21</v>
      </c>
      <c r="E365" s="302" t="s">
        <v>63</v>
      </c>
      <c r="F365" s="317" t="s">
        <v>456</v>
      </c>
      <c r="G365" s="288">
        <f>G362/1.33</f>
        <v>32.766917293233078</v>
      </c>
      <c r="H365" s="196">
        <f>IF(VLOOKUP(J365,'HOURLY RATES'!B$116:C$124,2,0)=0,$J$3,VLOOKUP(J365,'HOURLY RATES'!B$116:C$124,2,0))</f>
        <v>0</v>
      </c>
      <c r="I365" s="251">
        <f t="shared" si="323"/>
        <v>32.766917293233078</v>
      </c>
      <c r="J365" s="183" t="s">
        <v>16</v>
      </c>
      <c r="K365" s="368">
        <f>10*0.059</f>
        <v>0.59</v>
      </c>
      <c r="L365" s="369">
        <f t="shared" si="324"/>
        <v>19.332481203007514</v>
      </c>
      <c r="M365" s="185">
        <f>IF(VLOOKUP(E365,'HOURLY RATES'!C$6:D$105,2,0)=0,$E$3,VLOOKUP(E365,'HOURLY RATES'!C$6:D$105,2,0))</f>
        <v>21.16197</v>
      </c>
      <c r="N365" s="197">
        <f t="shared" si="325"/>
        <v>409.11338724360894</v>
      </c>
      <c r="O365" s="296">
        <f>1.21*10</f>
        <v>12.1</v>
      </c>
      <c r="P365" s="188">
        <f t="shared" si="326"/>
        <v>396.47969924812026</v>
      </c>
      <c r="Q365" s="189">
        <f t="shared" si="327"/>
        <v>805.5930864917292</v>
      </c>
      <c r="R365" s="190"/>
      <c r="X365" s="212"/>
    </row>
    <row r="366" spans="1:24" s="12" customFormat="1" ht="20.100000000000001" customHeight="1" x14ac:dyDescent="0.2">
      <c r="A366" s="298">
        <f>IF(J366&lt;&gt;"",1+MAX($A$18:A365),"")</f>
        <v>215</v>
      </c>
      <c r="B366" s="299" t="s">
        <v>427</v>
      </c>
      <c r="C366" s="299" t="s">
        <v>470</v>
      </c>
      <c r="D366" s="208" t="s">
        <v>21</v>
      </c>
      <c r="E366" s="192" t="s">
        <v>124</v>
      </c>
      <c r="F366" s="317" t="s">
        <v>461</v>
      </c>
      <c r="G366" s="288">
        <f>41*8/32+3*8/32</f>
        <v>11</v>
      </c>
      <c r="H366" s="196">
        <f>IF(VLOOKUP(J366,'HOURLY RATES'!B$116:C$124,2,0)=0,$J$3,VLOOKUP(J366,'HOURLY RATES'!B$116:C$124,2,0))</f>
        <v>0</v>
      </c>
      <c r="I366" s="251">
        <f t="shared" si="323"/>
        <v>11</v>
      </c>
      <c r="J366" s="183" t="s">
        <v>16</v>
      </c>
      <c r="K366" s="368">
        <f>0.015*32</f>
        <v>0.48</v>
      </c>
      <c r="L366" s="369">
        <f t="shared" si="324"/>
        <v>5.2799999999999994</v>
      </c>
      <c r="M366" s="185">
        <f>IF(VLOOKUP(E366,'HOURLY RATES'!C$6:D$105,2,0)=0,$E$3,VLOOKUP(E366,'HOURLY RATES'!C$6:D$105,2,0))</f>
        <v>21.16197</v>
      </c>
      <c r="N366" s="197">
        <f t="shared" si="325"/>
        <v>111.73520159999998</v>
      </c>
      <c r="O366" s="296">
        <v>9.56</v>
      </c>
      <c r="P366" s="188">
        <f t="shared" si="326"/>
        <v>105.16000000000001</v>
      </c>
      <c r="Q366" s="189">
        <f t="shared" si="327"/>
        <v>216.89520160000001</v>
      </c>
      <c r="R366" s="190"/>
      <c r="X366" s="212"/>
    </row>
    <row r="367" spans="1:24" s="12" customFormat="1" ht="20.100000000000001" customHeight="1" x14ac:dyDescent="0.2">
      <c r="A367" s="298">
        <f>IF(J367&lt;&gt;"",1+MAX($A$18:A366),"")</f>
        <v>216</v>
      </c>
      <c r="B367" s="299" t="s">
        <v>427</v>
      </c>
      <c r="C367" s="299" t="s">
        <v>470</v>
      </c>
      <c r="D367" s="208" t="s">
        <v>21</v>
      </c>
      <c r="E367" s="192" t="s">
        <v>124</v>
      </c>
      <c r="F367" s="317" t="s">
        <v>929</v>
      </c>
      <c r="G367" s="288">
        <f>3*8/32</f>
        <v>0.75</v>
      </c>
      <c r="H367" s="196">
        <f>IF(VLOOKUP(J367,'HOURLY RATES'!B$116:C$124,2,0)=0,$J$3,VLOOKUP(J367,'HOURLY RATES'!B$116:C$124,2,0))</f>
        <v>0</v>
      </c>
      <c r="I367" s="251">
        <f t="shared" si="323"/>
        <v>0.75</v>
      </c>
      <c r="J367" s="183" t="s">
        <v>16</v>
      </c>
      <c r="K367" s="292">
        <f>0.02*32</f>
        <v>0.64</v>
      </c>
      <c r="L367" s="369">
        <f t="shared" si="324"/>
        <v>0.48</v>
      </c>
      <c r="M367" s="185">
        <f>IF(VLOOKUP(E367,'HOURLY RATES'!C$6:D$105,2,0)=0,$E$3,VLOOKUP(E367,'HOURLY RATES'!C$6:D$105,2,0))</f>
        <v>21.16197</v>
      </c>
      <c r="N367" s="197">
        <f t="shared" si="325"/>
        <v>10.1577456</v>
      </c>
      <c r="O367" s="296">
        <v>24.99</v>
      </c>
      <c r="P367" s="188">
        <f t="shared" si="326"/>
        <v>18.7425</v>
      </c>
      <c r="Q367" s="189">
        <f t="shared" si="327"/>
        <v>28.900245599999998</v>
      </c>
      <c r="R367" s="190"/>
      <c r="X367" s="212"/>
    </row>
    <row r="368" spans="1:24" s="12" customFormat="1" ht="20.100000000000001" customHeight="1" x14ac:dyDescent="0.2">
      <c r="A368" s="298">
        <f>IF(J368&lt;&gt;"",1+MAX($A$18:A367),"")</f>
        <v>217</v>
      </c>
      <c r="B368" s="299" t="s">
        <v>427</v>
      </c>
      <c r="C368" s="299" t="s">
        <v>470</v>
      </c>
      <c r="D368" s="208" t="s">
        <v>21</v>
      </c>
      <c r="E368" s="192" t="s">
        <v>220</v>
      </c>
      <c r="F368" s="317" t="s">
        <v>452</v>
      </c>
      <c r="G368" s="288">
        <f>G362*4</f>
        <v>174.32</v>
      </c>
      <c r="H368" s="196">
        <f>IF(VLOOKUP(J368,'HOURLY RATES'!B$116:C$124,2,0)=0,$J$3,VLOOKUP(J368,'HOURLY RATES'!B$116:C$124,2,0))</f>
        <v>0.05</v>
      </c>
      <c r="I368" s="251">
        <f t="shared" si="323"/>
        <v>183.036</v>
      </c>
      <c r="J368" s="183" t="s">
        <v>19</v>
      </c>
      <c r="K368" s="368">
        <v>1.6E-2</v>
      </c>
      <c r="L368" s="369">
        <f t="shared" si="324"/>
        <v>2.9285760000000001</v>
      </c>
      <c r="M368" s="185">
        <f>IF(VLOOKUP(E368,'HOURLY RATES'!C$6:D$105,2,0)=0,$E$3,VLOOKUP(E368,'HOURLY RATES'!C$6:D$105,2,0))</f>
        <v>23.2578</v>
      </c>
      <c r="N368" s="197">
        <f t="shared" si="325"/>
        <v>68.112234892800004</v>
      </c>
      <c r="O368" s="296">
        <v>0.05</v>
      </c>
      <c r="P368" s="188">
        <f t="shared" si="326"/>
        <v>9.1517999999999997</v>
      </c>
      <c r="Q368" s="189">
        <f t="shared" si="327"/>
        <v>77.264034892799998</v>
      </c>
      <c r="R368" s="190"/>
      <c r="X368" s="212"/>
    </row>
    <row r="369" spans="1:24" s="12" customFormat="1" ht="20.100000000000001" customHeight="1" x14ac:dyDescent="0.2">
      <c r="A369" s="298" t="str">
        <f>IF(J369&lt;&gt;"",1+MAX($A$18:A368),"")</f>
        <v/>
      </c>
      <c r="B369" s="299"/>
      <c r="C369" s="299"/>
      <c r="D369" s="208"/>
      <c r="E369" s="302"/>
      <c r="F369" s="317"/>
      <c r="G369" s="288"/>
      <c r="H369" s="196"/>
      <c r="I369" s="251"/>
      <c r="J369" s="183"/>
      <c r="K369" s="368"/>
      <c r="L369" s="210"/>
      <c r="M369" s="185"/>
      <c r="N369" s="197"/>
      <c r="O369" s="296"/>
      <c r="P369" s="188"/>
      <c r="Q369" s="189"/>
      <c r="R369" s="190"/>
      <c r="X369" s="212"/>
    </row>
    <row r="370" spans="1:24" s="12" customFormat="1" ht="20.100000000000001" customHeight="1" x14ac:dyDescent="0.2">
      <c r="A370" s="298" t="str">
        <f>IF(J370&lt;&gt;"",1+MAX($A$18:A369),"")</f>
        <v/>
      </c>
      <c r="B370" s="299"/>
      <c r="C370" s="299"/>
      <c r="D370" s="208"/>
      <c r="E370" s="302"/>
      <c r="F370" s="313" t="s">
        <v>433</v>
      </c>
      <c r="G370" s="319">
        <v>7.42</v>
      </c>
      <c r="H370" s="196"/>
      <c r="I370" s="251"/>
      <c r="J370" s="183"/>
      <c r="K370" s="368"/>
      <c r="L370" s="210"/>
      <c r="M370" s="185"/>
      <c r="N370" s="197"/>
      <c r="O370" s="296"/>
      <c r="P370" s="188"/>
      <c r="Q370" s="189"/>
      <c r="R370" s="190"/>
      <c r="X370" s="212"/>
    </row>
    <row r="371" spans="1:24" s="12" customFormat="1" ht="20.100000000000001" customHeight="1" x14ac:dyDescent="0.2">
      <c r="A371" s="298">
        <f>IF(J371&lt;&gt;"",1+MAX($A$18:A370),"")</f>
        <v>218</v>
      </c>
      <c r="B371" s="299" t="s">
        <v>427</v>
      </c>
      <c r="C371" s="299" t="s">
        <v>470</v>
      </c>
      <c r="D371" s="208" t="s">
        <v>21</v>
      </c>
      <c r="E371" s="302" t="s">
        <v>63</v>
      </c>
      <c r="F371" s="317" t="s">
        <v>453</v>
      </c>
      <c r="G371" s="288">
        <f>G370*2</f>
        <v>14.84</v>
      </c>
      <c r="H371" s="196">
        <f>IF(VLOOKUP(J371,'HOURLY RATES'!B$116:C$124,2,0)=0,$J$3,VLOOKUP(J371,'HOURLY RATES'!B$116:C$124,2,0))</f>
        <v>0.05</v>
      </c>
      <c r="I371" s="251">
        <f t="shared" ref="I371:I376" si="328">(G371*(1+H371))</f>
        <v>15.582000000000001</v>
      </c>
      <c r="J371" s="183" t="s">
        <v>19</v>
      </c>
      <c r="K371" s="368">
        <v>5.5E-2</v>
      </c>
      <c r="L371" s="369">
        <f t="shared" ref="L371:L376" si="329">K371*I371</f>
        <v>0.85701000000000005</v>
      </c>
      <c r="M371" s="185">
        <f>IF(VLOOKUP(E371,'HOURLY RATES'!C$6:D$105,2,0)=0,$E$3,VLOOKUP(E371,'HOURLY RATES'!C$6:D$105,2,0))</f>
        <v>21.16197</v>
      </c>
      <c r="N371" s="197">
        <f t="shared" ref="N371:N376" si="330">M371*L371</f>
        <v>18.1360199097</v>
      </c>
      <c r="O371" s="296">
        <v>1.0920000000000001</v>
      </c>
      <c r="P371" s="188">
        <f t="shared" ref="P371:P376" si="331">O371*I371</f>
        <v>17.015544000000002</v>
      </c>
      <c r="Q371" s="189">
        <f t="shared" ref="Q371:Q376" si="332">P371+N371</f>
        <v>35.151563909700002</v>
      </c>
      <c r="R371" s="190"/>
      <c r="X371" s="212"/>
    </row>
    <row r="372" spans="1:24" s="12" customFormat="1" ht="20.100000000000001" customHeight="1" x14ac:dyDescent="0.2">
      <c r="A372" s="298">
        <f>IF(J372&lt;&gt;"",1+MAX($A$18:A371),"")</f>
        <v>219</v>
      </c>
      <c r="B372" s="299" t="s">
        <v>427</v>
      </c>
      <c r="C372" s="299" t="s">
        <v>470</v>
      </c>
      <c r="D372" s="208" t="s">
        <v>21</v>
      </c>
      <c r="E372" s="302" t="s">
        <v>63</v>
      </c>
      <c r="F372" s="317" t="s">
        <v>454</v>
      </c>
      <c r="G372" s="288">
        <f>G370</f>
        <v>7.42</v>
      </c>
      <c r="H372" s="196">
        <f>IF(VLOOKUP(J372,'HOURLY RATES'!B$116:C$124,2,0)=0,$J$3,VLOOKUP(J372,'HOURLY RATES'!B$116:C$124,2,0))</f>
        <v>0.05</v>
      </c>
      <c r="I372" s="251">
        <f t="shared" si="328"/>
        <v>7.7910000000000004</v>
      </c>
      <c r="J372" s="183" t="s">
        <v>19</v>
      </c>
      <c r="K372" s="368">
        <v>5.5E-2</v>
      </c>
      <c r="L372" s="369">
        <f t="shared" si="329"/>
        <v>0.42850500000000002</v>
      </c>
      <c r="M372" s="185">
        <f>IF(VLOOKUP(E372,'HOURLY RATES'!C$6:D$105,2,0)=0,$E$3,VLOOKUP(E372,'HOURLY RATES'!C$6:D$105,2,0))</f>
        <v>21.16197</v>
      </c>
      <c r="N372" s="197">
        <f t="shared" si="330"/>
        <v>9.0680099548499999</v>
      </c>
      <c r="O372" s="296">
        <v>1.21</v>
      </c>
      <c r="P372" s="188">
        <f t="shared" si="331"/>
        <v>9.4271100000000008</v>
      </c>
      <c r="Q372" s="189">
        <f t="shared" si="332"/>
        <v>18.495119954850001</v>
      </c>
      <c r="R372" s="190"/>
      <c r="X372" s="212"/>
    </row>
    <row r="373" spans="1:24" s="12" customFormat="1" ht="20.100000000000001" customHeight="1" x14ac:dyDescent="0.2">
      <c r="A373" s="298">
        <f>IF(J373&lt;&gt;"",1+MAX($A$18:A372),"")</f>
        <v>220</v>
      </c>
      <c r="B373" s="299" t="s">
        <v>427</v>
      </c>
      <c r="C373" s="299" t="s">
        <v>470</v>
      </c>
      <c r="D373" s="208" t="s">
        <v>21</v>
      </c>
      <c r="E373" s="302" t="s">
        <v>63</v>
      </c>
      <c r="F373" s="317" t="s">
        <v>455</v>
      </c>
      <c r="G373" s="288">
        <f>G370/1.33</f>
        <v>5.5789473684210522</v>
      </c>
      <c r="H373" s="196">
        <f>IF(VLOOKUP(J373,'HOURLY RATES'!B$116:C$124,2,0)=0,$J$3,VLOOKUP(J373,'HOURLY RATES'!B$116:C$124,2,0))</f>
        <v>0</v>
      </c>
      <c r="I373" s="251">
        <f t="shared" si="328"/>
        <v>5.5789473684210522</v>
      </c>
      <c r="J373" s="183" t="s">
        <v>16</v>
      </c>
      <c r="K373" s="368">
        <f>0.055*10</f>
        <v>0.55000000000000004</v>
      </c>
      <c r="L373" s="369">
        <f t="shared" si="329"/>
        <v>3.0684210526315789</v>
      </c>
      <c r="M373" s="185">
        <f>IF(VLOOKUP(E373,'HOURLY RATES'!C$6:D$105,2,0)=0,$E$3,VLOOKUP(E373,'HOURLY RATES'!C$6:D$105,2,0))</f>
        <v>21.16197</v>
      </c>
      <c r="N373" s="197">
        <f t="shared" si="330"/>
        <v>64.933834263157891</v>
      </c>
      <c r="O373" s="296">
        <f>1.092*10</f>
        <v>10.920000000000002</v>
      </c>
      <c r="P373" s="188">
        <f t="shared" si="331"/>
        <v>60.922105263157903</v>
      </c>
      <c r="Q373" s="189">
        <f t="shared" si="332"/>
        <v>125.85593952631579</v>
      </c>
      <c r="R373" s="190"/>
      <c r="X373" s="212"/>
    </row>
    <row r="374" spans="1:24" s="12" customFormat="1" ht="20.100000000000001" customHeight="1" x14ac:dyDescent="0.2">
      <c r="A374" s="298">
        <f>IF(J374&lt;&gt;"",1+MAX($A$18:A373),"")</f>
        <v>221</v>
      </c>
      <c r="B374" s="299" t="s">
        <v>427</v>
      </c>
      <c r="C374" s="299" t="s">
        <v>470</v>
      </c>
      <c r="D374" s="208" t="s">
        <v>21</v>
      </c>
      <c r="E374" s="192" t="s">
        <v>124</v>
      </c>
      <c r="F374" s="317" t="s">
        <v>461</v>
      </c>
      <c r="G374" s="288">
        <f>G370*8/32</f>
        <v>1.855</v>
      </c>
      <c r="H374" s="196">
        <f>IF(VLOOKUP(J374,'HOURLY RATES'!B$116:C$124,2,0)=0,$J$3,VLOOKUP(J374,'HOURLY RATES'!B$116:C$124,2,0))</f>
        <v>0</v>
      </c>
      <c r="I374" s="251">
        <f t="shared" si="328"/>
        <v>1.855</v>
      </c>
      <c r="J374" s="183" t="s">
        <v>16</v>
      </c>
      <c r="K374" s="368">
        <f>0.015*32</f>
        <v>0.48</v>
      </c>
      <c r="L374" s="369">
        <f t="shared" si="329"/>
        <v>0.89039999999999997</v>
      </c>
      <c r="M374" s="185">
        <f>IF(VLOOKUP(E374,'HOURLY RATES'!C$6:D$105,2,0)=0,$E$3,VLOOKUP(E374,'HOURLY RATES'!C$6:D$105,2,0))</f>
        <v>21.16197</v>
      </c>
      <c r="N374" s="197">
        <f t="shared" si="330"/>
        <v>18.842618087999998</v>
      </c>
      <c r="O374" s="296">
        <v>9.56</v>
      </c>
      <c r="P374" s="188">
        <f t="shared" si="331"/>
        <v>17.733800000000002</v>
      </c>
      <c r="Q374" s="189">
        <f t="shared" si="332"/>
        <v>36.576418087999997</v>
      </c>
      <c r="R374" s="190"/>
      <c r="X374" s="212"/>
    </row>
    <row r="375" spans="1:24" s="12" customFormat="1" ht="20.100000000000001" customHeight="1" x14ac:dyDescent="0.2">
      <c r="A375" s="298">
        <f>IF(J375&lt;&gt;"",1+MAX($A$18:A374),"")</f>
        <v>222</v>
      </c>
      <c r="B375" s="299" t="s">
        <v>427</v>
      </c>
      <c r="C375" s="299" t="s">
        <v>470</v>
      </c>
      <c r="D375" s="208" t="s">
        <v>21</v>
      </c>
      <c r="E375" s="192" t="s">
        <v>124</v>
      </c>
      <c r="F375" s="317" t="s">
        <v>929</v>
      </c>
      <c r="G375" s="288">
        <f>G370*8/32</f>
        <v>1.855</v>
      </c>
      <c r="H375" s="196">
        <f>IF(VLOOKUP(J375,'HOURLY RATES'!B$116:C$124,2,0)=0,$J$3,VLOOKUP(J375,'HOURLY RATES'!B$116:C$124,2,0))</f>
        <v>0</v>
      </c>
      <c r="I375" s="251">
        <f t="shared" si="328"/>
        <v>1.855</v>
      </c>
      <c r="J375" s="183" t="s">
        <v>16</v>
      </c>
      <c r="K375" s="292">
        <f>0.02*32</f>
        <v>0.64</v>
      </c>
      <c r="L375" s="369">
        <f t="shared" si="329"/>
        <v>1.1872</v>
      </c>
      <c r="M375" s="185">
        <f>IF(VLOOKUP(E375,'HOURLY RATES'!C$6:D$105,2,0)=0,$E$3,VLOOKUP(E375,'HOURLY RATES'!C$6:D$105,2,0))</f>
        <v>21.16197</v>
      </c>
      <c r="N375" s="197">
        <f t="shared" si="330"/>
        <v>25.123490784000001</v>
      </c>
      <c r="O375" s="296">
        <v>24.99</v>
      </c>
      <c r="P375" s="188">
        <f t="shared" si="331"/>
        <v>46.356449999999995</v>
      </c>
      <c r="Q375" s="189">
        <f t="shared" si="332"/>
        <v>71.479940783999993</v>
      </c>
      <c r="R375" s="190"/>
      <c r="X375" s="212"/>
    </row>
    <row r="376" spans="1:24" s="12" customFormat="1" ht="20.100000000000001" customHeight="1" x14ac:dyDescent="0.2">
      <c r="A376" s="298">
        <f>IF(J376&lt;&gt;"",1+MAX($A$18:A375),"")</f>
        <v>223</v>
      </c>
      <c r="B376" s="299" t="s">
        <v>427</v>
      </c>
      <c r="C376" s="299" t="s">
        <v>470</v>
      </c>
      <c r="D376" s="208" t="s">
        <v>21</v>
      </c>
      <c r="E376" s="192" t="s">
        <v>220</v>
      </c>
      <c r="F376" s="317" t="s">
        <v>452</v>
      </c>
      <c r="G376" s="288">
        <f>G370*4</f>
        <v>29.68</v>
      </c>
      <c r="H376" s="196">
        <f>IF(VLOOKUP(J376,'HOURLY RATES'!B$116:C$124,2,0)=0,$J$3,VLOOKUP(J376,'HOURLY RATES'!B$116:C$124,2,0))</f>
        <v>0.05</v>
      </c>
      <c r="I376" s="251">
        <f t="shared" si="328"/>
        <v>31.164000000000001</v>
      </c>
      <c r="J376" s="183" t="s">
        <v>19</v>
      </c>
      <c r="K376" s="368">
        <v>1.6E-2</v>
      </c>
      <c r="L376" s="369">
        <f t="shared" si="329"/>
        <v>0.49862400000000001</v>
      </c>
      <c r="M376" s="185">
        <f>IF(VLOOKUP(E376,'HOURLY RATES'!C$6:D$105,2,0)=0,$E$3,VLOOKUP(E376,'HOURLY RATES'!C$6:D$105,2,0))</f>
        <v>23.2578</v>
      </c>
      <c r="N376" s="197">
        <f t="shared" si="330"/>
        <v>11.596897267199999</v>
      </c>
      <c r="O376" s="296">
        <v>0.05</v>
      </c>
      <c r="P376" s="188">
        <f t="shared" si="331"/>
        <v>1.5582000000000003</v>
      </c>
      <c r="Q376" s="189">
        <f t="shared" si="332"/>
        <v>13.155097267199999</v>
      </c>
      <c r="R376" s="190"/>
      <c r="X376" s="212"/>
    </row>
    <row r="377" spans="1:24" s="12" customFormat="1" ht="20.100000000000001" customHeight="1" x14ac:dyDescent="0.2">
      <c r="A377" s="298" t="str">
        <f>IF(J377&lt;&gt;"",1+MAX($A$18:A376),"")</f>
        <v/>
      </c>
      <c r="B377" s="299"/>
      <c r="C377" s="299"/>
      <c r="D377" s="208"/>
      <c r="E377" s="302"/>
      <c r="F377" s="317"/>
      <c r="G377" s="288"/>
      <c r="H377" s="196"/>
      <c r="I377" s="251"/>
      <c r="J377" s="183"/>
      <c r="K377" s="368"/>
      <c r="L377" s="210"/>
      <c r="M377" s="185"/>
      <c r="N377" s="197"/>
      <c r="O377" s="296"/>
      <c r="P377" s="188"/>
      <c r="Q377" s="189"/>
      <c r="R377" s="190"/>
      <c r="X377" s="212"/>
    </row>
    <row r="378" spans="1:24" s="12" customFormat="1" ht="20.100000000000001" customHeight="1" x14ac:dyDescent="0.2">
      <c r="A378" s="298" t="str">
        <f>IF(J378&lt;&gt;"",1+MAX($A$18:A377),"")</f>
        <v/>
      </c>
      <c r="B378" s="299"/>
      <c r="C378" s="299"/>
      <c r="D378" s="208"/>
      <c r="E378" s="302"/>
      <c r="F378" s="313" t="s">
        <v>434</v>
      </c>
      <c r="G378" s="319">
        <v>63.63</v>
      </c>
      <c r="H378" s="196"/>
      <c r="I378" s="251"/>
      <c r="J378" s="183"/>
      <c r="K378" s="368"/>
      <c r="L378" s="210"/>
      <c r="M378" s="185"/>
      <c r="N378" s="197"/>
      <c r="O378" s="296"/>
      <c r="P378" s="188"/>
      <c r="Q378" s="189"/>
      <c r="R378" s="190"/>
      <c r="X378" s="212"/>
    </row>
    <row r="379" spans="1:24" s="12" customFormat="1" ht="20.100000000000001" customHeight="1" x14ac:dyDescent="0.2">
      <c r="A379" s="298">
        <f>IF(J379&lt;&gt;"",1+MAX($A$18:A378),"")</f>
        <v>224</v>
      </c>
      <c r="B379" s="299" t="s">
        <v>427</v>
      </c>
      <c r="C379" s="299" t="s">
        <v>470</v>
      </c>
      <c r="D379" s="208" t="s">
        <v>21</v>
      </c>
      <c r="E379" s="302" t="s">
        <v>63</v>
      </c>
      <c r="F379" s="317" t="s">
        <v>453</v>
      </c>
      <c r="G379" s="288">
        <f>G378*2</f>
        <v>127.26</v>
      </c>
      <c r="H379" s="196">
        <f>IF(VLOOKUP(J379,'HOURLY RATES'!B$116:C$124,2,0)=0,$J$3,VLOOKUP(J379,'HOURLY RATES'!B$116:C$124,2,0))</f>
        <v>0.05</v>
      </c>
      <c r="I379" s="251">
        <f t="shared" ref="I379:I385" si="333">(G379*(1+H379))</f>
        <v>133.62300000000002</v>
      </c>
      <c r="J379" s="183" t="s">
        <v>19</v>
      </c>
      <c r="K379" s="368">
        <v>5.5E-2</v>
      </c>
      <c r="L379" s="369">
        <f t="shared" ref="L379:L385" si="334">K379*I379</f>
        <v>7.3492650000000008</v>
      </c>
      <c r="M379" s="185">
        <f>IF(VLOOKUP(E379,'HOURLY RATES'!C$6:D$105,2,0)=0,$E$3,VLOOKUP(E379,'HOURLY RATES'!C$6:D$105,2,0))</f>
        <v>21.16197</v>
      </c>
      <c r="N379" s="197">
        <f t="shared" ref="N379:N385" si="335">M379*L379</f>
        <v>155.52492545205001</v>
      </c>
      <c r="O379" s="296">
        <v>1.0920000000000001</v>
      </c>
      <c r="P379" s="188">
        <f t="shared" ref="P379:P385" si="336">O379*I379</f>
        <v>145.91631600000002</v>
      </c>
      <c r="Q379" s="189">
        <f t="shared" ref="Q379:Q385" si="337">P379+N379</f>
        <v>301.44124145205001</v>
      </c>
      <c r="R379" s="190"/>
      <c r="X379" s="212"/>
    </row>
    <row r="380" spans="1:24" s="12" customFormat="1" ht="20.100000000000001" customHeight="1" x14ac:dyDescent="0.2">
      <c r="A380" s="298">
        <f>IF(J380&lt;&gt;"",1+MAX($A$18:A379),"")</f>
        <v>225</v>
      </c>
      <c r="B380" s="299" t="s">
        <v>427</v>
      </c>
      <c r="C380" s="299" t="s">
        <v>470</v>
      </c>
      <c r="D380" s="208" t="s">
        <v>21</v>
      </c>
      <c r="E380" s="302" t="s">
        <v>63</v>
      </c>
      <c r="F380" s="317" t="s">
        <v>454</v>
      </c>
      <c r="G380" s="288">
        <f>G378</f>
        <v>63.63</v>
      </c>
      <c r="H380" s="196">
        <f>IF(VLOOKUP(J380,'HOURLY RATES'!B$116:C$124,2,0)=0,$J$3,VLOOKUP(J380,'HOURLY RATES'!B$116:C$124,2,0))</f>
        <v>0.05</v>
      </c>
      <c r="I380" s="251">
        <f t="shared" si="333"/>
        <v>66.811500000000009</v>
      </c>
      <c r="J380" s="183" t="s">
        <v>19</v>
      </c>
      <c r="K380" s="368">
        <v>5.5E-2</v>
      </c>
      <c r="L380" s="369">
        <f t="shared" si="334"/>
        <v>3.6746325000000004</v>
      </c>
      <c r="M380" s="185">
        <f>IF(VLOOKUP(E380,'HOURLY RATES'!C$6:D$105,2,0)=0,$E$3,VLOOKUP(E380,'HOURLY RATES'!C$6:D$105,2,0))</f>
        <v>21.16197</v>
      </c>
      <c r="N380" s="197">
        <f t="shared" si="335"/>
        <v>77.762462726025007</v>
      </c>
      <c r="O380" s="296">
        <v>1.21</v>
      </c>
      <c r="P380" s="188">
        <f t="shared" si="336"/>
        <v>80.841915000000014</v>
      </c>
      <c r="Q380" s="189">
        <f t="shared" si="337"/>
        <v>158.60437772602501</v>
      </c>
      <c r="R380" s="190"/>
      <c r="X380" s="212"/>
    </row>
    <row r="381" spans="1:24" s="12" customFormat="1" ht="20.100000000000001" customHeight="1" x14ac:dyDescent="0.2">
      <c r="A381" s="298">
        <f>IF(J381&lt;&gt;"",1+MAX($A$18:A380),"")</f>
        <v>226</v>
      </c>
      <c r="B381" s="299" t="s">
        <v>427</v>
      </c>
      <c r="C381" s="299" t="s">
        <v>470</v>
      </c>
      <c r="D381" s="208" t="s">
        <v>21</v>
      </c>
      <c r="E381" s="302" t="s">
        <v>63</v>
      </c>
      <c r="F381" s="317" t="s">
        <v>455</v>
      </c>
      <c r="G381" s="288">
        <f>G378/1.33</f>
        <v>47.842105263157897</v>
      </c>
      <c r="H381" s="196">
        <f>IF(VLOOKUP(J381,'HOURLY RATES'!B$116:C$124,2,0)=0,$J$3,VLOOKUP(J381,'HOURLY RATES'!B$116:C$124,2,0))</f>
        <v>0</v>
      </c>
      <c r="I381" s="251">
        <f t="shared" si="333"/>
        <v>47.842105263157897</v>
      </c>
      <c r="J381" s="183" t="s">
        <v>16</v>
      </c>
      <c r="K381" s="368">
        <f>0.055*10</f>
        <v>0.55000000000000004</v>
      </c>
      <c r="L381" s="369">
        <f t="shared" si="334"/>
        <v>26.313157894736847</v>
      </c>
      <c r="M381" s="185">
        <f>IF(VLOOKUP(E381,'HOURLY RATES'!C$6:D$105,2,0)=0,$E$3,VLOOKUP(E381,'HOURLY RATES'!C$6:D$105,2,0))</f>
        <v>21.16197</v>
      </c>
      <c r="N381" s="197">
        <f t="shared" si="335"/>
        <v>556.83825797368434</v>
      </c>
      <c r="O381" s="296">
        <f>1.092*10</f>
        <v>10.920000000000002</v>
      </c>
      <c r="P381" s="188">
        <f t="shared" si="336"/>
        <v>522.43578947368428</v>
      </c>
      <c r="Q381" s="189">
        <f t="shared" si="337"/>
        <v>1079.2740474473685</v>
      </c>
      <c r="R381" s="190"/>
      <c r="X381" s="212"/>
    </row>
    <row r="382" spans="1:24" s="12" customFormat="1" ht="20.100000000000001" customHeight="1" x14ac:dyDescent="0.2">
      <c r="A382" s="298">
        <f>IF(J382&lt;&gt;"",1+MAX($A$18:A381),"")</f>
        <v>227</v>
      </c>
      <c r="B382" s="299" t="s">
        <v>427</v>
      </c>
      <c r="C382" s="299" t="s">
        <v>470</v>
      </c>
      <c r="D382" s="208" t="s">
        <v>21</v>
      </c>
      <c r="E382" s="302" t="s">
        <v>55</v>
      </c>
      <c r="F382" s="317" t="s">
        <v>462</v>
      </c>
      <c r="G382" s="288">
        <f>G378*10</f>
        <v>636.30000000000007</v>
      </c>
      <c r="H382" s="196">
        <f>IF(VLOOKUP(J382,'HOURLY RATES'!B$116:C$124,2,0)=0,$J$3,VLOOKUP(J382,'HOURLY RATES'!B$116:C$124,2,0))</f>
        <v>0.05</v>
      </c>
      <c r="I382" s="251">
        <f t="shared" si="333"/>
        <v>668.11500000000012</v>
      </c>
      <c r="J382" s="183" t="s">
        <v>17</v>
      </c>
      <c r="K382" s="368">
        <v>0.01</v>
      </c>
      <c r="L382" s="369">
        <f t="shared" si="334"/>
        <v>6.6811500000000015</v>
      </c>
      <c r="M382" s="185">
        <f>IF(VLOOKUP(E382,'HOURLY RATES'!C$6:D$105,2,0)=0,$E$3,VLOOKUP(E382,'HOURLY RATES'!C$6:D$105,2,0))</f>
        <v>21.16197</v>
      </c>
      <c r="N382" s="197">
        <f t="shared" si="335"/>
        <v>141.38629586550005</v>
      </c>
      <c r="O382" s="296">
        <f>61.04/67.81</f>
        <v>0.9001622179619525</v>
      </c>
      <c r="P382" s="188">
        <f t="shared" si="336"/>
        <v>601.41188025365</v>
      </c>
      <c r="Q382" s="189">
        <f t="shared" si="337"/>
        <v>742.79817611915007</v>
      </c>
      <c r="R382" s="190"/>
      <c r="X382" s="212"/>
    </row>
    <row r="383" spans="1:24" s="12" customFormat="1" ht="20.100000000000001" customHeight="1" x14ac:dyDescent="0.2">
      <c r="A383" s="298">
        <f>IF(J383&lt;&gt;"",1+MAX($A$18:A382),"")</f>
        <v>228</v>
      </c>
      <c r="B383" s="299" t="s">
        <v>427</v>
      </c>
      <c r="C383" s="299" t="s">
        <v>470</v>
      </c>
      <c r="D383" s="208" t="s">
        <v>21</v>
      </c>
      <c r="E383" s="192" t="s">
        <v>124</v>
      </c>
      <c r="F383" s="12" t="s">
        <v>927</v>
      </c>
      <c r="G383" s="288">
        <f>G378*9/32</f>
        <v>17.895937500000002</v>
      </c>
      <c r="H383" s="196">
        <f>IF(VLOOKUP(J383,'HOURLY RATES'!B$116:C$124,2,0)=0,$J$3,VLOOKUP(J383,'HOURLY RATES'!B$116:C$124,2,0))</f>
        <v>0</v>
      </c>
      <c r="I383" s="251">
        <f t="shared" si="333"/>
        <v>17.895937500000002</v>
      </c>
      <c r="J383" s="183" t="s">
        <v>16</v>
      </c>
      <c r="K383" s="368">
        <f>0.017*32</f>
        <v>0.54400000000000004</v>
      </c>
      <c r="L383" s="369">
        <f t="shared" si="334"/>
        <v>9.7353900000000024</v>
      </c>
      <c r="M383" s="185">
        <f>IF(VLOOKUP(E383,'HOURLY RATES'!C$6:D$105,2,0)=0,$E$3,VLOOKUP(E383,'HOURLY RATES'!C$6:D$105,2,0))</f>
        <v>21.16197</v>
      </c>
      <c r="N383" s="197">
        <f t="shared" si="335"/>
        <v>206.02003111830004</v>
      </c>
      <c r="O383" s="296">
        <f>30.98</f>
        <v>30.98</v>
      </c>
      <c r="P383" s="188">
        <f t="shared" si="336"/>
        <v>554.41614375000006</v>
      </c>
      <c r="Q383" s="189">
        <f t="shared" si="337"/>
        <v>760.4361748683001</v>
      </c>
      <c r="R383" s="190"/>
      <c r="X383" s="212"/>
    </row>
    <row r="384" spans="1:24" s="12" customFormat="1" ht="20.100000000000001" customHeight="1" x14ac:dyDescent="0.2">
      <c r="A384" s="298">
        <f>IF(J384&lt;&gt;"",1+MAX($A$18:A383),"")</f>
        <v>229</v>
      </c>
      <c r="B384" s="299" t="s">
        <v>427</v>
      </c>
      <c r="C384" s="299" t="s">
        <v>470</v>
      </c>
      <c r="D384" s="208" t="s">
        <v>21</v>
      </c>
      <c r="E384" s="302" t="s">
        <v>37</v>
      </c>
      <c r="F384" s="317" t="s">
        <v>928</v>
      </c>
      <c r="G384" s="288">
        <f>G378*10/32</f>
        <v>19.884375000000002</v>
      </c>
      <c r="H384" s="196">
        <f>IF(VLOOKUP(J384,'HOURLY RATES'!B$116:C$124,2,0)=0,$J$3,VLOOKUP(J384,'HOURLY RATES'!B$116:C$124,2,0))</f>
        <v>0</v>
      </c>
      <c r="I384" s="251">
        <f t="shared" si="333"/>
        <v>19.884375000000002</v>
      </c>
      <c r="J384" s="183" t="s">
        <v>16</v>
      </c>
      <c r="K384" s="368">
        <f>0.022*32</f>
        <v>0.70399999999999996</v>
      </c>
      <c r="L384" s="369">
        <f t="shared" si="334"/>
        <v>13.998600000000001</v>
      </c>
      <c r="M384" s="185">
        <f>IF(VLOOKUP(E384,'HOURLY RATES'!C$6:D$105,2,0)=0,$E$3,VLOOKUP(E384,'HOURLY RATES'!C$6:D$105,2,0))</f>
        <v>21.16197</v>
      </c>
      <c r="N384" s="197">
        <f t="shared" si="335"/>
        <v>296.23795324200006</v>
      </c>
      <c r="O384" s="296">
        <f>28.32*0.625/0.5</f>
        <v>35.4</v>
      </c>
      <c r="P384" s="188">
        <f t="shared" si="336"/>
        <v>703.90687500000001</v>
      </c>
      <c r="Q384" s="189">
        <f t="shared" si="337"/>
        <v>1000.1448282420001</v>
      </c>
      <c r="R384" s="190"/>
      <c r="X384" s="212"/>
    </row>
    <row r="385" spans="1:24" s="12" customFormat="1" ht="20.100000000000001" customHeight="1" x14ac:dyDescent="0.2">
      <c r="A385" s="298">
        <f>IF(J385&lt;&gt;"",1+MAX($A$18:A384),"")</f>
        <v>230</v>
      </c>
      <c r="B385" s="299" t="s">
        <v>427</v>
      </c>
      <c r="C385" s="299" t="s">
        <v>470</v>
      </c>
      <c r="D385" s="208" t="s">
        <v>21</v>
      </c>
      <c r="E385" s="192" t="s">
        <v>220</v>
      </c>
      <c r="F385" s="317" t="s">
        <v>452</v>
      </c>
      <c r="G385" s="288">
        <f>G378*2</f>
        <v>127.26</v>
      </c>
      <c r="H385" s="196">
        <f>IF(VLOOKUP(J385,'HOURLY RATES'!B$116:C$124,2,0)=0,$J$3,VLOOKUP(J385,'HOURLY RATES'!B$116:C$124,2,0))</f>
        <v>0.05</v>
      </c>
      <c r="I385" s="251">
        <f t="shared" si="333"/>
        <v>133.62300000000002</v>
      </c>
      <c r="J385" s="183" t="s">
        <v>19</v>
      </c>
      <c r="K385" s="368">
        <v>1.6E-2</v>
      </c>
      <c r="L385" s="369">
        <f t="shared" si="334"/>
        <v>2.1379680000000003</v>
      </c>
      <c r="M385" s="185">
        <f>IF(VLOOKUP(E385,'HOURLY RATES'!C$6:D$105,2,0)=0,$E$3,VLOOKUP(E385,'HOURLY RATES'!C$6:D$105,2,0))</f>
        <v>23.2578</v>
      </c>
      <c r="N385" s="197">
        <f t="shared" si="335"/>
        <v>49.724432150400006</v>
      </c>
      <c r="O385" s="296">
        <v>0.05</v>
      </c>
      <c r="P385" s="188">
        <f t="shared" si="336"/>
        <v>6.6811500000000015</v>
      </c>
      <c r="Q385" s="189">
        <f t="shared" si="337"/>
        <v>56.405582150400008</v>
      </c>
      <c r="R385" s="190"/>
      <c r="X385" s="212"/>
    </row>
    <row r="386" spans="1:24" s="12" customFormat="1" ht="20.100000000000001" customHeight="1" x14ac:dyDescent="0.2">
      <c r="A386" s="298" t="str">
        <f>IF(J386&lt;&gt;"",1+MAX($A$18:A385),"")</f>
        <v/>
      </c>
      <c r="B386" s="299"/>
      <c r="C386" s="299"/>
      <c r="D386" s="208"/>
      <c r="E386" s="302"/>
      <c r="F386" s="317"/>
      <c r="G386" s="288"/>
      <c r="H386" s="196"/>
      <c r="I386" s="251"/>
      <c r="J386" s="183"/>
      <c r="K386" s="368"/>
      <c r="L386" s="210"/>
      <c r="M386" s="185"/>
      <c r="N386" s="197"/>
      <c r="O386" s="296"/>
      <c r="P386" s="188"/>
      <c r="Q386" s="189"/>
      <c r="R386" s="190"/>
      <c r="X386" s="212"/>
    </row>
    <row r="387" spans="1:24" s="12" customFormat="1" ht="20.100000000000001" customHeight="1" x14ac:dyDescent="0.2">
      <c r="A387" s="298" t="str">
        <f>IF(J387&lt;&gt;"",1+MAX($A$18:A386),"")</f>
        <v/>
      </c>
      <c r="B387" s="299"/>
      <c r="C387" s="299"/>
      <c r="D387" s="208"/>
      <c r="E387" s="302"/>
      <c r="F387" s="313" t="s">
        <v>948</v>
      </c>
      <c r="G387" s="319">
        <v>102.7</v>
      </c>
      <c r="H387" s="196"/>
      <c r="I387" s="251"/>
      <c r="J387" s="183"/>
      <c r="K387" s="368"/>
      <c r="L387" s="210"/>
      <c r="M387" s="185"/>
      <c r="N387" s="197"/>
      <c r="O387" s="296"/>
      <c r="P387" s="188"/>
      <c r="Q387" s="189"/>
      <c r="R387" s="190"/>
      <c r="X387" s="212"/>
    </row>
    <row r="388" spans="1:24" s="12" customFormat="1" ht="20.100000000000001" customHeight="1" x14ac:dyDescent="0.2">
      <c r="A388" s="298">
        <f>IF(J388&lt;&gt;"",1+MAX($A$18:A387),"")</f>
        <v>231</v>
      </c>
      <c r="B388" s="299" t="s">
        <v>427</v>
      </c>
      <c r="C388" s="299" t="s">
        <v>470</v>
      </c>
      <c r="D388" s="208" t="s">
        <v>21</v>
      </c>
      <c r="E388" s="302" t="s">
        <v>63</v>
      </c>
      <c r="F388" s="317" t="s">
        <v>457</v>
      </c>
      <c r="G388" s="288">
        <f>G387*2</f>
        <v>205.4</v>
      </c>
      <c r="H388" s="196">
        <f>IF(VLOOKUP(J388,'HOURLY RATES'!B$116:C$124,2,0)=0,$J$3,VLOOKUP(J388,'HOURLY RATES'!B$116:C$124,2,0))</f>
        <v>0.05</v>
      </c>
      <c r="I388" s="251">
        <f t="shared" ref="I388:I394" si="338">(G388*(1+H388))</f>
        <v>215.67000000000002</v>
      </c>
      <c r="J388" s="183" t="s">
        <v>19</v>
      </c>
      <c r="K388" s="368">
        <v>5.8999999999999997E-2</v>
      </c>
      <c r="L388" s="369">
        <f t="shared" ref="L388:L394" si="339">K388*I388</f>
        <v>12.72453</v>
      </c>
      <c r="M388" s="185">
        <f>IF(VLOOKUP(E388,'HOURLY RATES'!C$6:D$105,2,0)=0,$E$3,VLOOKUP(E388,'HOURLY RATES'!C$6:D$105,2,0))</f>
        <v>21.16197</v>
      </c>
      <c r="N388" s="197">
        <f t="shared" ref="N388:N394" si="340">M388*L388</f>
        <v>269.27612212409997</v>
      </c>
      <c r="O388" s="296">
        <v>1.21</v>
      </c>
      <c r="P388" s="188">
        <f t="shared" ref="P388:P394" si="341">O388*I388</f>
        <v>260.96070000000003</v>
      </c>
      <c r="Q388" s="189">
        <f t="shared" ref="Q388:Q394" si="342">P388+N388</f>
        <v>530.23682212409994</v>
      </c>
      <c r="R388" s="190"/>
      <c r="X388" s="212"/>
    </row>
    <row r="389" spans="1:24" s="12" customFormat="1" ht="20.100000000000001" customHeight="1" x14ac:dyDescent="0.2">
      <c r="A389" s="298">
        <f>IF(J389&lt;&gt;"",1+MAX($A$18:A388),"")</f>
        <v>232</v>
      </c>
      <c r="B389" s="299" t="s">
        <v>427</v>
      </c>
      <c r="C389" s="299" t="s">
        <v>470</v>
      </c>
      <c r="D389" s="208" t="s">
        <v>21</v>
      </c>
      <c r="E389" s="302" t="s">
        <v>63</v>
      </c>
      <c r="F389" s="317" t="s">
        <v>468</v>
      </c>
      <c r="G389" s="288">
        <f>G387</f>
        <v>102.7</v>
      </c>
      <c r="H389" s="196">
        <f>IF(VLOOKUP(J389,'HOURLY RATES'!B$116:C$124,2,0)=0,$J$3,VLOOKUP(J389,'HOURLY RATES'!B$116:C$124,2,0))</f>
        <v>0.05</v>
      </c>
      <c r="I389" s="251">
        <f t="shared" si="338"/>
        <v>107.83500000000001</v>
      </c>
      <c r="J389" s="183" t="s">
        <v>19</v>
      </c>
      <c r="K389" s="368">
        <v>5.8999999999999997E-2</v>
      </c>
      <c r="L389" s="369">
        <f t="shared" si="339"/>
        <v>6.3622649999999998</v>
      </c>
      <c r="M389" s="185">
        <f>IF(VLOOKUP(E389,'HOURLY RATES'!C$6:D$105,2,0)=0,$E$3,VLOOKUP(E389,'HOURLY RATES'!C$6:D$105,2,0))</f>
        <v>21.16197</v>
      </c>
      <c r="N389" s="197">
        <f t="shared" si="340"/>
        <v>134.63806106204999</v>
      </c>
      <c r="O389" s="296">
        <v>1.44</v>
      </c>
      <c r="P389" s="188">
        <f t="shared" si="341"/>
        <v>155.2824</v>
      </c>
      <c r="Q389" s="189">
        <f t="shared" si="342"/>
        <v>289.92046106204998</v>
      </c>
      <c r="R389" s="190"/>
      <c r="X389" s="212"/>
    </row>
    <row r="390" spans="1:24" s="12" customFormat="1" ht="20.100000000000001" customHeight="1" x14ac:dyDescent="0.2">
      <c r="A390" s="298">
        <f>IF(J390&lt;&gt;"",1+MAX($A$18:A389),"")</f>
        <v>233</v>
      </c>
      <c r="B390" s="299" t="s">
        <v>427</v>
      </c>
      <c r="C390" s="299" t="s">
        <v>470</v>
      </c>
      <c r="D390" s="208" t="s">
        <v>21</v>
      </c>
      <c r="E390" s="302" t="s">
        <v>63</v>
      </c>
      <c r="F390" s="317" t="s">
        <v>458</v>
      </c>
      <c r="G390" s="288">
        <f>G387/1.33</f>
        <v>77.218045112781951</v>
      </c>
      <c r="H390" s="196">
        <f>IF(VLOOKUP(J390,'HOURLY RATES'!B$116:C$124,2,0)=0,$J$3,VLOOKUP(J390,'HOURLY RATES'!B$116:C$124,2,0))</f>
        <v>0</v>
      </c>
      <c r="I390" s="251">
        <f t="shared" si="338"/>
        <v>77.218045112781951</v>
      </c>
      <c r="J390" s="183" t="s">
        <v>16</v>
      </c>
      <c r="K390" s="368">
        <f>0.059*12</f>
        <v>0.70799999999999996</v>
      </c>
      <c r="L390" s="369">
        <f t="shared" si="339"/>
        <v>54.67037593984962</v>
      </c>
      <c r="M390" s="185">
        <f>IF(VLOOKUP(E390,'HOURLY RATES'!C$6:D$105,2,0)=0,$E$3,VLOOKUP(E390,'HOURLY RATES'!C$6:D$105,2,0))</f>
        <v>21.16197</v>
      </c>
      <c r="N390" s="197">
        <f t="shared" si="340"/>
        <v>1156.9328555278196</v>
      </c>
      <c r="O390" s="296">
        <f>1.21*12</f>
        <v>14.52</v>
      </c>
      <c r="P390" s="188">
        <f t="shared" si="341"/>
        <v>1121.2060150375939</v>
      </c>
      <c r="Q390" s="189">
        <f t="shared" si="342"/>
        <v>2278.1388705654135</v>
      </c>
      <c r="R390" s="190"/>
      <c r="X390" s="212"/>
    </row>
    <row r="391" spans="1:24" s="12" customFormat="1" ht="20.100000000000001" customHeight="1" x14ac:dyDescent="0.2">
      <c r="A391" s="298">
        <f>IF(J391&lt;&gt;"",1+MAX($A$18:A390),"")</f>
        <v>234</v>
      </c>
      <c r="B391" s="299" t="s">
        <v>427</v>
      </c>
      <c r="C391" s="299" t="s">
        <v>470</v>
      </c>
      <c r="D391" s="208" t="s">
        <v>21</v>
      </c>
      <c r="E391" s="302" t="s">
        <v>55</v>
      </c>
      <c r="F391" s="317" t="s">
        <v>450</v>
      </c>
      <c r="G391" s="288">
        <f>G387*10.83</f>
        <v>1112.241</v>
      </c>
      <c r="H391" s="196">
        <f>IF(VLOOKUP(J391,'HOURLY RATES'!B$116:C$124,2,0)=0,$J$3,VLOOKUP(J391,'HOURLY RATES'!B$116:C$124,2,0))</f>
        <v>0.05</v>
      </c>
      <c r="I391" s="251">
        <f t="shared" si="338"/>
        <v>1167.8530499999999</v>
      </c>
      <c r="J391" s="183" t="s">
        <v>17</v>
      </c>
      <c r="K391" s="368">
        <v>0.01</v>
      </c>
      <c r="L391" s="369">
        <f t="shared" si="339"/>
        <v>11.678530499999999</v>
      </c>
      <c r="M391" s="185">
        <f>IF(VLOOKUP(E391,'HOURLY RATES'!C$6:D$105,2,0)=0,$E$3,VLOOKUP(E391,'HOURLY RATES'!C$6:D$105,2,0))</f>
        <v>21.16197</v>
      </c>
      <c r="N391" s="197">
        <f t="shared" si="340"/>
        <v>247.14071208508497</v>
      </c>
      <c r="O391" s="296">
        <f>72.54/67.81</f>
        <v>1.0697537236395813</v>
      </c>
      <c r="P391" s="188">
        <f t="shared" si="341"/>
        <v>1249.3151489013421</v>
      </c>
      <c r="Q391" s="189">
        <f t="shared" si="342"/>
        <v>1496.4558609864271</v>
      </c>
      <c r="R391" s="190"/>
      <c r="X391" s="212"/>
    </row>
    <row r="392" spans="1:24" s="12" customFormat="1" ht="20.100000000000001" customHeight="1" x14ac:dyDescent="0.2">
      <c r="A392" s="298">
        <f>IF(J392&lt;&gt;"",1+MAX($A$18:A391),"")</f>
        <v>235</v>
      </c>
      <c r="B392" s="299" t="s">
        <v>427</v>
      </c>
      <c r="C392" s="299" t="s">
        <v>470</v>
      </c>
      <c r="D392" s="208" t="s">
        <v>21</v>
      </c>
      <c r="E392" s="192" t="s">
        <v>124</v>
      </c>
      <c r="F392" s="12" t="s">
        <v>927</v>
      </c>
      <c r="G392" s="288">
        <f>G387*10/32</f>
        <v>32.09375</v>
      </c>
      <c r="H392" s="196">
        <f>IF(VLOOKUP(J392,'HOURLY RATES'!B$116:C$124,2,0)=0,$J$3,VLOOKUP(J392,'HOURLY RATES'!B$116:C$124,2,0))</f>
        <v>0</v>
      </c>
      <c r="I392" s="251">
        <f t="shared" si="338"/>
        <v>32.09375</v>
      </c>
      <c r="J392" s="183" t="s">
        <v>16</v>
      </c>
      <c r="K392" s="368">
        <f>0.017*32</f>
        <v>0.54400000000000004</v>
      </c>
      <c r="L392" s="369">
        <f t="shared" si="339"/>
        <v>17.459</v>
      </c>
      <c r="M392" s="185">
        <f>IF(VLOOKUP(E392,'HOURLY RATES'!C$6:D$105,2,0)=0,$E$3,VLOOKUP(E392,'HOURLY RATES'!C$6:D$105,2,0))</f>
        <v>21.16197</v>
      </c>
      <c r="N392" s="197">
        <f t="shared" si="340"/>
        <v>369.46683423000002</v>
      </c>
      <c r="O392" s="296">
        <f>30.98</f>
        <v>30.98</v>
      </c>
      <c r="P392" s="188">
        <f t="shared" si="341"/>
        <v>994.26437499999997</v>
      </c>
      <c r="Q392" s="189">
        <f t="shared" si="342"/>
        <v>1363.7312092299999</v>
      </c>
      <c r="R392" s="190"/>
      <c r="X392" s="212"/>
    </row>
    <row r="393" spans="1:24" s="12" customFormat="1" ht="20.100000000000001" customHeight="1" x14ac:dyDescent="0.2">
      <c r="A393" s="298">
        <f>IF(J393&lt;&gt;"",1+MAX($A$18:A392),"")</f>
        <v>236</v>
      </c>
      <c r="B393" s="299" t="s">
        <v>427</v>
      </c>
      <c r="C393" s="299" t="s">
        <v>470</v>
      </c>
      <c r="D393" s="208" t="s">
        <v>21</v>
      </c>
      <c r="E393" s="302" t="s">
        <v>37</v>
      </c>
      <c r="F393" s="317" t="s">
        <v>928</v>
      </c>
      <c r="G393" s="288">
        <f>G387*10.83/32</f>
        <v>34.75753125</v>
      </c>
      <c r="H393" s="196">
        <f>IF(VLOOKUP(J393,'HOURLY RATES'!B$116:C$124,2,0)=0,$J$3,VLOOKUP(J393,'HOURLY RATES'!B$116:C$124,2,0))</f>
        <v>0</v>
      </c>
      <c r="I393" s="251">
        <f t="shared" si="338"/>
        <v>34.75753125</v>
      </c>
      <c r="J393" s="183" t="s">
        <v>16</v>
      </c>
      <c r="K393" s="368">
        <f>0.022*32</f>
        <v>0.70399999999999996</v>
      </c>
      <c r="L393" s="369">
        <f t="shared" si="339"/>
        <v>24.469301999999999</v>
      </c>
      <c r="M393" s="185">
        <f>IF(VLOOKUP(E393,'HOURLY RATES'!C$6:D$105,2,0)=0,$E$3,VLOOKUP(E393,'HOURLY RATES'!C$6:D$105,2,0))</f>
        <v>21.16197</v>
      </c>
      <c r="N393" s="197">
        <f t="shared" si="340"/>
        <v>517.81863484493999</v>
      </c>
      <c r="O393" s="296">
        <f>28.32*0.625/0.5</f>
        <v>35.4</v>
      </c>
      <c r="P393" s="188">
        <f t="shared" si="341"/>
        <v>1230.4166062499999</v>
      </c>
      <c r="Q393" s="189">
        <f t="shared" si="342"/>
        <v>1748.2352410949397</v>
      </c>
      <c r="R393" s="190"/>
      <c r="X393" s="212"/>
    </row>
    <row r="394" spans="1:24" s="12" customFormat="1" ht="20.100000000000001" customHeight="1" x14ac:dyDescent="0.2">
      <c r="A394" s="298">
        <f>IF(J394&lt;&gt;"",1+MAX($A$18:A393),"")</f>
        <v>237</v>
      </c>
      <c r="B394" s="299" t="s">
        <v>427</v>
      </c>
      <c r="C394" s="299" t="s">
        <v>470</v>
      </c>
      <c r="D394" s="208" t="s">
        <v>21</v>
      </c>
      <c r="E394" s="192" t="s">
        <v>220</v>
      </c>
      <c r="F394" s="317" t="s">
        <v>452</v>
      </c>
      <c r="G394" s="288">
        <f>G387*2</f>
        <v>205.4</v>
      </c>
      <c r="H394" s="196">
        <f>IF(VLOOKUP(J394,'HOURLY RATES'!B$116:C$124,2,0)=0,$J$3,VLOOKUP(J394,'HOURLY RATES'!B$116:C$124,2,0))</f>
        <v>0.05</v>
      </c>
      <c r="I394" s="251">
        <f t="shared" si="338"/>
        <v>215.67000000000002</v>
      </c>
      <c r="J394" s="183" t="s">
        <v>19</v>
      </c>
      <c r="K394" s="368">
        <v>1.6E-2</v>
      </c>
      <c r="L394" s="369">
        <f t="shared" si="339"/>
        <v>3.4507200000000005</v>
      </c>
      <c r="M394" s="185">
        <f>IF(VLOOKUP(E394,'HOURLY RATES'!C$6:D$105,2,0)=0,$E$3,VLOOKUP(E394,'HOURLY RATES'!C$6:D$105,2,0))</f>
        <v>23.2578</v>
      </c>
      <c r="N394" s="197">
        <f t="shared" si="340"/>
        <v>80.256155616000015</v>
      </c>
      <c r="O394" s="296">
        <v>0.05</v>
      </c>
      <c r="P394" s="188">
        <f t="shared" si="341"/>
        <v>10.783500000000002</v>
      </c>
      <c r="Q394" s="189">
        <f t="shared" si="342"/>
        <v>91.039655616000019</v>
      </c>
      <c r="R394" s="190"/>
      <c r="X394" s="212"/>
    </row>
    <row r="395" spans="1:24" s="12" customFormat="1" ht="20.100000000000001" customHeight="1" x14ac:dyDescent="0.2">
      <c r="A395" s="298" t="str">
        <f>IF(J395&lt;&gt;"",1+MAX($A$18:A394),"")</f>
        <v/>
      </c>
      <c r="B395" s="299"/>
      <c r="C395" s="299"/>
      <c r="D395" s="208"/>
      <c r="E395" s="302"/>
      <c r="F395" s="317"/>
      <c r="G395" s="288"/>
      <c r="H395" s="196"/>
      <c r="I395" s="251"/>
      <c r="J395" s="183"/>
      <c r="K395" s="368"/>
      <c r="L395" s="210"/>
      <c r="M395" s="185"/>
      <c r="N395" s="197"/>
      <c r="O395" s="296"/>
      <c r="P395" s="188"/>
      <c r="Q395" s="189"/>
      <c r="R395" s="190"/>
      <c r="X395" s="212"/>
    </row>
    <row r="396" spans="1:24" s="12" customFormat="1" ht="20.100000000000001" customHeight="1" x14ac:dyDescent="0.2">
      <c r="A396" s="298" t="str">
        <f>IF(J396&lt;&gt;"",1+MAX($A$18:A395),"")</f>
        <v/>
      </c>
      <c r="B396" s="299"/>
      <c r="C396" s="299"/>
      <c r="D396" s="208"/>
      <c r="E396" s="302"/>
      <c r="F396" s="313" t="s">
        <v>949</v>
      </c>
      <c r="G396" s="319">
        <v>15.28</v>
      </c>
      <c r="H396" s="196"/>
      <c r="I396" s="251"/>
      <c r="J396" s="183"/>
      <c r="K396" s="368"/>
      <c r="L396" s="210"/>
      <c r="M396" s="185"/>
      <c r="N396" s="197"/>
      <c r="O396" s="296"/>
      <c r="P396" s="188"/>
      <c r="Q396" s="189"/>
      <c r="R396" s="190"/>
      <c r="X396" s="212"/>
    </row>
    <row r="397" spans="1:24" s="12" customFormat="1" ht="20.100000000000001" customHeight="1" x14ac:dyDescent="0.2">
      <c r="A397" s="298">
        <f>IF(J397&lt;&gt;"",1+MAX($A$18:A396),"")</f>
        <v>238</v>
      </c>
      <c r="B397" s="299" t="s">
        <v>427</v>
      </c>
      <c r="C397" s="299" t="s">
        <v>470</v>
      </c>
      <c r="D397" s="208" t="s">
        <v>21</v>
      </c>
      <c r="E397" s="302" t="s">
        <v>63</v>
      </c>
      <c r="F397" s="317" t="s">
        <v>445</v>
      </c>
      <c r="G397" s="288">
        <f>G396*2</f>
        <v>30.56</v>
      </c>
      <c r="H397" s="196">
        <f>IF(VLOOKUP(J397,'HOURLY RATES'!B$116:C$124,2,0)=0,$J$3,VLOOKUP(J397,'HOURLY RATES'!B$116:C$124,2,0))</f>
        <v>0.05</v>
      </c>
      <c r="I397" s="251">
        <f t="shared" ref="I397:I402" si="343">(G397*(1+H397))</f>
        <v>32.088000000000001</v>
      </c>
      <c r="J397" s="183" t="s">
        <v>19</v>
      </c>
      <c r="K397" s="368">
        <v>5.8999999999999997E-2</v>
      </c>
      <c r="L397" s="369">
        <f t="shared" ref="L397:L402" si="344">K397*I397</f>
        <v>1.893192</v>
      </c>
      <c r="M397" s="185">
        <f>IF(VLOOKUP(E397,'HOURLY RATES'!C$6:D$105,2,0)=0,$E$3,VLOOKUP(E397,'HOURLY RATES'!C$6:D$105,2,0))</f>
        <v>21.16197</v>
      </c>
      <c r="N397" s="197">
        <f t="shared" ref="N397:N402" si="345">M397*L397</f>
        <v>40.063672308240001</v>
      </c>
      <c r="O397" s="296">
        <v>1.21</v>
      </c>
      <c r="P397" s="188">
        <f t="shared" ref="P397:P402" si="346">O397*I397</f>
        <v>38.826479999999997</v>
      </c>
      <c r="Q397" s="189">
        <f t="shared" ref="Q397:Q402" si="347">P397+N397</f>
        <v>78.890152308240005</v>
      </c>
      <c r="R397" s="190"/>
      <c r="X397" s="212"/>
    </row>
    <row r="398" spans="1:24" s="12" customFormat="1" ht="20.100000000000001" customHeight="1" x14ac:dyDescent="0.2">
      <c r="A398" s="298">
        <f>IF(J398&lt;&gt;"",1+MAX($A$18:A397),"")</f>
        <v>239</v>
      </c>
      <c r="B398" s="299" t="s">
        <v>427</v>
      </c>
      <c r="C398" s="299" t="s">
        <v>470</v>
      </c>
      <c r="D398" s="208" t="s">
        <v>21</v>
      </c>
      <c r="E398" s="302" t="s">
        <v>63</v>
      </c>
      <c r="F398" s="317" t="s">
        <v>448</v>
      </c>
      <c r="G398" s="288">
        <f>G396</f>
        <v>15.28</v>
      </c>
      <c r="H398" s="196">
        <f>IF(VLOOKUP(J398,'HOURLY RATES'!B$116:C$124,2,0)=0,$J$3,VLOOKUP(J398,'HOURLY RATES'!B$116:C$124,2,0))</f>
        <v>0.05</v>
      </c>
      <c r="I398" s="251">
        <f t="shared" si="343"/>
        <v>16.044</v>
      </c>
      <c r="J398" s="183" t="s">
        <v>19</v>
      </c>
      <c r="K398" s="368">
        <v>5.8999999999999997E-2</v>
      </c>
      <c r="L398" s="369">
        <f t="shared" si="344"/>
        <v>0.94659599999999999</v>
      </c>
      <c r="M398" s="185">
        <f>IF(VLOOKUP(E398,'HOURLY RATES'!C$6:D$105,2,0)=0,$E$3,VLOOKUP(E398,'HOURLY RATES'!C$6:D$105,2,0))</f>
        <v>21.16197</v>
      </c>
      <c r="N398" s="197">
        <f t="shared" si="345"/>
        <v>20.031836154120001</v>
      </c>
      <c r="O398" s="296">
        <v>1.44</v>
      </c>
      <c r="P398" s="188">
        <f t="shared" si="346"/>
        <v>23.103359999999999</v>
      </c>
      <c r="Q398" s="189">
        <f t="shared" si="347"/>
        <v>43.135196154119996</v>
      </c>
      <c r="R398" s="190"/>
      <c r="X398" s="212"/>
    </row>
    <row r="399" spans="1:24" s="12" customFormat="1" ht="20.100000000000001" customHeight="1" x14ac:dyDescent="0.2">
      <c r="A399" s="298">
        <f>IF(J399&lt;&gt;"",1+MAX($A$18:A398),"")</f>
        <v>240</v>
      </c>
      <c r="B399" s="299" t="s">
        <v>427</v>
      </c>
      <c r="C399" s="299" t="s">
        <v>470</v>
      </c>
      <c r="D399" s="208" t="s">
        <v>21</v>
      </c>
      <c r="E399" s="302" t="s">
        <v>63</v>
      </c>
      <c r="F399" s="317" t="s">
        <v>449</v>
      </c>
      <c r="G399" s="288">
        <f>G396/1.33</f>
        <v>11.488721804511277</v>
      </c>
      <c r="H399" s="196">
        <f>IF(VLOOKUP(J399,'HOURLY RATES'!B$116:C$124,2,0)=0,$J$3,VLOOKUP(J399,'HOURLY RATES'!B$116:C$124,2,0))</f>
        <v>0</v>
      </c>
      <c r="I399" s="251">
        <f t="shared" si="343"/>
        <v>11.488721804511277</v>
      </c>
      <c r="J399" s="183" t="s">
        <v>16</v>
      </c>
      <c r="K399" s="368">
        <f>10*0.059</f>
        <v>0.59</v>
      </c>
      <c r="L399" s="369">
        <f t="shared" si="344"/>
        <v>6.7783458646616532</v>
      </c>
      <c r="M399" s="185">
        <f>IF(VLOOKUP(E399,'HOURLY RATES'!C$6:D$105,2,0)=0,$E$3,VLOOKUP(E399,'HOURLY RATES'!C$6:D$105,2,0))</f>
        <v>21.16197</v>
      </c>
      <c r="N399" s="197">
        <f t="shared" si="345"/>
        <v>143.44315183759397</v>
      </c>
      <c r="O399" s="296">
        <f>1.21*10</f>
        <v>12.1</v>
      </c>
      <c r="P399" s="188">
        <f t="shared" si="346"/>
        <v>139.01353383458644</v>
      </c>
      <c r="Q399" s="189">
        <f t="shared" si="347"/>
        <v>282.45668567218041</v>
      </c>
      <c r="R399" s="190"/>
      <c r="X399" s="212"/>
    </row>
    <row r="400" spans="1:24" s="12" customFormat="1" ht="20.100000000000001" customHeight="1" x14ac:dyDescent="0.2">
      <c r="A400" s="298">
        <f>IF(J400&lt;&gt;"",1+MAX($A$18:A399),"")</f>
        <v>241</v>
      </c>
      <c r="B400" s="299" t="s">
        <v>427</v>
      </c>
      <c r="C400" s="299" t="s">
        <v>470</v>
      </c>
      <c r="D400" s="208" t="s">
        <v>21</v>
      </c>
      <c r="E400" s="302" t="s">
        <v>55</v>
      </c>
      <c r="F400" s="317" t="s">
        <v>450</v>
      </c>
      <c r="G400" s="288">
        <f>G396*9.083</f>
        <v>138.78824</v>
      </c>
      <c r="H400" s="196">
        <f>IF(VLOOKUP(J400,'HOURLY RATES'!B$116:C$124,2,0)=0,$J$3,VLOOKUP(J400,'HOURLY RATES'!B$116:C$124,2,0))</f>
        <v>0.05</v>
      </c>
      <c r="I400" s="251">
        <f t="shared" si="343"/>
        <v>145.72765200000001</v>
      </c>
      <c r="J400" s="183" t="s">
        <v>17</v>
      </c>
      <c r="K400" s="368">
        <v>0.01</v>
      </c>
      <c r="L400" s="369">
        <f t="shared" si="344"/>
        <v>1.4572765200000002</v>
      </c>
      <c r="M400" s="185">
        <f>IF(VLOOKUP(E400,'HOURLY RATES'!C$6:D$105,2,0)=0,$E$3,VLOOKUP(E400,'HOURLY RATES'!C$6:D$105,2,0))</f>
        <v>21.16197</v>
      </c>
      <c r="N400" s="197">
        <f t="shared" si="345"/>
        <v>30.838841997944403</v>
      </c>
      <c r="O400" s="296">
        <f>72.54/67.81</f>
        <v>1.0697537236395813</v>
      </c>
      <c r="P400" s="188">
        <f t="shared" si="346"/>
        <v>155.89269836425308</v>
      </c>
      <c r="Q400" s="189">
        <f t="shared" si="347"/>
        <v>186.73154036219748</v>
      </c>
      <c r="R400" s="190"/>
      <c r="X400" s="212"/>
    </row>
    <row r="401" spans="1:24" s="12" customFormat="1" ht="20.100000000000001" customHeight="1" x14ac:dyDescent="0.2">
      <c r="A401" s="298">
        <f>IF(J401&lt;&gt;"",1+MAX($A$18:A400),"")</f>
        <v>242</v>
      </c>
      <c r="B401" s="299" t="s">
        <v>427</v>
      </c>
      <c r="C401" s="299" t="s">
        <v>470</v>
      </c>
      <c r="D401" s="208" t="s">
        <v>21</v>
      </c>
      <c r="E401" s="302" t="s">
        <v>124</v>
      </c>
      <c r="F401" s="317" t="s">
        <v>927</v>
      </c>
      <c r="G401" s="288">
        <f>G396*8*2/32</f>
        <v>7.64</v>
      </c>
      <c r="H401" s="196">
        <f>IF(VLOOKUP(J401,'HOURLY RATES'!B$116:C$124,2,0)=0,$J$3,VLOOKUP(J401,'HOURLY RATES'!B$116:C$124,2,0))</f>
        <v>0</v>
      </c>
      <c r="I401" s="251">
        <f t="shared" si="343"/>
        <v>7.64</v>
      </c>
      <c r="J401" s="183" t="s">
        <v>16</v>
      </c>
      <c r="K401" s="368">
        <f>0.017*32</f>
        <v>0.54400000000000004</v>
      </c>
      <c r="L401" s="369">
        <f t="shared" si="344"/>
        <v>4.1561599999999999</v>
      </c>
      <c r="M401" s="185">
        <f>IF(VLOOKUP(E401,'HOURLY RATES'!C$6:D$105,2,0)=0,$E$3,VLOOKUP(E401,'HOURLY RATES'!C$6:D$105,2,0))</f>
        <v>21.16197</v>
      </c>
      <c r="N401" s="197">
        <f t="shared" si="345"/>
        <v>87.952533235199994</v>
      </c>
      <c r="O401" s="296">
        <f>30.98</f>
        <v>30.98</v>
      </c>
      <c r="P401" s="188">
        <f t="shared" si="346"/>
        <v>236.68719999999999</v>
      </c>
      <c r="Q401" s="189">
        <f t="shared" si="347"/>
        <v>324.63973323519997</v>
      </c>
      <c r="R401" s="190"/>
      <c r="X401" s="212"/>
    </row>
    <row r="402" spans="1:24" s="12" customFormat="1" ht="20.100000000000001" customHeight="1" x14ac:dyDescent="0.2">
      <c r="A402" s="298">
        <f>IF(J402&lt;&gt;"",1+MAX($A$18:A401),"")</f>
        <v>243</v>
      </c>
      <c r="B402" s="299" t="s">
        <v>427</v>
      </c>
      <c r="C402" s="299" t="s">
        <v>470</v>
      </c>
      <c r="D402" s="208" t="s">
        <v>21</v>
      </c>
      <c r="E402" s="192" t="s">
        <v>220</v>
      </c>
      <c r="F402" s="317" t="s">
        <v>452</v>
      </c>
      <c r="G402" s="288">
        <f>G396*2</f>
        <v>30.56</v>
      </c>
      <c r="H402" s="196">
        <f>IF(VLOOKUP(J402,'HOURLY RATES'!B$116:C$124,2,0)=0,$J$3,VLOOKUP(J402,'HOURLY RATES'!B$116:C$124,2,0))</f>
        <v>0.05</v>
      </c>
      <c r="I402" s="251">
        <f t="shared" si="343"/>
        <v>32.088000000000001</v>
      </c>
      <c r="J402" s="183" t="s">
        <v>19</v>
      </c>
      <c r="K402" s="368">
        <v>1.6E-2</v>
      </c>
      <c r="L402" s="369">
        <f t="shared" si="344"/>
        <v>0.51340799999999998</v>
      </c>
      <c r="M402" s="185">
        <f>IF(VLOOKUP(E402,'HOURLY RATES'!C$6:D$105,2,0)=0,$E$3,VLOOKUP(E402,'HOURLY RATES'!C$6:D$105,2,0))</f>
        <v>23.2578</v>
      </c>
      <c r="N402" s="197">
        <f t="shared" si="345"/>
        <v>11.940740582399998</v>
      </c>
      <c r="O402" s="296">
        <v>0.05</v>
      </c>
      <c r="P402" s="188">
        <f t="shared" si="346"/>
        <v>1.6044</v>
      </c>
      <c r="Q402" s="189">
        <f t="shared" si="347"/>
        <v>13.545140582399998</v>
      </c>
      <c r="R402" s="190"/>
      <c r="X402" s="212"/>
    </row>
    <row r="403" spans="1:24" s="12" customFormat="1" ht="20.100000000000001" customHeight="1" x14ac:dyDescent="0.2">
      <c r="A403" s="298" t="str">
        <f>IF(J403&lt;&gt;"",1+MAX($A$18:A402),"")</f>
        <v/>
      </c>
      <c r="B403" s="299"/>
      <c r="C403" s="299"/>
      <c r="D403" s="208"/>
      <c r="E403" s="302"/>
      <c r="F403" s="317"/>
      <c r="G403" s="288"/>
      <c r="H403" s="196"/>
      <c r="I403" s="251"/>
      <c r="J403" s="183"/>
      <c r="K403" s="368"/>
      <c r="L403" s="210"/>
      <c r="M403" s="185"/>
      <c r="N403" s="197"/>
      <c r="O403" s="296"/>
      <c r="P403" s="188"/>
      <c r="Q403" s="189"/>
      <c r="R403" s="190"/>
      <c r="X403" s="212"/>
    </row>
    <row r="404" spans="1:24" s="12" customFormat="1" ht="20.100000000000001" customHeight="1" x14ac:dyDescent="0.2">
      <c r="A404" s="298" t="str">
        <f>IF(J404&lt;&gt;"",1+MAX($A$18:A403),"")</f>
        <v/>
      </c>
      <c r="B404" s="299"/>
      <c r="C404" s="299"/>
      <c r="D404" s="208"/>
      <c r="E404" s="302"/>
      <c r="F404" s="313" t="s">
        <v>435</v>
      </c>
      <c r="G404" s="319">
        <v>35.909999999999997</v>
      </c>
      <c r="H404" s="196"/>
      <c r="I404" s="251"/>
      <c r="J404" s="183"/>
      <c r="K404" s="368"/>
      <c r="L404" s="210"/>
      <c r="M404" s="185"/>
      <c r="N404" s="197"/>
      <c r="O404" s="296"/>
      <c r="P404" s="188"/>
      <c r="Q404" s="189"/>
      <c r="R404" s="190"/>
      <c r="X404" s="212"/>
    </row>
    <row r="405" spans="1:24" s="12" customFormat="1" ht="20.100000000000001" customHeight="1" x14ac:dyDescent="0.2">
      <c r="A405" s="298">
        <f>IF(J405&lt;&gt;"",1+MAX($A$18:A404),"")</f>
        <v>244</v>
      </c>
      <c r="B405" s="299" t="s">
        <v>427</v>
      </c>
      <c r="C405" s="299" t="s">
        <v>470</v>
      </c>
      <c r="D405" s="208" t="s">
        <v>21</v>
      </c>
      <c r="E405" s="302" t="s">
        <v>63</v>
      </c>
      <c r="F405" s="317" t="s">
        <v>457</v>
      </c>
      <c r="G405" s="288">
        <f>G404*2</f>
        <v>71.819999999999993</v>
      </c>
      <c r="H405" s="196">
        <f>IF(VLOOKUP(J405,'HOURLY RATES'!B$116:C$124,2,0)=0,$J$3,VLOOKUP(J405,'HOURLY RATES'!B$116:C$124,2,0))</f>
        <v>0.05</v>
      </c>
      <c r="I405" s="251">
        <f t="shared" ref="I405:I411" si="348">(G405*(1+H405))</f>
        <v>75.411000000000001</v>
      </c>
      <c r="J405" s="183" t="s">
        <v>19</v>
      </c>
      <c r="K405" s="368">
        <v>5.8999999999999997E-2</v>
      </c>
      <c r="L405" s="369">
        <f t="shared" ref="L405:L411" si="349">K405*I405</f>
        <v>4.449249</v>
      </c>
      <c r="M405" s="185">
        <f>IF(VLOOKUP(E405,'HOURLY RATES'!C$6:D$105,2,0)=0,$E$3,VLOOKUP(E405,'HOURLY RATES'!C$6:D$105,2,0))</f>
        <v>21.16197</v>
      </c>
      <c r="N405" s="197">
        <f t="shared" ref="N405:N411" si="350">M405*L405</f>
        <v>94.154873860530003</v>
      </c>
      <c r="O405" s="296">
        <v>1.21</v>
      </c>
      <c r="P405" s="188">
        <f t="shared" ref="P405:P411" si="351">O405*I405</f>
        <v>91.247309999999999</v>
      </c>
      <c r="Q405" s="189">
        <f t="shared" ref="Q405:Q411" si="352">P405+N405</f>
        <v>185.40218386052999</v>
      </c>
      <c r="R405" s="190"/>
      <c r="X405" s="212"/>
    </row>
    <row r="406" spans="1:24" s="12" customFormat="1" ht="20.100000000000001" customHeight="1" x14ac:dyDescent="0.2">
      <c r="A406" s="298">
        <f>IF(J406&lt;&gt;"",1+MAX($A$18:A405),"")</f>
        <v>245</v>
      </c>
      <c r="B406" s="299" t="s">
        <v>427</v>
      </c>
      <c r="C406" s="299" t="s">
        <v>470</v>
      </c>
      <c r="D406" s="208" t="s">
        <v>21</v>
      </c>
      <c r="E406" s="302" t="s">
        <v>63</v>
      </c>
      <c r="F406" s="317" t="s">
        <v>468</v>
      </c>
      <c r="G406" s="288">
        <f>G404</f>
        <v>35.909999999999997</v>
      </c>
      <c r="H406" s="196">
        <f>IF(VLOOKUP(J406,'HOURLY RATES'!B$116:C$124,2,0)=0,$J$3,VLOOKUP(J406,'HOURLY RATES'!B$116:C$124,2,0))</f>
        <v>0.05</v>
      </c>
      <c r="I406" s="251">
        <f t="shared" si="348"/>
        <v>37.705500000000001</v>
      </c>
      <c r="J406" s="183" t="s">
        <v>19</v>
      </c>
      <c r="K406" s="368">
        <v>5.8999999999999997E-2</v>
      </c>
      <c r="L406" s="369">
        <f t="shared" si="349"/>
        <v>2.2246245</v>
      </c>
      <c r="M406" s="185">
        <f>IF(VLOOKUP(E406,'HOURLY RATES'!C$6:D$105,2,0)=0,$E$3,VLOOKUP(E406,'HOURLY RATES'!C$6:D$105,2,0))</f>
        <v>21.16197</v>
      </c>
      <c r="N406" s="197">
        <f t="shared" si="350"/>
        <v>47.077436930265002</v>
      </c>
      <c r="O406" s="296">
        <v>1.44</v>
      </c>
      <c r="P406" s="188">
        <f t="shared" si="351"/>
        <v>54.295920000000002</v>
      </c>
      <c r="Q406" s="189">
        <f t="shared" si="352"/>
        <v>101.373356930265</v>
      </c>
      <c r="R406" s="190"/>
      <c r="X406" s="212"/>
    </row>
    <row r="407" spans="1:24" s="12" customFormat="1" ht="20.100000000000001" customHeight="1" x14ac:dyDescent="0.2">
      <c r="A407" s="298">
        <f>IF(J407&lt;&gt;"",1+MAX($A$18:A406),"")</f>
        <v>246</v>
      </c>
      <c r="B407" s="299" t="s">
        <v>427</v>
      </c>
      <c r="C407" s="299" t="s">
        <v>470</v>
      </c>
      <c r="D407" s="208" t="s">
        <v>21</v>
      </c>
      <c r="E407" s="302" t="s">
        <v>63</v>
      </c>
      <c r="F407" s="317" t="s">
        <v>458</v>
      </c>
      <c r="G407" s="288">
        <f>G404/1.33</f>
        <v>26.999999999999996</v>
      </c>
      <c r="H407" s="196">
        <f>IF(VLOOKUP(J407,'HOURLY RATES'!B$116:C$124,2,0)=0,$J$3,VLOOKUP(J407,'HOURLY RATES'!B$116:C$124,2,0))</f>
        <v>0</v>
      </c>
      <c r="I407" s="251">
        <f t="shared" si="348"/>
        <v>26.999999999999996</v>
      </c>
      <c r="J407" s="183" t="s">
        <v>16</v>
      </c>
      <c r="K407" s="368">
        <f>0.059*12</f>
        <v>0.70799999999999996</v>
      </c>
      <c r="L407" s="369">
        <f t="shared" si="349"/>
        <v>19.115999999999996</v>
      </c>
      <c r="M407" s="185">
        <f>IF(VLOOKUP(E407,'HOURLY RATES'!C$6:D$105,2,0)=0,$E$3,VLOOKUP(E407,'HOURLY RATES'!C$6:D$105,2,0))</f>
        <v>21.16197</v>
      </c>
      <c r="N407" s="197">
        <f t="shared" si="350"/>
        <v>404.5322185199999</v>
      </c>
      <c r="O407" s="296">
        <f>1.21*12</f>
        <v>14.52</v>
      </c>
      <c r="P407" s="188">
        <f t="shared" si="351"/>
        <v>392.03999999999996</v>
      </c>
      <c r="Q407" s="189">
        <f t="shared" si="352"/>
        <v>796.57221851999986</v>
      </c>
      <c r="R407" s="190"/>
      <c r="X407" s="212"/>
    </row>
    <row r="408" spans="1:24" s="12" customFormat="1" ht="20.100000000000001" customHeight="1" x14ac:dyDescent="0.2">
      <c r="A408" s="298">
        <f>IF(J408&lt;&gt;"",1+MAX($A$18:A407),"")</f>
        <v>247</v>
      </c>
      <c r="B408" s="299" t="s">
        <v>427</v>
      </c>
      <c r="C408" s="299" t="s">
        <v>470</v>
      </c>
      <c r="D408" s="208" t="s">
        <v>21</v>
      </c>
      <c r="E408" s="302" t="s">
        <v>55</v>
      </c>
      <c r="F408" s="317" t="s">
        <v>450</v>
      </c>
      <c r="G408" s="288">
        <f>G404*10.67</f>
        <v>383.15969999999999</v>
      </c>
      <c r="H408" s="196">
        <f>IF(VLOOKUP(J408,'HOURLY RATES'!B$116:C$124,2,0)=0,$J$3,VLOOKUP(J408,'HOURLY RATES'!B$116:C$124,2,0))</f>
        <v>0.05</v>
      </c>
      <c r="I408" s="251">
        <f t="shared" si="348"/>
        <v>402.31768499999998</v>
      </c>
      <c r="J408" s="183" t="s">
        <v>17</v>
      </c>
      <c r="K408" s="368">
        <v>0.01</v>
      </c>
      <c r="L408" s="369">
        <f t="shared" si="349"/>
        <v>4.0231768499999996</v>
      </c>
      <c r="M408" s="185">
        <f>IF(VLOOKUP(E408,'HOURLY RATES'!C$6:D$105,2,0)=0,$E$3,VLOOKUP(E408,'HOURLY RATES'!C$6:D$105,2,0))</f>
        <v>21.16197</v>
      </c>
      <c r="N408" s="197">
        <f t="shared" si="350"/>
        <v>85.138347804394485</v>
      </c>
      <c r="O408" s="296">
        <f>72.54/67.81</f>
        <v>1.0697537236395813</v>
      </c>
      <c r="P408" s="188">
        <f t="shared" si="351"/>
        <v>430.38084161480612</v>
      </c>
      <c r="Q408" s="189">
        <f t="shared" si="352"/>
        <v>515.51918941920064</v>
      </c>
      <c r="R408" s="190"/>
      <c r="X408" s="212"/>
    </row>
    <row r="409" spans="1:24" s="12" customFormat="1" ht="20.100000000000001" customHeight="1" x14ac:dyDescent="0.2">
      <c r="A409" s="298">
        <f>IF(J409&lt;&gt;"",1+MAX($A$18:A408),"")</f>
        <v>248</v>
      </c>
      <c r="B409" s="299" t="s">
        <v>427</v>
      </c>
      <c r="C409" s="299" t="s">
        <v>470</v>
      </c>
      <c r="D409" s="208" t="s">
        <v>21</v>
      </c>
      <c r="E409" s="192" t="s">
        <v>124</v>
      </c>
      <c r="F409" s="12" t="s">
        <v>927</v>
      </c>
      <c r="G409" s="288">
        <f>G404*10/32</f>
        <v>11.221874999999999</v>
      </c>
      <c r="H409" s="196">
        <f>IF(VLOOKUP(J409,'HOURLY RATES'!B$116:C$124,2,0)=0,$J$3,VLOOKUP(J409,'HOURLY RATES'!B$116:C$124,2,0))</f>
        <v>0</v>
      </c>
      <c r="I409" s="251">
        <f t="shared" si="348"/>
        <v>11.221874999999999</v>
      </c>
      <c r="J409" s="183" t="s">
        <v>16</v>
      </c>
      <c r="K409" s="368">
        <f>0.017*32</f>
        <v>0.54400000000000004</v>
      </c>
      <c r="L409" s="369">
        <f t="shared" si="349"/>
        <v>6.1047000000000002</v>
      </c>
      <c r="M409" s="185">
        <f>IF(VLOOKUP(E409,'HOURLY RATES'!C$6:D$105,2,0)=0,$E$3,VLOOKUP(E409,'HOURLY RATES'!C$6:D$105,2,0))</f>
        <v>21.16197</v>
      </c>
      <c r="N409" s="197">
        <f t="shared" si="350"/>
        <v>129.18747825900002</v>
      </c>
      <c r="O409" s="296">
        <f>30.98</f>
        <v>30.98</v>
      </c>
      <c r="P409" s="188">
        <f t="shared" si="351"/>
        <v>347.65368749999999</v>
      </c>
      <c r="Q409" s="189">
        <f t="shared" si="352"/>
        <v>476.84116575899998</v>
      </c>
      <c r="R409" s="190"/>
      <c r="X409" s="212"/>
    </row>
    <row r="410" spans="1:24" s="12" customFormat="1" ht="20.100000000000001" customHeight="1" x14ac:dyDescent="0.2">
      <c r="A410" s="298">
        <f>IF(J410&lt;&gt;"",1+MAX($A$18:A409),"")</f>
        <v>249</v>
      </c>
      <c r="B410" s="299" t="s">
        <v>427</v>
      </c>
      <c r="C410" s="299" t="s">
        <v>470</v>
      </c>
      <c r="D410" s="208" t="s">
        <v>21</v>
      </c>
      <c r="E410" s="302" t="s">
        <v>37</v>
      </c>
      <c r="F410" s="317" t="s">
        <v>928</v>
      </c>
      <c r="G410" s="288">
        <f>G404*10.67/32</f>
        <v>11.973740625</v>
      </c>
      <c r="H410" s="196">
        <f>IF(VLOOKUP(J410,'HOURLY RATES'!B$116:C$124,2,0)=0,$J$3,VLOOKUP(J410,'HOURLY RATES'!B$116:C$124,2,0))</f>
        <v>0</v>
      </c>
      <c r="I410" s="251">
        <f t="shared" si="348"/>
        <v>11.973740625</v>
      </c>
      <c r="J410" s="183" t="s">
        <v>16</v>
      </c>
      <c r="K410" s="368">
        <f>0.022*32</f>
        <v>0.70399999999999996</v>
      </c>
      <c r="L410" s="369">
        <f t="shared" si="349"/>
        <v>8.4295133999999994</v>
      </c>
      <c r="M410" s="185">
        <f>IF(VLOOKUP(E410,'HOURLY RATES'!C$6:D$105,2,0)=0,$E$3,VLOOKUP(E410,'HOURLY RATES'!C$6:D$105,2,0))</f>
        <v>21.16197</v>
      </c>
      <c r="N410" s="197">
        <f t="shared" si="350"/>
        <v>178.38510968539799</v>
      </c>
      <c r="O410" s="296">
        <f>28.32*0.625/0.5</f>
        <v>35.4</v>
      </c>
      <c r="P410" s="188">
        <f t="shared" si="351"/>
        <v>423.87041812499996</v>
      </c>
      <c r="Q410" s="189">
        <f t="shared" si="352"/>
        <v>602.25552781039801</v>
      </c>
      <c r="R410" s="190"/>
      <c r="X410" s="212"/>
    </row>
    <row r="411" spans="1:24" s="12" customFormat="1" ht="20.100000000000001" customHeight="1" x14ac:dyDescent="0.2">
      <c r="A411" s="298">
        <f>IF(J411&lt;&gt;"",1+MAX($A$18:A410),"")</f>
        <v>250</v>
      </c>
      <c r="B411" s="299" t="s">
        <v>427</v>
      </c>
      <c r="C411" s="299" t="s">
        <v>470</v>
      </c>
      <c r="D411" s="208" t="s">
        <v>21</v>
      </c>
      <c r="E411" s="192" t="s">
        <v>220</v>
      </c>
      <c r="F411" s="317" t="s">
        <v>452</v>
      </c>
      <c r="G411" s="288">
        <f>G404*2</f>
        <v>71.819999999999993</v>
      </c>
      <c r="H411" s="196">
        <f>IF(VLOOKUP(J411,'HOURLY RATES'!B$116:C$124,2,0)=0,$J$3,VLOOKUP(J411,'HOURLY RATES'!B$116:C$124,2,0))</f>
        <v>0.05</v>
      </c>
      <c r="I411" s="251">
        <f t="shared" si="348"/>
        <v>75.411000000000001</v>
      </c>
      <c r="J411" s="183" t="s">
        <v>19</v>
      </c>
      <c r="K411" s="368">
        <v>1.6E-2</v>
      </c>
      <c r="L411" s="369">
        <f t="shared" si="349"/>
        <v>1.2065760000000001</v>
      </c>
      <c r="M411" s="185">
        <f>IF(VLOOKUP(E411,'HOURLY RATES'!C$6:D$105,2,0)=0,$E$3,VLOOKUP(E411,'HOURLY RATES'!C$6:D$105,2,0))</f>
        <v>23.2578</v>
      </c>
      <c r="N411" s="197">
        <f t="shared" si="350"/>
        <v>28.062303292800003</v>
      </c>
      <c r="O411" s="296">
        <v>0.05</v>
      </c>
      <c r="P411" s="188">
        <f t="shared" si="351"/>
        <v>3.7705500000000001</v>
      </c>
      <c r="Q411" s="189">
        <f t="shared" si="352"/>
        <v>31.832853292800003</v>
      </c>
      <c r="R411" s="190"/>
      <c r="X411" s="212"/>
    </row>
    <row r="412" spans="1:24" s="12" customFormat="1" ht="20.100000000000001" customHeight="1" x14ac:dyDescent="0.2">
      <c r="A412" s="298" t="str">
        <f>IF(J412&lt;&gt;"",1+MAX($A$18:A411),"")</f>
        <v/>
      </c>
      <c r="B412" s="299"/>
      <c r="C412" s="299"/>
      <c r="D412" s="208"/>
      <c r="E412" s="302"/>
      <c r="F412" s="317"/>
      <c r="G412" s="288"/>
      <c r="H412" s="196"/>
      <c r="I412" s="251"/>
      <c r="J412" s="183"/>
      <c r="K412" s="368"/>
      <c r="L412" s="210"/>
      <c r="M412" s="185"/>
      <c r="N412" s="197"/>
      <c r="O412" s="296"/>
      <c r="P412" s="188"/>
      <c r="Q412" s="189"/>
      <c r="R412" s="190"/>
      <c r="X412" s="212"/>
    </row>
    <row r="413" spans="1:24" s="12" customFormat="1" ht="20.100000000000001" customHeight="1" x14ac:dyDescent="0.2">
      <c r="A413" s="298" t="str">
        <f>IF(J413&lt;&gt;"",1+MAX($A$18:A412),"")</f>
        <v/>
      </c>
      <c r="B413" s="299"/>
      <c r="C413" s="299"/>
      <c r="D413" s="208"/>
      <c r="E413" s="302"/>
      <c r="F413" s="313" t="s">
        <v>436</v>
      </c>
      <c r="G413" s="319">
        <v>3.66</v>
      </c>
      <c r="H413" s="196"/>
      <c r="I413" s="251"/>
      <c r="J413" s="183"/>
      <c r="K413" s="368"/>
      <c r="L413" s="210"/>
      <c r="M413" s="185"/>
      <c r="N413" s="197"/>
      <c r="O413" s="296"/>
      <c r="P413" s="188"/>
      <c r="Q413" s="189"/>
      <c r="R413" s="190"/>
      <c r="X413" s="212"/>
    </row>
    <row r="414" spans="1:24" s="12" customFormat="1" ht="20.100000000000001" customHeight="1" x14ac:dyDescent="0.2">
      <c r="A414" s="298">
        <f>IF(J414&lt;&gt;"",1+MAX($A$18:A413),"")</f>
        <v>251</v>
      </c>
      <c r="B414" s="299" t="s">
        <v>427</v>
      </c>
      <c r="C414" s="299" t="s">
        <v>470</v>
      </c>
      <c r="D414" s="208" t="s">
        <v>21</v>
      </c>
      <c r="E414" s="302" t="s">
        <v>63</v>
      </c>
      <c r="F414" s="317" t="s">
        <v>459</v>
      </c>
      <c r="G414" s="288">
        <f>G413*2</f>
        <v>7.32</v>
      </c>
      <c r="H414" s="196">
        <f>IF(VLOOKUP(J414,'HOURLY RATES'!B$116:C$124,2,0)=0,$J$3,VLOOKUP(J414,'HOURLY RATES'!B$116:C$124,2,0))</f>
        <v>0.05</v>
      </c>
      <c r="I414" s="251">
        <f t="shared" ref="I414:I420" si="353">(G414*(1+H414))</f>
        <v>7.6860000000000008</v>
      </c>
      <c r="J414" s="183" t="s">
        <v>19</v>
      </c>
      <c r="K414" s="368">
        <v>5.3999999999999999E-2</v>
      </c>
      <c r="L414" s="369">
        <f t="shared" ref="L414:L420" si="354">K414*I414</f>
        <v>0.41504400000000002</v>
      </c>
      <c r="M414" s="185">
        <f>IF(VLOOKUP(E414,'HOURLY RATES'!C$6:D$105,2,0)=0,$E$3,VLOOKUP(E414,'HOURLY RATES'!C$6:D$105,2,0))</f>
        <v>21.16197</v>
      </c>
      <c r="N414" s="197">
        <f t="shared" ref="N414:N420" si="355">M414*L414</f>
        <v>8.7831486766799998</v>
      </c>
      <c r="O414" s="296">
        <v>1.21</v>
      </c>
      <c r="P414" s="188">
        <f t="shared" ref="P414:P420" si="356">O414*I414</f>
        <v>9.3000600000000002</v>
      </c>
      <c r="Q414" s="189">
        <f t="shared" ref="Q414:Q420" si="357">P414+N414</f>
        <v>18.083208676680002</v>
      </c>
      <c r="R414" s="190"/>
      <c r="X414" s="212"/>
    </row>
    <row r="415" spans="1:24" s="12" customFormat="1" ht="20.100000000000001" customHeight="1" x14ac:dyDescent="0.2">
      <c r="A415" s="298">
        <f>IF(J415&lt;&gt;"",1+MAX($A$18:A414),"")</f>
        <v>252</v>
      </c>
      <c r="B415" s="299" t="s">
        <v>427</v>
      </c>
      <c r="C415" s="299" t="s">
        <v>470</v>
      </c>
      <c r="D415" s="208" t="s">
        <v>21</v>
      </c>
      <c r="E415" s="302" t="s">
        <v>63</v>
      </c>
      <c r="F415" s="317" t="s">
        <v>469</v>
      </c>
      <c r="G415" s="288">
        <f>G413</f>
        <v>3.66</v>
      </c>
      <c r="H415" s="196">
        <f>IF(VLOOKUP(J415,'HOURLY RATES'!B$116:C$124,2,0)=0,$J$3,VLOOKUP(J415,'HOURLY RATES'!B$116:C$124,2,0))</f>
        <v>0.05</v>
      </c>
      <c r="I415" s="251">
        <f t="shared" si="353"/>
        <v>3.8430000000000004</v>
      </c>
      <c r="J415" s="183" t="s">
        <v>19</v>
      </c>
      <c r="K415" s="368">
        <v>5.3999999999999999E-2</v>
      </c>
      <c r="L415" s="369">
        <f t="shared" si="354"/>
        <v>0.20752200000000001</v>
      </c>
      <c r="M415" s="185">
        <f>IF(VLOOKUP(E415,'HOURLY RATES'!C$6:D$105,2,0)=0,$E$3,VLOOKUP(E415,'HOURLY RATES'!C$6:D$105,2,0))</f>
        <v>21.16197</v>
      </c>
      <c r="N415" s="197">
        <f t="shared" si="355"/>
        <v>4.3915743383399999</v>
      </c>
      <c r="O415" s="296">
        <v>1.44</v>
      </c>
      <c r="P415" s="188">
        <f t="shared" si="356"/>
        <v>5.5339200000000002</v>
      </c>
      <c r="Q415" s="189">
        <f t="shared" si="357"/>
        <v>9.9254943383400001</v>
      </c>
      <c r="R415" s="190"/>
      <c r="X415" s="212"/>
    </row>
    <row r="416" spans="1:24" s="12" customFormat="1" ht="20.100000000000001" customHeight="1" x14ac:dyDescent="0.2">
      <c r="A416" s="298">
        <f>IF(J416&lt;&gt;"",1+MAX($A$18:A415),"")</f>
        <v>253</v>
      </c>
      <c r="B416" s="299" t="s">
        <v>427</v>
      </c>
      <c r="C416" s="299" t="s">
        <v>470</v>
      </c>
      <c r="D416" s="208" t="s">
        <v>21</v>
      </c>
      <c r="E416" s="302" t="s">
        <v>63</v>
      </c>
      <c r="F416" s="317" t="s">
        <v>460</v>
      </c>
      <c r="G416" s="288">
        <f>G413/1.33</f>
        <v>2.7518796992481205</v>
      </c>
      <c r="H416" s="196">
        <f>IF(VLOOKUP(J416,'HOURLY RATES'!B$116:C$124,2,0)=0,$J$3,VLOOKUP(J416,'HOURLY RATES'!B$116:C$124,2,0))</f>
        <v>0</v>
      </c>
      <c r="I416" s="251">
        <f t="shared" si="353"/>
        <v>2.7518796992481205</v>
      </c>
      <c r="J416" s="183" t="s">
        <v>16</v>
      </c>
      <c r="K416" s="368">
        <f>0.054*8</f>
        <v>0.432</v>
      </c>
      <c r="L416" s="369">
        <f t="shared" si="354"/>
        <v>1.1888120300751881</v>
      </c>
      <c r="M416" s="185">
        <f>IF(VLOOKUP(E416,'HOURLY RATES'!C$6:D$105,2,0)=0,$E$3,VLOOKUP(E416,'HOURLY RATES'!C$6:D$105,2,0))</f>
        <v>21.16197</v>
      </c>
      <c r="N416" s="197">
        <f t="shared" si="355"/>
        <v>25.157604516090228</v>
      </c>
      <c r="O416" s="296">
        <f>1.21*8</f>
        <v>9.68</v>
      </c>
      <c r="P416" s="188">
        <f t="shared" si="356"/>
        <v>26.638195488721806</v>
      </c>
      <c r="Q416" s="189">
        <f t="shared" si="357"/>
        <v>51.795800004812037</v>
      </c>
      <c r="R416" s="190"/>
      <c r="X416" s="212"/>
    </row>
    <row r="417" spans="1:24" s="12" customFormat="1" ht="20.100000000000001" customHeight="1" x14ac:dyDescent="0.2">
      <c r="A417" s="298">
        <f>IF(J417&lt;&gt;"",1+MAX($A$18:A416),"")</f>
        <v>254</v>
      </c>
      <c r="B417" s="299" t="s">
        <v>427</v>
      </c>
      <c r="C417" s="299" t="s">
        <v>470</v>
      </c>
      <c r="D417" s="208" t="s">
        <v>21</v>
      </c>
      <c r="E417" s="302" t="s">
        <v>55</v>
      </c>
      <c r="F417" s="317" t="s">
        <v>450</v>
      </c>
      <c r="G417" s="288">
        <f>G413*7.83</f>
        <v>28.657800000000002</v>
      </c>
      <c r="H417" s="196">
        <f>IF(VLOOKUP(J417,'HOURLY RATES'!B$116:C$124,2,0)=0,$J$3,VLOOKUP(J417,'HOURLY RATES'!B$116:C$124,2,0))</f>
        <v>0.05</v>
      </c>
      <c r="I417" s="251">
        <f t="shared" si="353"/>
        <v>30.090690000000002</v>
      </c>
      <c r="J417" s="183" t="s">
        <v>17</v>
      </c>
      <c r="K417" s="368">
        <v>8.9999999999999993E-3</v>
      </c>
      <c r="L417" s="369">
        <f t="shared" si="354"/>
        <v>0.27081621</v>
      </c>
      <c r="M417" s="185">
        <f>IF(VLOOKUP(E417,'HOURLY RATES'!C$6:D$105,2,0)=0,$E$3,VLOOKUP(E417,'HOURLY RATES'!C$6:D$105,2,0))</f>
        <v>21.16197</v>
      </c>
      <c r="N417" s="197">
        <f t="shared" si="355"/>
        <v>5.7310045115337003</v>
      </c>
      <c r="O417" s="296">
        <f>72.54/67.81</f>
        <v>1.0697537236395813</v>
      </c>
      <c r="P417" s="188">
        <f t="shared" si="356"/>
        <v>32.189627674384319</v>
      </c>
      <c r="Q417" s="189">
        <f t="shared" si="357"/>
        <v>37.920632185918016</v>
      </c>
      <c r="R417" s="190"/>
      <c r="X417" s="212"/>
    </row>
    <row r="418" spans="1:24" s="12" customFormat="1" ht="20.100000000000001" customHeight="1" x14ac:dyDescent="0.2">
      <c r="A418" s="298">
        <f>IF(J418&lt;&gt;"",1+MAX($A$18:A417),"")</f>
        <v>255</v>
      </c>
      <c r="B418" s="299" t="s">
        <v>427</v>
      </c>
      <c r="C418" s="299" t="s">
        <v>470</v>
      </c>
      <c r="D418" s="208" t="s">
        <v>21</v>
      </c>
      <c r="E418" s="192" t="s">
        <v>124</v>
      </c>
      <c r="F418" s="12" t="s">
        <v>927</v>
      </c>
      <c r="G418" s="288">
        <f>G413*7/32</f>
        <v>0.80062500000000003</v>
      </c>
      <c r="H418" s="196">
        <f>IF(VLOOKUP(J418,'HOURLY RATES'!B$116:C$124,2,0)=0,$J$3,VLOOKUP(J418,'HOURLY RATES'!B$116:C$124,2,0))</f>
        <v>0</v>
      </c>
      <c r="I418" s="251">
        <f t="shared" si="353"/>
        <v>0.80062500000000003</v>
      </c>
      <c r="J418" s="183" t="s">
        <v>16</v>
      </c>
      <c r="K418" s="368">
        <f>0.015*32</f>
        <v>0.48</v>
      </c>
      <c r="L418" s="369">
        <f t="shared" si="354"/>
        <v>0.38429999999999997</v>
      </c>
      <c r="M418" s="185">
        <f>IF(VLOOKUP(E418,'HOURLY RATES'!C$6:D$105,2,0)=0,$E$3,VLOOKUP(E418,'HOURLY RATES'!C$6:D$105,2,0))</f>
        <v>21.16197</v>
      </c>
      <c r="N418" s="197">
        <f t="shared" si="355"/>
        <v>8.1325450709999991</v>
      </c>
      <c r="O418" s="296">
        <f>30.98</f>
        <v>30.98</v>
      </c>
      <c r="P418" s="188">
        <f t="shared" si="356"/>
        <v>24.803362500000002</v>
      </c>
      <c r="Q418" s="189">
        <f t="shared" si="357"/>
        <v>32.935907571000001</v>
      </c>
      <c r="R418" s="190"/>
      <c r="X418" s="212"/>
    </row>
    <row r="419" spans="1:24" s="12" customFormat="1" ht="20.100000000000001" customHeight="1" x14ac:dyDescent="0.2">
      <c r="A419" s="298">
        <f>IF(J419&lt;&gt;"",1+MAX($A$18:A418),"")</f>
        <v>256</v>
      </c>
      <c r="B419" s="299" t="s">
        <v>427</v>
      </c>
      <c r="C419" s="299" t="s">
        <v>470</v>
      </c>
      <c r="D419" s="208" t="s">
        <v>21</v>
      </c>
      <c r="E419" s="302" t="s">
        <v>37</v>
      </c>
      <c r="F419" s="317" t="s">
        <v>928</v>
      </c>
      <c r="G419" s="288">
        <f>G413*7.83/32</f>
        <v>0.89555625000000005</v>
      </c>
      <c r="H419" s="196">
        <f>IF(VLOOKUP(J419,'HOURLY RATES'!B$116:C$124,2,0)=0,$J$3,VLOOKUP(J419,'HOURLY RATES'!B$116:C$124,2,0))</f>
        <v>0</v>
      </c>
      <c r="I419" s="251">
        <f t="shared" si="353"/>
        <v>0.89555625000000005</v>
      </c>
      <c r="J419" s="183" t="s">
        <v>16</v>
      </c>
      <c r="K419" s="368">
        <f>32*0.02</f>
        <v>0.64</v>
      </c>
      <c r="L419" s="369">
        <f t="shared" si="354"/>
        <v>0.573156</v>
      </c>
      <c r="M419" s="185">
        <f>IF(VLOOKUP(E419,'HOURLY RATES'!C$6:D$105,2,0)=0,$E$3,VLOOKUP(E419,'HOURLY RATES'!C$6:D$105,2,0))</f>
        <v>21.16197</v>
      </c>
      <c r="N419" s="197">
        <f t="shared" si="355"/>
        <v>12.12911007732</v>
      </c>
      <c r="O419" s="296">
        <f>28.32*0.625/0.5</f>
        <v>35.4</v>
      </c>
      <c r="P419" s="188">
        <f t="shared" si="356"/>
        <v>31.702691250000001</v>
      </c>
      <c r="Q419" s="189">
        <f t="shared" si="357"/>
        <v>43.831801327320001</v>
      </c>
      <c r="R419" s="190"/>
      <c r="X419" s="212"/>
    </row>
    <row r="420" spans="1:24" s="12" customFormat="1" ht="20.100000000000001" customHeight="1" x14ac:dyDescent="0.2">
      <c r="A420" s="298">
        <f>IF(J420&lt;&gt;"",1+MAX($A$18:A419),"")</f>
        <v>257</v>
      </c>
      <c r="B420" s="299" t="s">
        <v>427</v>
      </c>
      <c r="C420" s="299" t="s">
        <v>470</v>
      </c>
      <c r="D420" s="208" t="s">
        <v>21</v>
      </c>
      <c r="E420" s="192" t="s">
        <v>220</v>
      </c>
      <c r="F420" s="317" t="s">
        <v>452</v>
      </c>
      <c r="G420" s="288">
        <f>G413*2</f>
        <v>7.32</v>
      </c>
      <c r="H420" s="196">
        <f>IF(VLOOKUP(J420,'HOURLY RATES'!B$116:C$124,2,0)=0,$J$3,VLOOKUP(J420,'HOURLY RATES'!B$116:C$124,2,0))</f>
        <v>0.05</v>
      </c>
      <c r="I420" s="251">
        <f t="shared" si="353"/>
        <v>7.6860000000000008</v>
      </c>
      <c r="J420" s="183" t="s">
        <v>19</v>
      </c>
      <c r="K420" s="368">
        <f>0.016*3</f>
        <v>4.8000000000000001E-2</v>
      </c>
      <c r="L420" s="369">
        <f t="shared" si="354"/>
        <v>0.36892800000000003</v>
      </c>
      <c r="M420" s="185">
        <f>IF(VLOOKUP(E420,'HOURLY RATES'!C$6:D$105,2,0)=0,$E$3,VLOOKUP(E420,'HOURLY RATES'!C$6:D$105,2,0))</f>
        <v>23.2578</v>
      </c>
      <c r="N420" s="197">
        <f t="shared" si="355"/>
        <v>8.5804536383999999</v>
      </c>
      <c r="O420" s="296">
        <v>0.05</v>
      </c>
      <c r="P420" s="188">
        <f t="shared" si="356"/>
        <v>0.38430000000000009</v>
      </c>
      <c r="Q420" s="189">
        <f t="shared" si="357"/>
        <v>8.9647536383999995</v>
      </c>
      <c r="R420" s="190"/>
      <c r="X420" s="212"/>
    </row>
    <row r="421" spans="1:24" s="12" customFormat="1" ht="20.100000000000001" customHeight="1" x14ac:dyDescent="0.2">
      <c r="A421" s="298" t="str">
        <f>IF(J421&lt;&gt;"",1+MAX($A$18:A420),"")</f>
        <v/>
      </c>
      <c r="B421" s="299"/>
      <c r="C421" s="299"/>
      <c r="D421" s="208"/>
      <c r="E421" s="302"/>
      <c r="F421" s="317"/>
      <c r="G421" s="288"/>
      <c r="H421" s="196"/>
      <c r="I421" s="251"/>
      <c r="J421" s="183"/>
      <c r="K421" s="368"/>
      <c r="L421" s="210"/>
      <c r="M421" s="185"/>
      <c r="N421" s="197"/>
      <c r="O421" s="296"/>
      <c r="P421" s="188"/>
      <c r="Q421" s="189"/>
      <c r="R421" s="190"/>
      <c r="X421" s="212"/>
    </row>
    <row r="422" spans="1:24" s="12" customFormat="1" ht="20.100000000000001" customHeight="1" x14ac:dyDescent="0.2">
      <c r="A422" s="298" t="str">
        <f>IF(J422&lt;&gt;"",1+MAX($A$18:A421),"")</f>
        <v/>
      </c>
      <c r="B422" s="299"/>
      <c r="C422" s="299"/>
      <c r="D422" s="208"/>
      <c r="E422" s="302"/>
      <c r="F422" s="313" t="s">
        <v>437</v>
      </c>
      <c r="G422" s="319">
        <v>15.5</v>
      </c>
      <c r="H422" s="196"/>
      <c r="I422" s="251"/>
      <c r="J422" s="183"/>
      <c r="K422" s="368"/>
      <c r="L422" s="210"/>
      <c r="M422" s="185"/>
      <c r="N422" s="197"/>
      <c r="O422" s="296"/>
      <c r="P422" s="188"/>
      <c r="Q422" s="189"/>
      <c r="R422" s="190"/>
      <c r="X422" s="212"/>
    </row>
    <row r="423" spans="1:24" s="12" customFormat="1" ht="20.100000000000001" customHeight="1" x14ac:dyDescent="0.2">
      <c r="A423" s="298">
        <f>IF(J423&lt;&gt;"",1+MAX($A$18:A422),"")</f>
        <v>258</v>
      </c>
      <c r="B423" s="299" t="s">
        <v>427</v>
      </c>
      <c r="C423" s="299" t="s">
        <v>470</v>
      </c>
      <c r="D423" s="208" t="s">
        <v>21</v>
      </c>
      <c r="E423" s="302" t="s">
        <v>63</v>
      </c>
      <c r="F423" s="317" t="s">
        <v>446</v>
      </c>
      <c r="G423" s="288">
        <f>G422*2</f>
        <v>31</v>
      </c>
      <c r="H423" s="196">
        <f>IF(VLOOKUP(J423,'HOURLY RATES'!B$116:C$124,2,0)=0,$J$3,VLOOKUP(J423,'HOURLY RATES'!B$116:C$124,2,0))</f>
        <v>0.05</v>
      </c>
      <c r="I423" s="251">
        <f t="shared" ref="I423:I429" si="358">(G423*(1+H423))</f>
        <v>32.550000000000004</v>
      </c>
      <c r="J423" s="183" t="s">
        <v>19</v>
      </c>
      <c r="K423" s="368">
        <v>5.8999999999999997E-2</v>
      </c>
      <c r="L423" s="369">
        <f t="shared" ref="L423:L429" si="359">K423*I423</f>
        <v>1.9204500000000002</v>
      </c>
      <c r="M423" s="185">
        <f>IF(VLOOKUP(E423,'HOURLY RATES'!C$6:D$105,2,0)=0,$E$3,VLOOKUP(E423,'HOURLY RATES'!C$6:D$105,2,0))</f>
        <v>21.16197</v>
      </c>
      <c r="N423" s="197">
        <f t="shared" ref="N423:N429" si="360">M423*L423</f>
        <v>40.640505286500002</v>
      </c>
      <c r="O423" s="296">
        <v>1.21</v>
      </c>
      <c r="P423" s="188">
        <f t="shared" ref="P423:P429" si="361">O423*I423</f>
        <v>39.385500000000008</v>
      </c>
      <c r="Q423" s="189">
        <f t="shared" ref="Q423:Q429" si="362">P423+N423</f>
        <v>80.026005286500009</v>
      </c>
      <c r="R423" s="190"/>
      <c r="X423" s="212"/>
    </row>
    <row r="424" spans="1:24" s="12" customFormat="1" ht="20.100000000000001" customHeight="1" x14ac:dyDescent="0.2">
      <c r="A424" s="298">
        <f>IF(J424&lt;&gt;"",1+MAX($A$18:A423),"")</f>
        <v>259</v>
      </c>
      <c r="B424" s="299" t="s">
        <v>427</v>
      </c>
      <c r="C424" s="299" t="s">
        <v>470</v>
      </c>
      <c r="D424" s="208" t="s">
        <v>21</v>
      </c>
      <c r="E424" s="302" t="s">
        <v>63</v>
      </c>
      <c r="F424" s="317" t="s">
        <v>447</v>
      </c>
      <c r="G424" s="288">
        <f>G422</f>
        <v>15.5</v>
      </c>
      <c r="H424" s="196">
        <f>IF(VLOOKUP(J424,'HOURLY RATES'!B$116:C$124,2,0)=0,$J$3,VLOOKUP(J424,'HOURLY RATES'!B$116:C$124,2,0))</f>
        <v>0.05</v>
      </c>
      <c r="I424" s="251">
        <f t="shared" si="358"/>
        <v>16.275000000000002</v>
      </c>
      <c r="J424" s="183" t="s">
        <v>19</v>
      </c>
      <c r="K424" s="368">
        <v>5.8999999999999997E-2</v>
      </c>
      <c r="L424" s="369">
        <f t="shared" si="359"/>
        <v>0.96022500000000011</v>
      </c>
      <c r="M424" s="185">
        <f>IF(VLOOKUP(E424,'HOURLY RATES'!C$6:D$105,2,0)=0,$E$3,VLOOKUP(E424,'HOURLY RATES'!C$6:D$105,2,0))</f>
        <v>21.16197</v>
      </c>
      <c r="N424" s="197">
        <f t="shared" si="360"/>
        <v>20.320252643250001</v>
      </c>
      <c r="O424" s="296">
        <v>1.44</v>
      </c>
      <c r="P424" s="188">
        <f t="shared" si="361"/>
        <v>23.436000000000003</v>
      </c>
      <c r="Q424" s="189">
        <f t="shared" si="362"/>
        <v>43.756252643250008</v>
      </c>
      <c r="R424" s="190"/>
      <c r="X424" s="212"/>
    </row>
    <row r="425" spans="1:24" s="12" customFormat="1" ht="20.100000000000001" customHeight="1" x14ac:dyDescent="0.2">
      <c r="A425" s="298">
        <f>IF(J425&lt;&gt;"",1+MAX($A$18:A424),"")</f>
        <v>260</v>
      </c>
      <c r="B425" s="299" t="s">
        <v>427</v>
      </c>
      <c r="C425" s="299" t="s">
        <v>470</v>
      </c>
      <c r="D425" s="208" t="s">
        <v>21</v>
      </c>
      <c r="E425" s="302" t="s">
        <v>63</v>
      </c>
      <c r="F425" s="317" t="s">
        <v>449</v>
      </c>
      <c r="G425" s="288">
        <f>G422/1.33</f>
        <v>11.654135338345863</v>
      </c>
      <c r="H425" s="196">
        <f>IF(VLOOKUP(J425,'HOURLY RATES'!B$116:C$124,2,0)=0,$J$3,VLOOKUP(J425,'HOURLY RATES'!B$116:C$124,2,0))</f>
        <v>0</v>
      </c>
      <c r="I425" s="251">
        <f t="shared" si="358"/>
        <v>11.654135338345863</v>
      </c>
      <c r="J425" s="183" t="s">
        <v>16</v>
      </c>
      <c r="K425" s="368">
        <f>10*0.059</f>
        <v>0.59</v>
      </c>
      <c r="L425" s="369">
        <f t="shared" si="359"/>
        <v>6.8759398496240589</v>
      </c>
      <c r="M425" s="185">
        <f>IF(VLOOKUP(E425,'HOURLY RATES'!C$6:D$105,2,0)=0,$E$3,VLOOKUP(E425,'HOURLY RATES'!C$6:D$105,2,0))</f>
        <v>21.16197</v>
      </c>
      <c r="N425" s="197">
        <f t="shared" si="360"/>
        <v>145.50843281954886</v>
      </c>
      <c r="O425" s="296">
        <f>1.21*12</f>
        <v>14.52</v>
      </c>
      <c r="P425" s="188">
        <f t="shared" si="361"/>
        <v>169.21804511278194</v>
      </c>
      <c r="Q425" s="189">
        <f t="shared" si="362"/>
        <v>314.72647793233079</v>
      </c>
      <c r="R425" s="190"/>
      <c r="X425" s="212"/>
    </row>
    <row r="426" spans="1:24" s="12" customFormat="1" ht="20.100000000000001" customHeight="1" x14ac:dyDescent="0.2">
      <c r="A426" s="298">
        <f>IF(J426&lt;&gt;"",1+MAX($A$18:A425),"")</f>
        <v>261</v>
      </c>
      <c r="B426" s="299" t="s">
        <v>427</v>
      </c>
      <c r="C426" s="299" t="s">
        <v>470</v>
      </c>
      <c r="D426" s="208" t="s">
        <v>21</v>
      </c>
      <c r="E426" s="302" t="s">
        <v>55</v>
      </c>
      <c r="F426" s="317" t="s">
        <v>450</v>
      </c>
      <c r="G426" s="288">
        <f>G422*9.5</f>
        <v>147.25</v>
      </c>
      <c r="H426" s="196">
        <f>IF(VLOOKUP(J426,'HOURLY RATES'!B$116:C$124,2,0)=0,$J$3,VLOOKUP(J426,'HOURLY RATES'!B$116:C$124,2,0))</f>
        <v>0.05</v>
      </c>
      <c r="I426" s="251">
        <f t="shared" si="358"/>
        <v>154.61250000000001</v>
      </c>
      <c r="J426" s="183" t="s">
        <v>17</v>
      </c>
      <c r="K426" s="368">
        <v>0.01</v>
      </c>
      <c r="L426" s="369">
        <f t="shared" si="359"/>
        <v>1.5461250000000002</v>
      </c>
      <c r="M426" s="185">
        <f>IF(VLOOKUP(E426,'HOURLY RATES'!C$6:D$105,2,0)=0,$E$3,VLOOKUP(E426,'HOURLY RATES'!C$6:D$105,2,0))</f>
        <v>21.16197</v>
      </c>
      <c r="N426" s="197">
        <f t="shared" si="360"/>
        <v>32.719050866250001</v>
      </c>
      <c r="O426" s="296">
        <f>72.54/67.81</f>
        <v>1.0697537236395813</v>
      </c>
      <c r="P426" s="188">
        <f t="shared" si="361"/>
        <v>165.39729759622477</v>
      </c>
      <c r="Q426" s="189">
        <f t="shared" si="362"/>
        <v>198.11634846247478</v>
      </c>
      <c r="R426" s="190"/>
      <c r="X426" s="212"/>
    </row>
    <row r="427" spans="1:24" s="12" customFormat="1" ht="20.100000000000001" customHeight="1" x14ac:dyDescent="0.2">
      <c r="A427" s="298">
        <f>IF(J427&lt;&gt;"",1+MAX($A$18:A426),"")</f>
        <v>262</v>
      </c>
      <c r="B427" s="299" t="s">
        <v>427</v>
      </c>
      <c r="C427" s="299" t="s">
        <v>470</v>
      </c>
      <c r="D427" s="208" t="s">
        <v>21</v>
      </c>
      <c r="E427" s="192" t="s">
        <v>124</v>
      </c>
      <c r="F427" s="12" t="s">
        <v>927</v>
      </c>
      <c r="G427" s="288">
        <f>G422*8.5/32</f>
        <v>4.1171875</v>
      </c>
      <c r="H427" s="196">
        <f>IF(VLOOKUP(J427,'HOURLY RATES'!B$116:C$124,2,0)=0,$J$3,VLOOKUP(J427,'HOURLY RATES'!B$116:C$124,2,0))</f>
        <v>0</v>
      </c>
      <c r="I427" s="251">
        <f t="shared" si="358"/>
        <v>4.1171875</v>
      </c>
      <c r="J427" s="183" t="s">
        <v>16</v>
      </c>
      <c r="K427" s="368">
        <f>0.017*32</f>
        <v>0.54400000000000004</v>
      </c>
      <c r="L427" s="369">
        <f t="shared" si="359"/>
        <v>2.2397500000000004</v>
      </c>
      <c r="M427" s="185">
        <f>IF(VLOOKUP(E427,'HOURLY RATES'!C$6:D$105,2,0)=0,$E$3,VLOOKUP(E427,'HOURLY RATES'!C$6:D$105,2,0))</f>
        <v>21.16197</v>
      </c>
      <c r="N427" s="197">
        <f t="shared" si="360"/>
        <v>47.397522307500005</v>
      </c>
      <c r="O427" s="296">
        <f>30.98</f>
        <v>30.98</v>
      </c>
      <c r="P427" s="188">
        <f t="shared" si="361"/>
        <v>127.55046875000001</v>
      </c>
      <c r="Q427" s="189">
        <f t="shared" si="362"/>
        <v>174.94799105750002</v>
      </c>
      <c r="R427" s="190"/>
      <c r="X427" s="212"/>
    </row>
    <row r="428" spans="1:24" s="12" customFormat="1" ht="20.100000000000001" customHeight="1" x14ac:dyDescent="0.2">
      <c r="A428" s="298">
        <f>IF(J428&lt;&gt;"",1+MAX($A$18:A427),"")</f>
        <v>263</v>
      </c>
      <c r="B428" s="299" t="s">
        <v>427</v>
      </c>
      <c r="C428" s="299" t="s">
        <v>470</v>
      </c>
      <c r="D428" s="208" t="s">
        <v>21</v>
      </c>
      <c r="E428" s="302" t="s">
        <v>37</v>
      </c>
      <c r="F428" s="317" t="s">
        <v>928</v>
      </c>
      <c r="G428" s="288">
        <f>G422*9.5/32</f>
        <v>4.6015625</v>
      </c>
      <c r="H428" s="196">
        <f>IF(VLOOKUP(J428,'HOURLY RATES'!B$116:C$124,2,0)=0,$J$3,VLOOKUP(J428,'HOURLY RATES'!B$116:C$124,2,0))</f>
        <v>0</v>
      </c>
      <c r="I428" s="251">
        <f t="shared" si="358"/>
        <v>4.6015625</v>
      </c>
      <c r="J428" s="183" t="s">
        <v>16</v>
      </c>
      <c r="K428" s="368">
        <v>0.70399999999999996</v>
      </c>
      <c r="L428" s="369">
        <f t="shared" si="359"/>
        <v>3.2394999999999996</v>
      </c>
      <c r="M428" s="185">
        <f>IF(VLOOKUP(E428,'HOURLY RATES'!C$6:D$105,2,0)=0,$E$3,VLOOKUP(E428,'HOURLY RATES'!C$6:D$105,2,0))</f>
        <v>21.16197</v>
      </c>
      <c r="N428" s="197">
        <f t="shared" si="360"/>
        <v>68.554201814999999</v>
      </c>
      <c r="O428" s="296">
        <f>28.32*0.625/0.5</f>
        <v>35.4</v>
      </c>
      <c r="P428" s="188">
        <f t="shared" si="361"/>
        <v>162.89531249999999</v>
      </c>
      <c r="Q428" s="189">
        <f t="shared" si="362"/>
        <v>231.44951431499999</v>
      </c>
      <c r="R428" s="190"/>
      <c r="X428" s="212"/>
    </row>
    <row r="429" spans="1:24" s="12" customFormat="1" ht="20.100000000000001" customHeight="1" x14ac:dyDescent="0.2">
      <c r="A429" s="298">
        <f>IF(J429&lt;&gt;"",1+MAX($A$18:A428),"")</f>
        <v>264</v>
      </c>
      <c r="B429" s="299" t="s">
        <v>427</v>
      </c>
      <c r="C429" s="299" t="s">
        <v>470</v>
      </c>
      <c r="D429" s="208" t="s">
        <v>21</v>
      </c>
      <c r="E429" s="192" t="s">
        <v>220</v>
      </c>
      <c r="F429" s="317" t="s">
        <v>452</v>
      </c>
      <c r="G429" s="288">
        <f>G422*2</f>
        <v>31</v>
      </c>
      <c r="H429" s="196">
        <f>IF(VLOOKUP(J429,'HOURLY RATES'!B$116:C$124,2,0)=0,$J$3,VLOOKUP(J429,'HOURLY RATES'!B$116:C$124,2,0))</f>
        <v>0.05</v>
      </c>
      <c r="I429" s="251">
        <f t="shared" si="358"/>
        <v>32.550000000000004</v>
      </c>
      <c r="J429" s="183" t="s">
        <v>19</v>
      </c>
      <c r="K429" s="368">
        <v>1.6E-2</v>
      </c>
      <c r="L429" s="369">
        <f t="shared" si="359"/>
        <v>0.52080000000000004</v>
      </c>
      <c r="M429" s="185">
        <f>IF(VLOOKUP(E429,'HOURLY RATES'!C$6:D$105,2,0)=0,$E$3,VLOOKUP(E429,'HOURLY RATES'!C$6:D$105,2,0))</f>
        <v>23.2578</v>
      </c>
      <c r="N429" s="197">
        <f t="shared" si="360"/>
        <v>12.112662240000001</v>
      </c>
      <c r="O429" s="296">
        <v>0.05</v>
      </c>
      <c r="P429" s="188">
        <f t="shared" si="361"/>
        <v>1.6275000000000004</v>
      </c>
      <c r="Q429" s="189">
        <f t="shared" si="362"/>
        <v>13.74016224</v>
      </c>
      <c r="R429" s="190"/>
      <c r="X429" s="212"/>
    </row>
    <row r="430" spans="1:24" s="12" customFormat="1" ht="20.100000000000001" customHeight="1" x14ac:dyDescent="0.2">
      <c r="A430" s="298" t="str">
        <f>IF(J430&lt;&gt;"",1+MAX($A$18:A429),"")</f>
        <v/>
      </c>
      <c r="B430" s="299"/>
      <c r="C430" s="299"/>
      <c r="D430" s="208"/>
      <c r="E430" s="302"/>
      <c r="F430" s="317"/>
      <c r="G430" s="288"/>
      <c r="H430" s="196"/>
      <c r="I430" s="251"/>
      <c r="J430" s="183"/>
      <c r="K430" s="368"/>
      <c r="L430" s="210"/>
      <c r="M430" s="185"/>
      <c r="N430" s="197"/>
      <c r="O430" s="296"/>
      <c r="P430" s="188"/>
      <c r="Q430" s="189"/>
      <c r="R430" s="190"/>
      <c r="X430" s="212"/>
    </row>
    <row r="431" spans="1:24" s="12" customFormat="1" ht="20.100000000000001" customHeight="1" x14ac:dyDescent="0.2">
      <c r="A431" s="298" t="str">
        <f>IF(J431&lt;&gt;"",1+MAX($A$18:A430),"")</f>
        <v/>
      </c>
      <c r="B431" s="299"/>
      <c r="C431" s="299"/>
      <c r="D431" s="208"/>
      <c r="E431" s="302"/>
      <c r="F431" s="313" t="s">
        <v>438</v>
      </c>
      <c r="G431" s="319">
        <v>15.5</v>
      </c>
      <c r="H431" s="196"/>
      <c r="I431" s="251"/>
      <c r="J431" s="183"/>
      <c r="K431" s="368"/>
      <c r="L431" s="210"/>
      <c r="M431" s="185"/>
      <c r="N431" s="197"/>
      <c r="O431" s="296"/>
      <c r="P431" s="188"/>
      <c r="Q431" s="189"/>
      <c r="R431" s="190"/>
      <c r="X431" s="212"/>
    </row>
    <row r="432" spans="1:24" s="12" customFormat="1" ht="20.100000000000001" customHeight="1" x14ac:dyDescent="0.2">
      <c r="A432" s="298">
        <f>IF(J432&lt;&gt;"",1+MAX($A$18:A431),"")</f>
        <v>265</v>
      </c>
      <c r="B432" s="299" t="s">
        <v>427</v>
      </c>
      <c r="C432" s="299" t="s">
        <v>470</v>
      </c>
      <c r="D432" s="208" t="s">
        <v>21</v>
      </c>
      <c r="E432" s="302" t="s">
        <v>63</v>
      </c>
      <c r="F432" s="317" t="s">
        <v>457</v>
      </c>
      <c r="G432" s="288">
        <f>G431*2</f>
        <v>31</v>
      </c>
      <c r="H432" s="196">
        <f>IF(VLOOKUP(J432,'HOURLY RATES'!B$116:C$124,2,0)=0,$J$3,VLOOKUP(J432,'HOURLY RATES'!B$116:C$124,2,0))</f>
        <v>0.05</v>
      </c>
      <c r="I432" s="251">
        <f t="shared" ref="I432:I438" si="363">(G432*(1+H432))</f>
        <v>32.550000000000004</v>
      </c>
      <c r="J432" s="183" t="s">
        <v>19</v>
      </c>
      <c r="K432" s="368">
        <v>5.8999999999999997E-2</v>
      </c>
      <c r="L432" s="369">
        <f t="shared" ref="L432:L438" si="364">K432*I432</f>
        <v>1.9204500000000002</v>
      </c>
      <c r="M432" s="185">
        <f>IF(VLOOKUP(E432,'HOURLY RATES'!C$6:D$105,2,0)=0,$E$3,VLOOKUP(E432,'HOURLY RATES'!C$6:D$105,2,0))</f>
        <v>21.16197</v>
      </c>
      <c r="N432" s="197">
        <f t="shared" ref="N432:N438" si="365">M432*L432</f>
        <v>40.640505286500002</v>
      </c>
      <c r="O432" s="296">
        <v>1.21</v>
      </c>
      <c r="P432" s="188">
        <f t="shared" ref="P432:P438" si="366">O432*I432</f>
        <v>39.385500000000008</v>
      </c>
      <c r="Q432" s="189">
        <f t="shared" ref="Q432:Q438" si="367">P432+N432</f>
        <v>80.026005286500009</v>
      </c>
      <c r="R432" s="190"/>
      <c r="X432" s="212"/>
    </row>
    <row r="433" spans="1:24" s="12" customFormat="1" ht="20.100000000000001" customHeight="1" x14ac:dyDescent="0.2">
      <c r="A433" s="298">
        <f>IF(J433&lt;&gt;"",1+MAX($A$18:A432),"")</f>
        <v>266</v>
      </c>
      <c r="B433" s="299" t="s">
        <v>427</v>
      </c>
      <c r="C433" s="299" t="s">
        <v>470</v>
      </c>
      <c r="D433" s="208" t="s">
        <v>21</v>
      </c>
      <c r="E433" s="302" t="s">
        <v>63</v>
      </c>
      <c r="F433" s="317" t="s">
        <v>468</v>
      </c>
      <c r="G433" s="288">
        <f>G431</f>
        <v>15.5</v>
      </c>
      <c r="H433" s="196">
        <f>IF(VLOOKUP(J433,'HOURLY RATES'!B$116:C$124,2,0)=0,$J$3,VLOOKUP(J433,'HOURLY RATES'!B$116:C$124,2,0))</f>
        <v>0.05</v>
      </c>
      <c r="I433" s="251">
        <f t="shared" si="363"/>
        <v>16.275000000000002</v>
      </c>
      <c r="J433" s="183" t="s">
        <v>19</v>
      </c>
      <c r="K433" s="368">
        <v>5.8999999999999997E-2</v>
      </c>
      <c r="L433" s="369">
        <f t="shared" si="364"/>
        <v>0.96022500000000011</v>
      </c>
      <c r="M433" s="185">
        <f>IF(VLOOKUP(E433,'HOURLY RATES'!C$6:D$105,2,0)=0,$E$3,VLOOKUP(E433,'HOURLY RATES'!C$6:D$105,2,0))</f>
        <v>21.16197</v>
      </c>
      <c r="N433" s="197">
        <f t="shared" si="365"/>
        <v>20.320252643250001</v>
      </c>
      <c r="O433" s="296">
        <v>1.44</v>
      </c>
      <c r="P433" s="188">
        <f t="shared" si="366"/>
        <v>23.436000000000003</v>
      </c>
      <c r="Q433" s="189">
        <f t="shared" si="367"/>
        <v>43.756252643250008</v>
      </c>
      <c r="R433" s="190"/>
      <c r="X433" s="212"/>
    </row>
    <row r="434" spans="1:24" s="12" customFormat="1" ht="20.100000000000001" customHeight="1" x14ac:dyDescent="0.2">
      <c r="A434" s="298">
        <f>IF(J434&lt;&gt;"",1+MAX($A$18:A433),"")</f>
        <v>267</v>
      </c>
      <c r="B434" s="299" t="s">
        <v>427</v>
      </c>
      <c r="C434" s="299" t="s">
        <v>470</v>
      </c>
      <c r="D434" s="208" t="s">
        <v>21</v>
      </c>
      <c r="E434" s="302" t="s">
        <v>63</v>
      </c>
      <c r="F434" s="317" t="s">
        <v>458</v>
      </c>
      <c r="G434" s="288">
        <f>G431/1.33</f>
        <v>11.654135338345863</v>
      </c>
      <c r="H434" s="196">
        <f>IF(VLOOKUP(J434,'HOURLY RATES'!B$116:C$124,2,0)=0,$J$3,VLOOKUP(J434,'HOURLY RATES'!B$116:C$124,2,0))</f>
        <v>0</v>
      </c>
      <c r="I434" s="251">
        <f t="shared" si="363"/>
        <v>11.654135338345863</v>
      </c>
      <c r="J434" s="183" t="s">
        <v>16</v>
      </c>
      <c r="K434" s="368">
        <f>0.059*12</f>
        <v>0.70799999999999996</v>
      </c>
      <c r="L434" s="369">
        <f t="shared" si="364"/>
        <v>8.2511278195488718</v>
      </c>
      <c r="M434" s="185">
        <f>IF(VLOOKUP(E434,'HOURLY RATES'!C$6:D$105,2,0)=0,$E$3,VLOOKUP(E434,'HOURLY RATES'!C$6:D$105,2,0))</f>
        <v>21.16197</v>
      </c>
      <c r="N434" s="197">
        <f t="shared" si="365"/>
        <v>174.61011938345865</v>
      </c>
      <c r="O434" s="296">
        <f>1.21*12</f>
        <v>14.52</v>
      </c>
      <c r="P434" s="188">
        <f t="shared" si="366"/>
        <v>169.21804511278194</v>
      </c>
      <c r="Q434" s="189">
        <f t="shared" si="367"/>
        <v>343.82816449624056</v>
      </c>
      <c r="R434" s="190"/>
      <c r="X434" s="212"/>
    </row>
    <row r="435" spans="1:24" s="12" customFormat="1" ht="20.100000000000001" customHeight="1" x14ac:dyDescent="0.2">
      <c r="A435" s="298">
        <f>IF(J435&lt;&gt;"",1+MAX($A$18:A434),"")</f>
        <v>268</v>
      </c>
      <c r="B435" s="299" t="s">
        <v>427</v>
      </c>
      <c r="C435" s="299" t="s">
        <v>470</v>
      </c>
      <c r="D435" s="208" t="s">
        <v>21</v>
      </c>
      <c r="E435" s="302" t="s">
        <v>55</v>
      </c>
      <c r="F435" s="317" t="s">
        <v>450</v>
      </c>
      <c r="G435" s="288">
        <f>G431*10.16</f>
        <v>157.47999999999999</v>
      </c>
      <c r="H435" s="196">
        <f>IF(VLOOKUP(J435,'HOURLY RATES'!B$116:C$124,2,0)=0,$J$3,VLOOKUP(J435,'HOURLY RATES'!B$116:C$124,2,0))</f>
        <v>0.05</v>
      </c>
      <c r="I435" s="251">
        <f t="shared" si="363"/>
        <v>165.35399999999998</v>
      </c>
      <c r="J435" s="183" t="s">
        <v>17</v>
      </c>
      <c r="K435" s="368">
        <v>0.01</v>
      </c>
      <c r="L435" s="369">
        <f t="shared" si="364"/>
        <v>1.6535399999999998</v>
      </c>
      <c r="M435" s="185">
        <f>IF(VLOOKUP(E435,'HOURLY RATES'!C$6:D$105,2,0)=0,$E$3,VLOOKUP(E435,'HOURLY RATES'!C$6:D$105,2,0))</f>
        <v>21.16197</v>
      </c>
      <c r="N435" s="197">
        <f t="shared" si="365"/>
        <v>34.992163873799996</v>
      </c>
      <c r="O435" s="296">
        <f>72.54/67.81</f>
        <v>1.0697537236395813</v>
      </c>
      <c r="P435" s="188">
        <f t="shared" si="366"/>
        <v>176.88805721869932</v>
      </c>
      <c r="Q435" s="189">
        <f t="shared" si="367"/>
        <v>211.88022109249931</v>
      </c>
      <c r="R435" s="190"/>
      <c r="X435" s="212"/>
    </row>
    <row r="436" spans="1:24" s="12" customFormat="1" ht="20.100000000000001" customHeight="1" x14ac:dyDescent="0.2">
      <c r="A436" s="298">
        <f>IF(J436&lt;&gt;"",1+MAX($A$18:A435),"")</f>
        <v>269</v>
      </c>
      <c r="B436" s="299" t="s">
        <v>427</v>
      </c>
      <c r="C436" s="299" t="s">
        <v>470</v>
      </c>
      <c r="D436" s="208" t="s">
        <v>21</v>
      </c>
      <c r="E436" s="192" t="s">
        <v>124</v>
      </c>
      <c r="F436" s="12" t="s">
        <v>927</v>
      </c>
      <c r="G436" s="288">
        <f>G431*9/32</f>
        <v>4.359375</v>
      </c>
      <c r="H436" s="196">
        <f>IF(VLOOKUP(J436,'HOURLY RATES'!B$116:C$124,2,0)=0,$J$3,VLOOKUP(J436,'HOURLY RATES'!B$116:C$124,2,0))</f>
        <v>0</v>
      </c>
      <c r="I436" s="251">
        <f t="shared" si="363"/>
        <v>4.359375</v>
      </c>
      <c r="J436" s="183" t="s">
        <v>16</v>
      </c>
      <c r="K436" s="368">
        <f>0.017*32</f>
        <v>0.54400000000000004</v>
      </c>
      <c r="L436" s="369">
        <f t="shared" si="364"/>
        <v>2.3715000000000002</v>
      </c>
      <c r="M436" s="185">
        <f>IF(VLOOKUP(E436,'HOURLY RATES'!C$6:D$105,2,0)=0,$E$3,VLOOKUP(E436,'HOURLY RATES'!C$6:D$105,2,0))</f>
        <v>21.16197</v>
      </c>
      <c r="N436" s="197">
        <f t="shared" si="365"/>
        <v>50.185611855000005</v>
      </c>
      <c r="O436" s="296">
        <f>30.98</f>
        <v>30.98</v>
      </c>
      <c r="P436" s="188">
        <f t="shared" si="366"/>
        <v>135.0534375</v>
      </c>
      <c r="Q436" s="189">
        <f t="shared" si="367"/>
        <v>185.23904935500002</v>
      </c>
      <c r="R436" s="190"/>
      <c r="X436" s="212"/>
    </row>
    <row r="437" spans="1:24" s="12" customFormat="1" ht="20.100000000000001" customHeight="1" x14ac:dyDescent="0.2">
      <c r="A437" s="298">
        <f>IF(J437&lt;&gt;"",1+MAX($A$18:A436),"")</f>
        <v>270</v>
      </c>
      <c r="B437" s="299" t="s">
        <v>427</v>
      </c>
      <c r="C437" s="299" t="s">
        <v>470</v>
      </c>
      <c r="D437" s="208" t="s">
        <v>21</v>
      </c>
      <c r="E437" s="302" t="s">
        <v>37</v>
      </c>
      <c r="F437" s="317" t="s">
        <v>928</v>
      </c>
      <c r="G437" s="288">
        <f>G431*10.16/32</f>
        <v>4.9212499999999997</v>
      </c>
      <c r="H437" s="196">
        <f>IF(VLOOKUP(J437,'HOURLY RATES'!B$116:C$124,2,0)=0,$J$3,VLOOKUP(J437,'HOURLY RATES'!B$116:C$124,2,0))</f>
        <v>0</v>
      </c>
      <c r="I437" s="251">
        <f t="shared" si="363"/>
        <v>4.9212499999999997</v>
      </c>
      <c r="J437" s="183" t="s">
        <v>16</v>
      </c>
      <c r="K437" s="368">
        <v>0.70399999999999996</v>
      </c>
      <c r="L437" s="369">
        <f t="shared" si="364"/>
        <v>3.4645599999999996</v>
      </c>
      <c r="M437" s="185">
        <f>IF(VLOOKUP(E437,'HOURLY RATES'!C$6:D$105,2,0)=0,$E$3,VLOOKUP(E437,'HOURLY RATES'!C$6:D$105,2,0))</f>
        <v>21.16197</v>
      </c>
      <c r="N437" s="197">
        <f t="shared" si="365"/>
        <v>73.316914783199991</v>
      </c>
      <c r="O437" s="296">
        <f>28.32*0.625/0.5</f>
        <v>35.4</v>
      </c>
      <c r="P437" s="188">
        <f t="shared" si="366"/>
        <v>174.21224999999998</v>
      </c>
      <c r="Q437" s="189">
        <f t="shared" si="367"/>
        <v>247.52916478319997</v>
      </c>
      <c r="R437" s="190"/>
      <c r="X437" s="212"/>
    </row>
    <row r="438" spans="1:24" s="12" customFormat="1" ht="20.100000000000001" customHeight="1" x14ac:dyDescent="0.2">
      <c r="A438" s="298">
        <f>IF(J438&lt;&gt;"",1+MAX($A$18:A437),"")</f>
        <v>271</v>
      </c>
      <c r="B438" s="299" t="s">
        <v>427</v>
      </c>
      <c r="C438" s="299" t="s">
        <v>470</v>
      </c>
      <c r="D438" s="208" t="s">
        <v>21</v>
      </c>
      <c r="E438" s="192" t="s">
        <v>220</v>
      </c>
      <c r="F438" s="317" t="s">
        <v>452</v>
      </c>
      <c r="G438" s="288">
        <f>G431*2</f>
        <v>31</v>
      </c>
      <c r="H438" s="196">
        <f>IF(VLOOKUP(J438,'HOURLY RATES'!B$116:C$124,2,0)=0,$J$3,VLOOKUP(J438,'HOURLY RATES'!B$116:C$124,2,0))</f>
        <v>0.05</v>
      </c>
      <c r="I438" s="251">
        <f t="shared" si="363"/>
        <v>32.550000000000004</v>
      </c>
      <c r="J438" s="183" t="s">
        <v>19</v>
      </c>
      <c r="K438" s="368">
        <v>1.6E-2</v>
      </c>
      <c r="L438" s="369">
        <f t="shared" si="364"/>
        <v>0.52080000000000004</v>
      </c>
      <c r="M438" s="185">
        <f>IF(VLOOKUP(E438,'HOURLY RATES'!C$6:D$105,2,0)=0,$E$3,VLOOKUP(E438,'HOURLY RATES'!C$6:D$105,2,0))</f>
        <v>23.2578</v>
      </c>
      <c r="N438" s="197">
        <f t="shared" si="365"/>
        <v>12.112662240000001</v>
      </c>
      <c r="O438" s="296">
        <v>0.05</v>
      </c>
      <c r="P438" s="188">
        <f t="shared" si="366"/>
        <v>1.6275000000000004</v>
      </c>
      <c r="Q438" s="189">
        <f t="shared" si="367"/>
        <v>13.74016224</v>
      </c>
      <c r="R438" s="190"/>
      <c r="X438" s="212"/>
    </row>
    <row r="439" spans="1:24" s="12" customFormat="1" ht="20.100000000000001" customHeight="1" x14ac:dyDescent="0.2">
      <c r="A439" s="298" t="str">
        <f>IF(J439&lt;&gt;"",1+MAX($A$18:A438),"")</f>
        <v/>
      </c>
      <c r="B439" s="299"/>
      <c r="C439" s="299"/>
      <c r="D439" s="208"/>
      <c r="E439" s="302"/>
      <c r="F439" s="317"/>
      <c r="G439" s="288"/>
      <c r="H439" s="196"/>
      <c r="I439" s="251"/>
      <c r="J439" s="183"/>
      <c r="K439" s="368"/>
      <c r="L439" s="210"/>
      <c r="M439" s="185"/>
      <c r="N439" s="197"/>
      <c r="O439" s="296"/>
      <c r="P439" s="188"/>
      <c r="Q439" s="189"/>
      <c r="R439" s="190"/>
      <c r="X439" s="212"/>
    </row>
    <row r="440" spans="1:24" s="12" customFormat="1" ht="20.100000000000001" customHeight="1" x14ac:dyDescent="0.2">
      <c r="A440" s="298" t="str">
        <f>IF(J440&lt;&gt;"",1+MAX($A$18:A439),"")</f>
        <v/>
      </c>
      <c r="B440" s="299"/>
      <c r="C440" s="299"/>
      <c r="D440" s="208"/>
      <c r="E440" s="302"/>
      <c r="F440" s="313" t="s">
        <v>439</v>
      </c>
      <c r="G440" s="319">
        <v>33.64</v>
      </c>
      <c r="H440" s="196"/>
      <c r="I440" s="251"/>
      <c r="J440" s="183"/>
      <c r="K440" s="368"/>
      <c r="L440" s="210"/>
      <c r="M440" s="185"/>
      <c r="N440" s="197"/>
      <c r="O440" s="296"/>
      <c r="P440" s="188"/>
      <c r="Q440" s="189"/>
      <c r="R440" s="190"/>
      <c r="X440" s="212"/>
    </row>
    <row r="441" spans="1:24" s="12" customFormat="1" ht="20.100000000000001" customHeight="1" x14ac:dyDescent="0.2">
      <c r="A441" s="298">
        <f>IF(J441&lt;&gt;"",1+MAX($A$18:A440),"")</f>
        <v>272</v>
      </c>
      <c r="B441" s="299" t="s">
        <v>427</v>
      </c>
      <c r="C441" s="299" t="s">
        <v>470</v>
      </c>
      <c r="D441" s="208" t="s">
        <v>21</v>
      </c>
      <c r="E441" s="302" t="s">
        <v>63</v>
      </c>
      <c r="F441" s="317" t="s">
        <v>446</v>
      </c>
      <c r="G441" s="288">
        <f>G440*2</f>
        <v>67.28</v>
      </c>
      <c r="H441" s="196">
        <f>IF(VLOOKUP(J441,'HOURLY RATES'!B$116:C$124,2,0)=0,$J$3,VLOOKUP(J441,'HOURLY RATES'!B$116:C$124,2,0))</f>
        <v>0.05</v>
      </c>
      <c r="I441" s="251">
        <f t="shared" ref="I441:I446" si="368">(G441*(1+H441))</f>
        <v>70.644000000000005</v>
      </c>
      <c r="J441" s="183" t="s">
        <v>19</v>
      </c>
      <c r="K441" s="368">
        <v>5.8999999999999997E-2</v>
      </c>
      <c r="L441" s="369">
        <f t="shared" ref="L441:L446" si="369">K441*I441</f>
        <v>4.1679960000000005</v>
      </c>
      <c r="M441" s="185">
        <f>IF(VLOOKUP(E441,'HOURLY RATES'!C$6:D$105,2,0)=0,$E$3,VLOOKUP(E441,'HOURLY RATES'!C$6:D$105,2,0))</f>
        <v>21.16197</v>
      </c>
      <c r="N441" s="197">
        <f t="shared" ref="N441:N446" si="370">M441*L441</f>
        <v>88.20300631212001</v>
      </c>
      <c r="O441" s="296">
        <v>1.21</v>
      </c>
      <c r="P441" s="188">
        <f t="shared" ref="P441:P446" si="371">O441*I441</f>
        <v>85.479240000000004</v>
      </c>
      <c r="Q441" s="189">
        <f t="shared" ref="Q441:Q446" si="372">P441+N441</f>
        <v>173.68224631212001</v>
      </c>
      <c r="R441" s="190"/>
      <c r="X441" s="212"/>
    </row>
    <row r="442" spans="1:24" s="12" customFormat="1" ht="20.100000000000001" customHeight="1" x14ac:dyDescent="0.2">
      <c r="A442" s="298">
        <f>IF(J442&lt;&gt;"",1+MAX($A$18:A441),"")</f>
        <v>273</v>
      </c>
      <c r="B442" s="299" t="s">
        <v>427</v>
      </c>
      <c r="C442" s="299" t="s">
        <v>470</v>
      </c>
      <c r="D442" s="208" t="s">
        <v>21</v>
      </c>
      <c r="E442" s="302" t="s">
        <v>63</v>
      </c>
      <c r="F442" s="317" t="s">
        <v>447</v>
      </c>
      <c r="G442" s="288">
        <f>G440</f>
        <v>33.64</v>
      </c>
      <c r="H442" s="196">
        <f>IF(VLOOKUP(J442,'HOURLY RATES'!B$116:C$124,2,0)=0,$J$3,VLOOKUP(J442,'HOURLY RATES'!B$116:C$124,2,0))</f>
        <v>0.05</v>
      </c>
      <c r="I442" s="251">
        <f t="shared" si="368"/>
        <v>35.322000000000003</v>
      </c>
      <c r="J442" s="183" t="s">
        <v>19</v>
      </c>
      <c r="K442" s="368">
        <v>5.8999999999999997E-2</v>
      </c>
      <c r="L442" s="369">
        <f t="shared" si="369"/>
        <v>2.0839980000000002</v>
      </c>
      <c r="M442" s="185">
        <f>IF(VLOOKUP(E442,'HOURLY RATES'!C$6:D$105,2,0)=0,$E$3,VLOOKUP(E442,'HOURLY RATES'!C$6:D$105,2,0))</f>
        <v>21.16197</v>
      </c>
      <c r="N442" s="197">
        <f t="shared" si="370"/>
        <v>44.101503156060005</v>
      </c>
      <c r="O442" s="296">
        <v>1.44</v>
      </c>
      <c r="P442" s="188">
        <f t="shared" si="371"/>
        <v>50.863680000000002</v>
      </c>
      <c r="Q442" s="189">
        <f t="shared" si="372"/>
        <v>94.965183156060007</v>
      </c>
      <c r="R442" s="190"/>
      <c r="X442" s="212"/>
    </row>
    <row r="443" spans="1:24" s="12" customFormat="1" ht="20.100000000000001" customHeight="1" x14ac:dyDescent="0.2">
      <c r="A443" s="298">
        <f>IF(J443&lt;&gt;"",1+MAX($A$18:A442),"")</f>
        <v>274</v>
      </c>
      <c r="B443" s="299" t="s">
        <v>427</v>
      </c>
      <c r="C443" s="299" t="s">
        <v>470</v>
      </c>
      <c r="D443" s="208" t="s">
        <v>21</v>
      </c>
      <c r="E443" s="302" t="s">
        <v>63</v>
      </c>
      <c r="F443" s="317" t="s">
        <v>456</v>
      </c>
      <c r="G443" s="288">
        <f>G440/1.33</f>
        <v>25.293233082706767</v>
      </c>
      <c r="H443" s="196">
        <f>IF(VLOOKUP(J443,'HOURLY RATES'!B$116:C$124,2,0)=0,$J$3,VLOOKUP(J443,'HOURLY RATES'!B$116:C$124,2,0))</f>
        <v>0</v>
      </c>
      <c r="I443" s="251">
        <f t="shared" si="368"/>
        <v>25.293233082706767</v>
      </c>
      <c r="J443" s="183" t="s">
        <v>16</v>
      </c>
      <c r="K443" s="368">
        <f>10*0.059</f>
        <v>0.59</v>
      </c>
      <c r="L443" s="369">
        <f t="shared" si="369"/>
        <v>14.923007518796991</v>
      </c>
      <c r="M443" s="185">
        <f>IF(VLOOKUP(E443,'HOURLY RATES'!C$6:D$105,2,0)=0,$E$3,VLOOKUP(E443,'HOURLY RATES'!C$6:D$105,2,0))</f>
        <v>21.16197</v>
      </c>
      <c r="N443" s="197">
        <f t="shared" si="370"/>
        <v>315.80023742255639</v>
      </c>
      <c r="O443" s="296">
        <f>1.21*10</f>
        <v>12.1</v>
      </c>
      <c r="P443" s="188">
        <f t="shared" si="371"/>
        <v>306.04812030075186</v>
      </c>
      <c r="Q443" s="189">
        <f t="shared" si="372"/>
        <v>621.84835772330825</v>
      </c>
      <c r="R443" s="190"/>
      <c r="X443" s="212"/>
    </row>
    <row r="444" spans="1:24" s="12" customFormat="1" ht="20.100000000000001" customHeight="1" x14ac:dyDescent="0.2">
      <c r="A444" s="298">
        <f>IF(J444&lt;&gt;"",1+MAX($A$18:A443),"")</f>
        <v>275</v>
      </c>
      <c r="B444" s="299" t="s">
        <v>427</v>
      </c>
      <c r="C444" s="299" t="s">
        <v>470</v>
      </c>
      <c r="D444" s="208" t="s">
        <v>21</v>
      </c>
      <c r="E444" s="192" t="s">
        <v>124</v>
      </c>
      <c r="F444" s="317" t="s">
        <v>461</v>
      </c>
      <c r="G444" s="288">
        <f>23*9/32+11*9/32</f>
        <v>9.5625</v>
      </c>
      <c r="H444" s="196">
        <f>IF(VLOOKUP(J444,'HOURLY RATES'!B$116:C$124,2,0)=0,$J$3,VLOOKUP(J444,'HOURLY RATES'!B$116:C$124,2,0))</f>
        <v>0</v>
      </c>
      <c r="I444" s="251">
        <f t="shared" si="368"/>
        <v>9.5625</v>
      </c>
      <c r="J444" s="183" t="s">
        <v>16</v>
      </c>
      <c r="K444" s="368">
        <f>0.017*32</f>
        <v>0.54400000000000004</v>
      </c>
      <c r="L444" s="369">
        <f t="shared" si="369"/>
        <v>5.202</v>
      </c>
      <c r="M444" s="185">
        <f>IF(VLOOKUP(E444,'HOURLY RATES'!C$6:D$105,2,0)=0,$E$3,VLOOKUP(E444,'HOURLY RATES'!C$6:D$105,2,0))</f>
        <v>21.16197</v>
      </c>
      <c r="N444" s="197">
        <f t="shared" si="370"/>
        <v>110.08456794</v>
      </c>
      <c r="O444" s="296">
        <v>9.56</v>
      </c>
      <c r="P444" s="188">
        <f t="shared" si="371"/>
        <v>91.417500000000004</v>
      </c>
      <c r="Q444" s="189">
        <f t="shared" si="372"/>
        <v>201.50206794000002</v>
      </c>
      <c r="R444" s="190"/>
      <c r="X444" s="212"/>
    </row>
    <row r="445" spans="1:24" s="12" customFormat="1" ht="20.100000000000001" customHeight="1" x14ac:dyDescent="0.2">
      <c r="A445" s="298">
        <f>IF(J445&lt;&gt;"",1+MAX($A$18:A444),"")</f>
        <v>276</v>
      </c>
      <c r="B445" s="299" t="s">
        <v>427</v>
      </c>
      <c r="C445" s="299" t="s">
        <v>470</v>
      </c>
      <c r="D445" s="208" t="s">
        <v>21</v>
      </c>
      <c r="E445" s="192" t="s">
        <v>124</v>
      </c>
      <c r="F445" s="317" t="s">
        <v>929</v>
      </c>
      <c r="G445" s="288">
        <f>11*9/32</f>
        <v>3.09375</v>
      </c>
      <c r="H445" s="196">
        <f>IF(VLOOKUP(J445,'HOURLY RATES'!B$116:C$124,2,0)=0,$J$3,VLOOKUP(J445,'HOURLY RATES'!B$116:C$124,2,0))</f>
        <v>0</v>
      </c>
      <c r="I445" s="251">
        <f t="shared" si="368"/>
        <v>3.09375</v>
      </c>
      <c r="J445" s="183" t="s">
        <v>16</v>
      </c>
      <c r="K445" s="292">
        <f>0.022*32</f>
        <v>0.70399999999999996</v>
      </c>
      <c r="L445" s="369">
        <f t="shared" si="369"/>
        <v>2.1779999999999999</v>
      </c>
      <c r="M445" s="185">
        <f>IF(VLOOKUP(E445,'HOURLY RATES'!C$6:D$105,2,0)=0,$E$3,VLOOKUP(E445,'HOURLY RATES'!C$6:D$105,2,0))</f>
        <v>21.16197</v>
      </c>
      <c r="N445" s="197">
        <f t="shared" si="370"/>
        <v>46.090770659999997</v>
      </c>
      <c r="O445" s="296">
        <v>24.99</v>
      </c>
      <c r="P445" s="188">
        <f t="shared" si="371"/>
        <v>77.312812499999993</v>
      </c>
      <c r="Q445" s="189">
        <f t="shared" si="372"/>
        <v>123.40358315999998</v>
      </c>
      <c r="R445" s="190"/>
      <c r="X445" s="212"/>
    </row>
    <row r="446" spans="1:24" s="12" customFormat="1" ht="20.100000000000001" customHeight="1" x14ac:dyDescent="0.2">
      <c r="A446" s="298">
        <f>IF(J446&lt;&gt;"",1+MAX($A$18:A445),"")</f>
        <v>277</v>
      </c>
      <c r="B446" s="299" t="s">
        <v>427</v>
      </c>
      <c r="C446" s="299" t="s">
        <v>470</v>
      </c>
      <c r="D446" s="208" t="s">
        <v>21</v>
      </c>
      <c r="E446" s="192" t="s">
        <v>220</v>
      </c>
      <c r="F446" s="317" t="s">
        <v>452</v>
      </c>
      <c r="G446" s="288">
        <f>G440*4</f>
        <v>134.56</v>
      </c>
      <c r="H446" s="196">
        <f>IF(VLOOKUP(J446,'HOURLY RATES'!B$116:C$124,2,0)=0,$J$3,VLOOKUP(J446,'HOURLY RATES'!B$116:C$124,2,0))</f>
        <v>0.05</v>
      </c>
      <c r="I446" s="251">
        <f t="shared" si="368"/>
        <v>141.28800000000001</v>
      </c>
      <c r="J446" s="183" t="s">
        <v>19</v>
      </c>
      <c r="K446" s="368">
        <v>1.6E-2</v>
      </c>
      <c r="L446" s="369">
        <f t="shared" si="369"/>
        <v>2.2606080000000004</v>
      </c>
      <c r="M446" s="185">
        <f>IF(VLOOKUP(E446,'HOURLY RATES'!C$6:D$105,2,0)=0,$E$3,VLOOKUP(E446,'HOURLY RATES'!C$6:D$105,2,0))</f>
        <v>23.2578</v>
      </c>
      <c r="N446" s="197">
        <f t="shared" si="370"/>
        <v>52.576768742400006</v>
      </c>
      <c r="O446" s="296">
        <v>0.05</v>
      </c>
      <c r="P446" s="188">
        <f t="shared" si="371"/>
        <v>7.0644000000000009</v>
      </c>
      <c r="Q446" s="189">
        <f t="shared" si="372"/>
        <v>59.641168742400005</v>
      </c>
      <c r="R446" s="190"/>
      <c r="X446" s="212"/>
    </row>
    <row r="447" spans="1:24" s="12" customFormat="1" ht="20.100000000000001" customHeight="1" x14ac:dyDescent="0.2">
      <c r="A447" s="298" t="str">
        <f>IF(J447&lt;&gt;"",1+MAX($A$18:A446),"")</f>
        <v/>
      </c>
      <c r="B447" s="299"/>
      <c r="C447" s="299"/>
      <c r="D447" s="208"/>
      <c r="E447" s="302"/>
      <c r="F447" s="317"/>
      <c r="G447" s="288"/>
      <c r="H447" s="196"/>
      <c r="I447" s="251"/>
      <c r="J447" s="183"/>
      <c r="K447" s="368"/>
      <c r="L447" s="210"/>
      <c r="M447" s="185"/>
      <c r="N447" s="197"/>
      <c r="O447" s="296"/>
      <c r="P447" s="188"/>
      <c r="Q447" s="189"/>
      <c r="R447" s="190"/>
      <c r="X447" s="212"/>
    </row>
    <row r="448" spans="1:24" s="12" customFormat="1" ht="20.100000000000001" customHeight="1" x14ac:dyDescent="0.2">
      <c r="A448" s="298" t="str">
        <f>IF(J448&lt;&gt;"",1+MAX($A$18:A447),"")</f>
        <v/>
      </c>
      <c r="B448" s="299"/>
      <c r="C448" s="299"/>
      <c r="D448" s="208"/>
      <c r="E448" s="302"/>
      <c r="F448" s="313" t="s">
        <v>440</v>
      </c>
      <c r="G448" s="319">
        <v>61.39</v>
      </c>
      <c r="H448" s="196"/>
      <c r="I448" s="251"/>
      <c r="J448" s="183"/>
      <c r="K448" s="368"/>
      <c r="L448" s="210"/>
      <c r="M448" s="185"/>
      <c r="N448" s="197"/>
      <c r="O448" s="296"/>
      <c r="P448" s="188"/>
      <c r="Q448" s="189"/>
      <c r="R448" s="190"/>
      <c r="X448" s="212"/>
    </row>
    <row r="449" spans="1:24" s="12" customFormat="1" ht="20.100000000000001" customHeight="1" x14ac:dyDescent="0.2">
      <c r="A449" s="298">
        <f>IF(J449&lt;&gt;"",1+MAX($A$18:A448),"")</f>
        <v>278</v>
      </c>
      <c r="B449" s="299" t="s">
        <v>427</v>
      </c>
      <c r="C449" s="299" t="s">
        <v>470</v>
      </c>
      <c r="D449" s="208" t="s">
        <v>21</v>
      </c>
      <c r="E449" s="302" t="s">
        <v>63</v>
      </c>
      <c r="F449" s="317" t="s">
        <v>453</v>
      </c>
      <c r="G449" s="288">
        <f>G448*2</f>
        <v>122.78</v>
      </c>
      <c r="H449" s="196">
        <f>IF(VLOOKUP(J449,'HOURLY RATES'!B$116:C$124,2,0)=0,$J$3,VLOOKUP(J449,'HOURLY RATES'!B$116:C$124,2,0))</f>
        <v>0.05</v>
      </c>
      <c r="I449" s="251">
        <f t="shared" ref="I449:I454" si="373">(G449*(1+H449))</f>
        <v>128.91900000000001</v>
      </c>
      <c r="J449" s="183" t="s">
        <v>19</v>
      </c>
      <c r="K449" s="368">
        <v>5.5E-2</v>
      </c>
      <c r="L449" s="369">
        <f t="shared" ref="L449:L454" si="374">K449*I449</f>
        <v>7.0905450000000005</v>
      </c>
      <c r="M449" s="185">
        <f>IF(VLOOKUP(E449,'HOURLY RATES'!C$6:D$105,2,0)=0,$E$3,VLOOKUP(E449,'HOURLY RATES'!C$6:D$105,2,0))</f>
        <v>21.16197</v>
      </c>
      <c r="N449" s="197">
        <f t="shared" ref="N449:N454" si="375">M449*L449</f>
        <v>150.04990057365001</v>
      </c>
      <c r="O449" s="296">
        <v>1.0920000000000001</v>
      </c>
      <c r="P449" s="188">
        <f t="shared" ref="P449:P454" si="376">O449*I449</f>
        <v>140.77954800000003</v>
      </c>
      <c r="Q449" s="189">
        <f t="shared" ref="Q449:Q454" si="377">P449+N449</f>
        <v>290.82944857365004</v>
      </c>
      <c r="R449" s="190"/>
      <c r="X449" s="212"/>
    </row>
    <row r="450" spans="1:24" s="12" customFormat="1" ht="20.100000000000001" customHeight="1" x14ac:dyDescent="0.2">
      <c r="A450" s="298">
        <f>IF(J450&lt;&gt;"",1+MAX($A$18:A449),"")</f>
        <v>279</v>
      </c>
      <c r="B450" s="299" t="s">
        <v>427</v>
      </c>
      <c r="C450" s="299" t="s">
        <v>470</v>
      </c>
      <c r="D450" s="208" t="s">
        <v>21</v>
      </c>
      <c r="E450" s="302" t="s">
        <v>63</v>
      </c>
      <c r="F450" s="317" t="s">
        <v>467</v>
      </c>
      <c r="G450" s="288">
        <f>G448</f>
        <v>61.39</v>
      </c>
      <c r="H450" s="196">
        <f>IF(VLOOKUP(J450,'HOURLY RATES'!B$116:C$124,2,0)=0,$J$3,VLOOKUP(J450,'HOURLY RATES'!B$116:C$124,2,0))</f>
        <v>0.05</v>
      </c>
      <c r="I450" s="251">
        <f t="shared" si="373"/>
        <v>64.459500000000006</v>
      </c>
      <c r="J450" s="183" t="s">
        <v>19</v>
      </c>
      <c r="K450" s="368">
        <v>5.5E-2</v>
      </c>
      <c r="L450" s="369">
        <f t="shared" si="374"/>
        <v>3.5452725000000003</v>
      </c>
      <c r="M450" s="185">
        <f>IF(VLOOKUP(E450,'HOURLY RATES'!C$6:D$105,2,0)=0,$E$3,VLOOKUP(E450,'HOURLY RATES'!C$6:D$105,2,0))</f>
        <v>21.16197</v>
      </c>
      <c r="N450" s="197">
        <f t="shared" si="375"/>
        <v>75.024950286825003</v>
      </c>
      <c r="O450" s="296">
        <v>1.21</v>
      </c>
      <c r="P450" s="188">
        <f t="shared" si="376"/>
        <v>77.995995000000008</v>
      </c>
      <c r="Q450" s="189">
        <f t="shared" si="377"/>
        <v>153.020945286825</v>
      </c>
      <c r="R450" s="190"/>
      <c r="X450" s="212"/>
    </row>
    <row r="451" spans="1:24" s="12" customFormat="1" ht="20.100000000000001" customHeight="1" x14ac:dyDescent="0.2">
      <c r="A451" s="298">
        <f>IF(J451&lt;&gt;"",1+MAX($A$18:A450),"")</f>
        <v>280</v>
      </c>
      <c r="B451" s="299" t="s">
        <v>427</v>
      </c>
      <c r="C451" s="299" t="s">
        <v>470</v>
      </c>
      <c r="D451" s="208" t="s">
        <v>21</v>
      </c>
      <c r="E451" s="302" t="s">
        <v>63</v>
      </c>
      <c r="F451" s="317" t="s">
        <v>455</v>
      </c>
      <c r="G451" s="288">
        <f>G448/1.33</f>
        <v>46.157894736842103</v>
      </c>
      <c r="H451" s="196">
        <f>IF(VLOOKUP(J451,'HOURLY RATES'!B$116:C$124,2,0)=0,$J$3,VLOOKUP(J451,'HOURLY RATES'!B$116:C$124,2,0))</f>
        <v>0</v>
      </c>
      <c r="I451" s="251">
        <f t="shared" si="373"/>
        <v>46.157894736842103</v>
      </c>
      <c r="J451" s="183" t="s">
        <v>16</v>
      </c>
      <c r="K451" s="368">
        <f>0.055*10</f>
        <v>0.55000000000000004</v>
      </c>
      <c r="L451" s="369">
        <f t="shared" si="374"/>
        <v>25.38684210526316</v>
      </c>
      <c r="M451" s="185">
        <f>IF(VLOOKUP(E451,'HOURLY RATES'!C$6:D$105,2,0)=0,$E$3,VLOOKUP(E451,'HOURLY RATES'!C$6:D$105,2,0))</f>
        <v>21.16197</v>
      </c>
      <c r="N451" s="197">
        <f t="shared" si="375"/>
        <v>537.23559102631589</v>
      </c>
      <c r="O451" s="296">
        <f>1.092*10</f>
        <v>10.920000000000002</v>
      </c>
      <c r="P451" s="188">
        <f t="shared" si="376"/>
        <v>504.04421052631585</v>
      </c>
      <c r="Q451" s="189">
        <f t="shared" si="377"/>
        <v>1041.2798015526319</v>
      </c>
      <c r="R451" s="190"/>
      <c r="X451" s="212"/>
    </row>
    <row r="452" spans="1:24" s="12" customFormat="1" ht="20.100000000000001" customHeight="1" x14ac:dyDescent="0.2">
      <c r="A452" s="298">
        <f>IF(J452&lt;&gt;"",1+MAX($A$18:A451),"")</f>
        <v>281</v>
      </c>
      <c r="B452" s="299" t="s">
        <v>427</v>
      </c>
      <c r="C452" s="299" t="s">
        <v>470</v>
      </c>
      <c r="D452" s="208" t="s">
        <v>21</v>
      </c>
      <c r="E452" s="192" t="s">
        <v>124</v>
      </c>
      <c r="F452" s="317" t="s">
        <v>461</v>
      </c>
      <c r="G452" s="288">
        <f>40*9/32+21*9/32</f>
        <v>17.15625</v>
      </c>
      <c r="H452" s="196">
        <f>IF(VLOOKUP(J452,'HOURLY RATES'!B$116:C$124,2,0)=0,$J$3,VLOOKUP(J452,'HOURLY RATES'!B$116:C$124,2,0))</f>
        <v>0</v>
      </c>
      <c r="I452" s="251">
        <f t="shared" si="373"/>
        <v>17.15625</v>
      </c>
      <c r="J452" s="183" t="s">
        <v>16</v>
      </c>
      <c r="K452" s="368">
        <f>0.017*32</f>
        <v>0.54400000000000004</v>
      </c>
      <c r="L452" s="369">
        <f t="shared" si="374"/>
        <v>9.3330000000000002</v>
      </c>
      <c r="M452" s="185">
        <f>IF(VLOOKUP(E452,'HOURLY RATES'!C$6:D$105,2,0)=0,$E$3,VLOOKUP(E452,'HOURLY RATES'!C$6:D$105,2,0))</f>
        <v>21.16197</v>
      </c>
      <c r="N452" s="197">
        <f t="shared" si="375"/>
        <v>197.50466600999999</v>
      </c>
      <c r="O452" s="296">
        <v>9.56</v>
      </c>
      <c r="P452" s="188">
        <f t="shared" si="376"/>
        <v>164.01375000000002</v>
      </c>
      <c r="Q452" s="189">
        <f t="shared" si="377"/>
        <v>361.51841601000001</v>
      </c>
      <c r="R452" s="190"/>
      <c r="X452" s="212"/>
    </row>
    <row r="453" spans="1:24" s="12" customFormat="1" ht="20.100000000000001" customHeight="1" x14ac:dyDescent="0.2">
      <c r="A453" s="298">
        <f>IF(J453&lt;&gt;"",1+MAX($A$18:A452),"")</f>
        <v>282</v>
      </c>
      <c r="B453" s="299" t="s">
        <v>427</v>
      </c>
      <c r="C453" s="299" t="s">
        <v>470</v>
      </c>
      <c r="D453" s="208" t="s">
        <v>21</v>
      </c>
      <c r="E453" s="192" t="s">
        <v>124</v>
      </c>
      <c r="F453" s="317" t="s">
        <v>929</v>
      </c>
      <c r="G453" s="288">
        <f>21*9/32</f>
        <v>5.90625</v>
      </c>
      <c r="H453" s="196">
        <f>IF(VLOOKUP(J453,'HOURLY RATES'!B$116:C$124,2,0)=0,$J$3,VLOOKUP(J453,'HOURLY RATES'!B$116:C$124,2,0))</f>
        <v>0</v>
      </c>
      <c r="I453" s="251">
        <f t="shared" si="373"/>
        <v>5.90625</v>
      </c>
      <c r="J453" s="183" t="s">
        <v>16</v>
      </c>
      <c r="K453" s="292">
        <f>0.022*32</f>
        <v>0.70399999999999996</v>
      </c>
      <c r="L453" s="369">
        <f t="shared" si="374"/>
        <v>4.1579999999999995</v>
      </c>
      <c r="M453" s="185">
        <f>IF(VLOOKUP(E453,'HOURLY RATES'!C$6:D$105,2,0)=0,$E$3,VLOOKUP(E453,'HOURLY RATES'!C$6:D$105,2,0))</f>
        <v>21.16197</v>
      </c>
      <c r="N453" s="197">
        <f t="shared" si="375"/>
        <v>87.991471259999983</v>
      </c>
      <c r="O453" s="296">
        <v>24.99</v>
      </c>
      <c r="P453" s="188">
        <f t="shared" si="376"/>
        <v>147.59718749999999</v>
      </c>
      <c r="Q453" s="189">
        <f t="shared" si="377"/>
        <v>235.58865875999999</v>
      </c>
      <c r="R453" s="190"/>
      <c r="X453" s="212"/>
    </row>
    <row r="454" spans="1:24" s="12" customFormat="1" ht="20.100000000000001" customHeight="1" x14ac:dyDescent="0.2">
      <c r="A454" s="298">
        <f>IF(J454&lt;&gt;"",1+MAX($A$18:A453),"")</f>
        <v>283</v>
      </c>
      <c r="B454" s="299" t="s">
        <v>427</v>
      </c>
      <c r="C454" s="299" t="s">
        <v>470</v>
      </c>
      <c r="D454" s="208" t="s">
        <v>21</v>
      </c>
      <c r="E454" s="192" t="s">
        <v>220</v>
      </c>
      <c r="F454" s="317" t="s">
        <v>452</v>
      </c>
      <c r="G454" s="288">
        <f>G448*4</f>
        <v>245.56</v>
      </c>
      <c r="H454" s="196">
        <f>IF(VLOOKUP(J454,'HOURLY RATES'!B$116:C$124,2,0)=0,$J$3,VLOOKUP(J454,'HOURLY RATES'!B$116:C$124,2,0))</f>
        <v>0.05</v>
      </c>
      <c r="I454" s="251">
        <f t="shared" si="373"/>
        <v>257.83800000000002</v>
      </c>
      <c r="J454" s="183" t="s">
        <v>19</v>
      </c>
      <c r="K454" s="368">
        <v>1.6E-2</v>
      </c>
      <c r="L454" s="369">
        <f t="shared" si="374"/>
        <v>4.1254080000000002</v>
      </c>
      <c r="M454" s="185">
        <f>IF(VLOOKUP(E454,'HOURLY RATES'!C$6:D$105,2,0)=0,$E$3,VLOOKUP(E454,'HOURLY RATES'!C$6:D$105,2,0))</f>
        <v>23.2578</v>
      </c>
      <c r="N454" s="197">
        <f t="shared" si="375"/>
        <v>95.947914182399998</v>
      </c>
      <c r="O454" s="296">
        <v>0.05</v>
      </c>
      <c r="P454" s="188">
        <f t="shared" si="376"/>
        <v>12.891900000000001</v>
      </c>
      <c r="Q454" s="189">
        <f t="shared" si="377"/>
        <v>108.8398141824</v>
      </c>
      <c r="R454" s="190"/>
      <c r="X454" s="212"/>
    </row>
    <row r="455" spans="1:24" s="12" customFormat="1" ht="20.100000000000001" customHeight="1" x14ac:dyDescent="0.2">
      <c r="A455" s="298" t="str">
        <f>IF(J455&lt;&gt;"",1+MAX($A$18:A454),"")</f>
        <v/>
      </c>
      <c r="B455" s="299"/>
      <c r="C455" s="299"/>
      <c r="D455" s="208"/>
      <c r="E455" s="302"/>
      <c r="G455" s="288"/>
      <c r="H455" s="196"/>
      <c r="I455" s="251"/>
      <c r="J455" s="183"/>
      <c r="K455" s="368"/>
      <c r="L455" s="210"/>
      <c r="M455" s="185"/>
      <c r="N455" s="197"/>
      <c r="O455" s="296"/>
      <c r="P455" s="188"/>
      <c r="Q455" s="189"/>
      <c r="R455" s="190"/>
      <c r="X455" s="212"/>
    </row>
    <row r="456" spans="1:24" s="12" customFormat="1" ht="20.100000000000001" customHeight="1" x14ac:dyDescent="0.2">
      <c r="A456" s="298" t="str">
        <f>IF(J456&lt;&gt;"",1+MAX($A$18:A455),"")</f>
        <v/>
      </c>
      <c r="B456" s="299"/>
      <c r="C456" s="299"/>
      <c r="D456" s="208"/>
      <c r="E456" s="302"/>
      <c r="F456" s="313" t="s">
        <v>441</v>
      </c>
      <c r="G456" s="319">
        <v>4.07</v>
      </c>
      <c r="H456" s="196"/>
      <c r="I456" s="251"/>
      <c r="J456" s="183"/>
      <c r="K456" s="368"/>
      <c r="L456" s="210"/>
      <c r="M456" s="185"/>
      <c r="N456" s="197"/>
      <c r="O456" s="296"/>
      <c r="P456" s="188"/>
      <c r="Q456" s="189"/>
      <c r="R456" s="190"/>
      <c r="X456" s="212"/>
    </row>
    <row r="457" spans="1:24" s="12" customFormat="1" ht="20.100000000000001" customHeight="1" x14ac:dyDescent="0.2">
      <c r="A457" s="298">
        <f>IF(J457&lt;&gt;"",1+MAX($A$18:A456),"")</f>
        <v>284</v>
      </c>
      <c r="B457" s="299" t="s">
        <v>427</v>
      </c>
      <c r="C457" s="299" t="s">
        <v>470</v>
      </c>
      <c r="D457" s="208" t="s">
        <v>21</v>
      </c>
      <c r="E457" s="302" t="s">
        <v>63</v>
      </c>
      <c r="F457" s="317" t="s">
        <v>453</v>
      </c>
      <c r="G457" s="288">
        <f>G456*2</f>
        <v>8.14</v>
      </c>
      <c r="H457" s="196">
        <f>IF(VLOOKUP(J457,'HOURLY RATES'!B$116:C$124,2,0)=0,$J$3,VLOOKUP(J457,'HOURLY RATES'!B$116:C$124,2,0))</f>
        <v>0.05</v>
      </c>
      <c r="I457" s="251">
        <f t="shared" ref="I457:I462" si="378">(G457*(1+H457))</f>
        <v>8.5470000000000006</v>
      </c>
      <c r="J457" s="183" t="s">
        <v>19</v>
      </c>
      <c r="K457" s="368">
        <v>5.5E-2</v>
      </c>
      <c r="L457" s="369">
        <f t="shared" ref="L457:L462" si="379">K457*I457</f>
        <v>0.47008500000000003</v>
      </c>
      <c r="M457" s="185">
        <f>IF(VLOOKUP(E457,'HOURLY RATES'!C$6:D$105,2,0)=0,$E$3,VLOOKUP(E457,'HOURLY RATES'!C$6:D$105,2,0))</f>
        <v>21.16197</v>
      </c>
      <c r="N457" s="197">
        <f t="shared" ref="N457:N462" si="380">M457*L457</f>
        <v>9.9479246674500015</v>
      </c>
      <c r="O457" s="296">
        <v>1.0920000000000001</v>
      </c>
      <c r="P457" s="188">
        <f t="shared" ref="P457:P462" si="381">O457*I457</f>
        <v>9.3333240000000011</v>
      </c>
      <c r="Q457" s="189">
        <f t="shared" ref="Q457:Q462" si="382">P457+N457</f>
        <v>19.281248667450001</v>
      </c>
      <c r="R457" s="190"/>
      <c r="X457" s="212"/>
    </row>
    <row r="458" spans="1:24" s="12" customFormat="1" ht="20.100000000000001" customHeight="1" x14ac:dyDescent="0.2">
      <c r="A458" s="298">
        <f>IF(J458&lt;&gt;"",1+MAX($A$18:A457),"")</f>
        <v>285</v>
      </c>
      <c r="B458" s="299" t="s">
        <v>427</v>
      </c>
      <c r="C458" s="299" t="s">
        <v>470</v>
      </c>
      <c r="D458" s="208" t="s">
        <v>21</v>
      </c>
      <c r="E458" s="302" t="s">
        <v>63</v>
      </c>
      <c r="F458" s="317" t="s">
        <v>466</v>
      </c>
      <c r="G458" s="288">
        <f>G456</f>
        <v>4.07</v>
      </c>
      <c r="H458" s="196">
        <f>IF(VLOOKUP(J458,'HOURLY RATES'!B$116:C$124,2,0)=0,$J$3,VLOOKUP(J458,'HOURLY RATES'!B$116:C$124,2,0))</f>
        <v>0.05</v>
      </c>
      <c r="I458" s="251">
        <f t="shared" si="378"/>
        <v>4.2735000000000003</v>
      </c>
      <c r="J458" s="183" t="s">
        <v>19</v>
      </c>
      <c r="K458" s="368">
        <v>5.5E-2</v>
      </c>
      <c r="L458" s="369">
        <f t="shared" si="379"/>
        <v>0.23504250000000002</v>
      </c>
      <c r="M458" s="185">
        <f>IF(VLOOKUP(E458,'HOURLY RATES'!C$6:D$105,2,0)=0,$E$3,VLOOKUP(E458,'HOURLY RATES'!C$6:D$105,2,0))</f>
        <v>21.16197</v>
      </c>
      <c r="N458" s="197">
        <f t="shared" si="380"/>
        <v>4.9739623337250007</v>
      </c>
      <c r="O458" s="296">
        <v>1.21</v>
      </c>
      <c r="P458" s="188">
        <f t="shared" si="381"/>
        <v>5.1709350000000001</v>
      </c>
      <c r="Q458" s="189">
        <f t="shared" si="382"/>
        <v>10.144897333725002</v>
      </c>
      <c r="R458" s="190"/>
      <c r="X458" s="212"/>
    </row>
    <row r="459" spans="1:24" s="12" customFormat="1" ht="20.100000000000001" customHeight="1" x14ac:dyDescent="0.2">
      <c r="A459" s="298">
        <f>IF(J459&lt;&gt;"",1+MAX($A$18:A458),"")</f>
        <v>286</v>
      </c>
      <c r="B459" s="299" t="s">
        <v>427</v>
      </c>
      <c r="C459" s="299" t="s">
        <v>470</v>
      </c>
      <c r="D459" s="208" t="s">
        <v>21</v>
      </c>
      <c r="E459" s="302" t="s">
        <v>63</v>
      </c>
      <c r="F459" s="317" t="s">
        <v>455</v>
      </c>
      <c r="G459" s="288">
        <f>G456/1.33</f>
        <v>3.0601503759398496</v>
      </c>
      <c r="H459" s="196">
        <f>IF(VLOOKUP(J459,'HOURLY RATES'!B$116:C$124,2,0)=0,$J$3,VLOOKUP(J459,'HOURLY RATES'!B$116:C$124,2,0))</f>
        <v>0</v>
      </c>
      <c r="I459" s="251">
        <f t="shared" si="378"/>
        <v>3.0601503759398496</v>
      </c>
      <c r="J459" s="183" t="s">
        <v>16</v>
      </c>
      <c r="K459" s="368">
        <f>0.055*10</f>
        <v>0.55000000000000004</v>
      </c>
      <c r="L459" s="369">
        <f t="shared" si="379"/>
        <v>1.6830827067669174</v>
      </c>
      <c r="M459" s="185">
        <f>IF(VLOOKUP(E459,'HOURLY RATES'!C$6:D$105,2,0)=0,$E$3,VLOOKUP(E459,'HOURLY RATES'!C$6:D$105,2,0))</f>
        <v>21.16197</v>
      </c>
      <c r="N459" s="197">
        <f t="shared" si="380"/>
        <v>35.6173457481203</v>
      </c>
      <c r="O459" s="296">
        <f>1.092*10</f>
        <v>10.920000000000002</v>
      </c>
      <c r="P459" s="188">
        <f t="shared" si="381"/>
        <v>33.416842105263164</v>
      </c>
      <c r="Q459" s="189">
        <f t="shared" si="382"/>
        <v>69.034187853383457</v>
      </c>
      <c r="R459" s="190"/>
      <c r="X459" s="212"/>
    </row>
    <row r="460" spans="1:24" s="12" customFormat="1" ht="20.100000000000001" customHeight="1" x14ac:dyDescent="0.2">
      <c r="A460" s="298">
        <f>IF(J460&lt;&gt;"",1+MAX($A$18:A459),"")</f>
        <v>287</v>
      </c>
      <c r="B460" s="299" t="s">
        <v>427</v>
      </c>
      <c r="C460" s="299" t="s">
        <v>470</v>
      </c>
      <c r="D460" s="208" t="s">
        <v>21</v>
      </c>
      <c r="E460" s="192" t="s">
        <v>124</v>
      </c>
      <c r="F460" s="317" t="s">
        <v>461</v>
      </c>
      <c r="G460" s="288">
        <f>G456*9.83/32</f>
        <v>1.2502531250000002</v>
      </c>
      <c r="H460" s="196">
        <f>IF(VLOOKUP(J460,'HOURLY RATES'!B$116:C$124,2,0)=0,$J$3,VLOOKUP(J460,'HOURLY RATES'!B$116:C$124,2,0))</f>
        <v>0</v>
      </c>
      <c r="I460" s="251">
        <f t="shared" si="378"/>
        <v>1.2502531250000002</v>
      </c>
      <c r="J460" s="183" t="s">
        <v>16</v>
      </c>
      <c r="K460" s="368">
        <f>0.017*32</f>
        <v>0.54400000000000004</v>
      </c>
      <c r="L460" s="369">
        <f t="shared" si="379"/>
        <v>0.68013770000000018</v>
      </c>
      <c r="M460" s="185">
        <f>IF(VLOOKUP(E460,'HOURLY RATES'!C$6:D$105,2,0)=0,$E$3,VLOOKUP(E460,'HOURLY RATES'!C$6:D$105,2,0))</f>
        <v>21.16197</v>
      </c>
      <c r="N460" s="197">
        <f t="shared" si="380"/>
        <v>14.393053603269005</v>
      </c>
      <c r="O460" s="296">
        <v>9.56</v>
      </c>
      <c r="P460" s="188">
        <f t="shared" si="381"/>
        <v>11.952419875000002</v>
      </c>
      <c r="Q460" s="189">
        <f t="shared" si="382"/>
        <v>26.345473478269007</v>
      </c>
      <c r="R460" s="190"/>
      <c r="X460" s="212"/>
    </row>
    <row r="461" spans="1:24" s="12" customFormat="1" ht="20.100000000000001" customHeight="1" x14ac:dyDescent="0.2">
      <c r="A461" s="298">
        <f>IF(J461&lt;&gt;"",1+MAX($A$18:A460),"")</f>
        <v>288</v>
      </c>
      <c r="B461" s="299" t="s">
        <v>427</v>
      </c>
      <c r="C461" s="299" t="s">
        <v>470</v>
      </c>
      <c r="D461" s="208" t="s">
        <v>21</v>
      </c>
      <c r="E461" s="192" t="s">
        <v>124</v>
      </c>
      <c r="F461" s="317" t="s">
        <v>929</v>
      </c>
      <c r="G461" s="288">
        <f>G456*9.83/32</f>
        <v>1.2502531250000002</v>
      </c>
      <c r="H461" s="196">
        <f>IF(VLOOKUP(J461,'HOURLY RATES'!B$116:C$124,2,0)=0,$J$3,VLOOKUP(J461,'HOURLY RATES'!B$116:C$124,2,0))</f>
        <v>0</v>
      </c>
      <c r="I461" s="251">
        <f t="shared" si="378"/>
        <v>1.2502531250000002</v>
      </c>
      <c r="J461" s="183" t="s">
        <v>16</v>
      </c>
      <c r="K461" s="292">
        <f>0.022*32</f>
        <v>0.70399999999999996</v>
      </c>
      <c r="L461" s="369">
        <f t="shared" si="379"/>
        <v>0.88017820000000013</v>
      </c>
      <c r="M461" s="185">
        <f>IF(VLOOKUP(E461,'HOURLY RATES'!C$6:D$105,2,0)=0,$E$3,VLOOKUP(E461,'HOURLY RATES'!C$6:D$105,2,0))</f>
        <v>21.16197</v>
      </c>
      <c r="N461" s="197">
        <f t="shared" si="380"/>
        <v>18.626304663054004</v>
      </c>
      <c r="O461" s="296">
        <v>24.99</v>
      </c>
      <c r="P461" s="188">
        <f t="shared" si="381"/>
        <v>31.243825593750003</v>
      </c>
      <c r="Q461" s="189">
        <f t="shared" si="382"/>
        <v>49.870130256804003</v>
      </c>
      <c r="R461" s="190"/>
      <c r="X461" s="212"/>
    </row>
    <row r="462" spans="1:24" s="12" customFormat="1" ht="20.100000000000001" customHeight="1" x14ac:dyDescent="0.2">
      <c r="A462" s="298">
        <f>IF(J462&lt;&gt;"",1+MAX($A$18:A461),"")</f>
        <v>289</v>
      </c>
      <c r="B462" s="299" t="s">
        <v>427</v>
      </c>
      <c r="C462" s="299" t="s">
        <v>470</v>
      </c>
      <c r="D462" s="208" t="s">
        <v>21</v>
      </c>
      <c r="E462" s="192" t="s">
        <v>220</v>
      </c>
      <c r="F462" s="317" t="s">
        <v>452</v>
      </c>
      <c r="G462" s="288">
        <f>G456*4</f>
        <v>16.28</v>
      </c>
      <c r="H462" s="196">
        <f>IF(VLOOKUP(J462,'HOURLY RATES'!B$116:C$124,2,0)=0,$J$3,VLOOKUP(J462,'HOURLY RATES'!B$116:C$124,2,0))</f>
        <v>0.05</v>
      </c>
      <c r="I462" s="251">
        <f t="shared" si="378"/>
        <v>17.094000000000001</v>
      </c>
      <c r="J462" s="183" t="s">
        <v>19</v>
      </c>
      <c r="K462" s="368">
        <v>1.6E-2</v>
      </c>
      <c r="L462" s="369">
        <f t="shared" si="379"/>
        <v>0.27350400000000002</v>
      </c>
      <c r="M462" s="185">
        <f>IF(VLOOKUP(E462,'HOURLY RATES'!C$6:D$105,2,0)=0,$E$3,VLOOKUP(E462,'HOURLY RATES'!C$6:D$105,2,0))</f>
        <v>23.2578</v>
      </c>
      <c r="N462" s="197">
        <f t="shared" si="380"/>
        <v>6.3611013312000004</v>
      </c>
      <c r="O462" s="296">
        <v>0.05</v>
      </c>
      <c r="P462" s="188">
        <f t="shared" si="381"/>
        <v>0.85470000000000013</v>
      </c>
      <c r="Q462" s="189">
        <f t="shared" si="382"/>
        <v>7.2158013312000007</v>
      </c>
      <c r="R462" s="190"/>
      <c r="X462" s="212"/>
    </row>
    <row r="463" spans="1:24" s="12" customFormat="1" ht="20.100000000000001" customHeight="1" x14ac:dyDescent="0.2">
      <c r="A463" s="298" t="str">
        <f>IF(J463&lt;&gt;"",1+MAX($A$18:A462),"")</f>
        <v/>
      </c>
      <c r="B463" s="299"/>
      <c r="C463" s="299"/>
      <c r="D463" s="208"/>
      <c r="E463" s="302"/>
      <c r="F463" s="317"/>
      <c r="G463" s="288"/>
      <c r="H463" s="196"/>
      <c r="I463" s="251"/>
      <c r="J463" s="183"/>
      <c r="K463" s="368"/>
      <c r="L463" s="210"/>
      <c r="M463" s="185"/>
      <c r="N463" s="197"/>
      <c r="O463" s="296"/>
      <c r="P463" s="188"/>
      <c r="Q463" s="189"/>
      <c r="R463" s="190"/>
      <c r="X463" s="212"/>
    </row>
    <row r="464" spans="1:24" s="12" customFormat="1" ht="20.100000000000001" customHeight="1" x14ac:dyDescent="0.2">
      <c r="A464" s="298" t="str">
        <f>IF(J464&lt;&gt;"",1+MAX($A$18:A463),"")</f>
        <v/>
      </c>
      <c r="B464" s="299"/>
      <c r="C464" s="299"/>
      <c r="D464" s="208"/>
      <c r="E464" s="302"/>
      <c r="F464" s="313" t="s">
        <v>442</v>
      </c>
      <c r="G464" s="319">
        <v>30.64</v>
      </c>
      <c r="H464" s="196"/>
      <c r="I464" s="251"/>
      <c r="J464" s="183"/>
      <c r="K464" s="368"/>
      <c r="L464" s="210"/>
      <c r="M464" s="185"/>
      <c r="N464" s="197"/>
      <c r="O464" s="296"/>
      <c r="P464" s="188"/>
      <c r="Q464" s="189"/>
      <c r="R464" s="190"/>
      <c r="X464" s="212"/>
    </row>
    <row r="465" spans="1:24" s="12" customFormat="1" ht="20.100000000000001" customHeight="1" x14ac:dyDescent="0.25">
      <c r="A465" s="298">
        <f>IF(J465&lt;&gt;"",1+MAX($A$18:A464),"")</f>
        <v>290</v>
      </c>
      <c r="B465" s="299" t="s">
        <v>427</v>
      </c>
      <c r="C465" s="299" t="s">
        <v>471</v>
      </c>
      <c r="D465" s="208" t="s">
        <v>21</v>
      </c>
      <c r="E465" s="302" t="s">
        <v>63</v>
      </c>
      <c r="F465" s="330" t="s">
        <v>459</v>
      </c>
      <c r="G465" s="288">
        <f>G464*2</f>
        <v>61.28</v>
      </c>
      <c r="H465" s="196">
        <f>IF(VLOOKUP(J465,'HOURLY RATES'!B$116:C$124,2,0)=0,$J$3,VLOOKUP(J465,'HOURLY RATES'!B$116:C$124,2,0))</f>
        <v>0.05</v>
      </c>
      <c r="I465" s="251">
        <f t="shared" ref="I465:I468" si="383">(G465*(1+H465))</f>
        <v>64.344000000000008</v>
      </c>
      <c r="J465" s="183" t="s">
        <v>19</v>
      </c>
      <c r="K465" s="368">
        <v>5.3999999999999999E-2</v>
      </c>
      <c r="L465" s="369">
        <f t="shared" ref="L465:L468" si="384">K465*I465</f>
        <v>3.4745760000000003</v>
      </c>
      <c r="M465" s="185">
        <f>IF(VLOOKUP(E465,'HOURLY RATES'!C$6:D$105,2,0)=0,$E$3,VLOOKUP(E465,'HOURLY RATES'!C$6:D$105,2,0))</f>
        <v>21.16197</v>
      </c>
      <c r="N465" s="197">
        <f t="shared" ref="N465:N468" si="385">M465*L465</f>
        <v>73.528873074720011</v>
      </c>
      <c r="O465" s="296">
        <v>1.21</v>
      </c>
      <c r="P465" s="188">
        <f t="shared" ref="P465:P468" si="386">O465*I465</f>
        <v>77.856240000000014</v>
      </c>
      <c r="Q465" s="189">
        <f t="shared" ref="Q465:Q468" si="387">P465+N465</f>
        <v>151.38511307472004</v>
      </c>
      <c r="R465" s="190"/>
      <c r="X465" s="212"/>
    </row>
    <row r="466" spans="1:24" s="12" customFormat="1" ht="20.100000000000001" customHeight="1" x14ac:dyDescent="0.25">
      <c r="A466" s="298">
        <f>IF(J466&lt;&gt;"",1+MAX($A$18:A465),"")</f>
        <v>291</v>
      </c>
      <c r="B466" s="299" t="s">
        <v>427</v>
      </c>
      <c r="C466" s="299" t="s">
        <v>471</v>
      </c>
      <c r="D466" s="208" t="s">
        <v>21</v>
      </c>
      <c r="E466" s="302" t="s">
        <v>63</v>
      </c>
      <c r="F466" s="330" t="s">
        <v>463</v>
      </c>
      <c r="G466" s="288">
        <f>G464</f>
        <v>30.64</v>
      </c>
      <c r="H466" s="196">
        <f>IF(VLOOKUP(J466,'HOURLY RATES'!B$116:C$124,2,0)=0,$J$3,VLOOKUP(J466,'HOURLY RATES'!B$116:C$124,2,0))</f>
        <v>0.05</v>
      </c>
      <c r="I466" s="251">
        <f t="shared" si="383"/>
        <v>32.172000000000004</v>
      </c>
      <c r="J466" s="183" t="s">
        <v>19</v>
      </c>
      <c r="K466" s="368">
        <v>5.3999999999999999E-2</v>
      </c>
      <c r="L466" s="369">
        <f t="shared" si="384"/>
        <v>1.7372880000000002</v>
      </c>
      <c r="M466" s="185">
        <f>IF(VLOOKUP(E466,'HOURLY RATES'!C$6:D$105,2,0)=0,$E$3,VLOOKUP(E466,'HOURLY RATES'!C$6:D$105,2,0))</f>
        <v>21.16197</v>
      </c>
      <c r="N466" s="197">
        <f t="shared" si="385"/>
        <v>36.764436537360005</v>
      </c>
      <c r="O466" s="296">
        <v>1.44</v>
      </c>
      <c r="P466" s="188">
        <f t="shared" si="386"/>
        <v>46.327680000000001</v>
      </c>
      <c r="Q466" s="189">
        <f t="shared" si="387"/>
        <v>83.092116537359999</v>
      </c>
      <c r="R466" s="190"/>
      <c r="X466" s="212"/>
    </row>
    <row r="467" spans="1:24" s="12" customFormat="1" ht="20.100000000000001" customHeight="1" x14ac:dyDescent="0.25">
      <c r="A467" s="298">
        <f>IF(J467&lt;&gt;"",1+MAX($A$18:A466),"")</f>
        <v>292</v>
      </c>
      <c r="B467" s="299" t="s">
        <v>427</v>
      </c>
      <c r="C467" s="299" t="s">
        <v>471</v>
      </c>
      <c r="D467" s="208" t="s">
        <v>21</v>
      </c>
      <c r="E467" s="302" t="s">
        <v>63</v>
      </c>
      <c r="F467" s="330" t="s">
        <v>460</v>
      </c>
      <c r="G467" s="288">
        <f>G464/1.33</f>
        <v>23.037593984962406</v>
      </c>
      <c r="H467" s="196">
        <f>IF(VLOOKUP(J467,'HOURLY RATES'!B$116:C$124,2,0)=0,$J$3,VLOOKUP(J467,'HOURLY RATES'!B$116:C$124,2,0))</f>
        <v>0</v>
      </c>
      <c r="I467" s="251">
        <f t="shared" si="383"/>
        <v>23.037593984962406</v>
      </c>
      <c r="J467" s="183" t="s">
        <v>16</v>
      </c>
      <c r="K467" s="368">
        <f>0.054*8</f>
        <v>0.432</v>
      </c>
      <c r="L467" s="369">
        <f t="shared" si="384"/>
        <v>9.9522406015037586</v>
      </c>
      <c r="M467" s="185">
        <f>IF(VLOOKUP(E467,'HOURLY RATES'!C$6:D$105,2,0)=0,$E$3,VLOOKUP(E467,'HOURLY RATES'!C$6:D$105,2,0))</f>
        <v>21.16197</v>
      </c>
      <c r="N467" s="197">
        <f t="shared" si="385"/>
        <v>210.60901704180449</v>
      </c>
      <c r="O467" s="296">
        <f>1.21*8</f>
        <v>9.68</v>
      </c>
      <c r="P467" s="188">
        <f t="shared" si="386"/>
        <v>223.0039097744361</v>
      </c>
      <c r="Q467" s="189">
        <f t="shared" si="387"/>
        <v>433.61292681624059</v>
      </c>
      <c r="R467" s="190"/>
      <c r="X467" s="212"/>
    </row>
    <row r="468" spans="1:24" s="12" customFormat="1" ht="20.100000000000001" customHeight="1" x14ac:dyDescent="0.25">
      <c r="A468" s="298">
        <f>IF(J468&lt;&gt;"",1+MAX($A$18:A467),"")</f>
        <v>293</v>
      </c>
      <c r="B468" s="299" t="s">
        <v>427</v>
      </c>
      <c r="C468" s="299" t="s">
        <v>471</v>
      </c>
      <c r="D468" s="208" t="s">
        <v>21</v>
      </c>
      <c r="E468" s="302" t="s">
        <v>37</v>
      </c>
      <c r="F468" s="330" t="s">
        <v>464</v>
      </c>
      <c r="G468" s="288">
        <f>G464*2.5*2/32</f>
        <v>4.7874999999999996</v>
      </c>
      <c r="H468" s="196">
        <f>IF(VLOOKUP(J468,'HOURLY RATES'!B$116:C$124,2,0)=0,$J$3,VLOOKUP(J468,'HOURLY RATES'!B$116:C$124,2,0))</f>
        <v>0</v>
      </c>
      <c r="I468" s="251">
        <f t="shared" si="383"/>
        <v>4.7874999999999996</v>
      </c>
      <c r="J468" s="183" t="s">
        <v>16</v>
      </c>
      <c r="K468" s="368">
        <f>32*0.02</f>
        <v>0.64</v>
      </c>
      <c r="L468" s="369">
        <f t="shared" si="384"/>
        <v>3.0640000000000001</v>
      </c>
      <c r="M468" s="185">
        <f>IF(VLOOKUP(E468,'HOURLY RATES'!C$6:D$105,2,0)=0,$E$3,VLOOKUP(E468,'HOURLY RATES'!C$6:D$105,2,0))</f>
        <v>21.16197</v>
      </c>
      <c r="N468" s="197">
        <f t="shared" si="385"/>
        <v>64.840276079999995</v>
      </c>
      <c r="O468" s="296">
        <v>36.5</v>
      </c>
      <c r="P468" s="188">
        <f t="shared" si="386"/>
        <v>174.74374999999998</v>
      </c>
      <c r="Q468" s="189">
        <f t="shared" si="387"/>
        <v>239.58402607999997</v>
      </c>
      <c r="R468" s="190"/>
      <c r="X468" s="212"/>
    </row>
    <row r="469" spans="1:24" s="12" customFormat="1" ht="20.100000000000001" customHeight="1" x14ac:dyDescent="0.25">
      <c r="A469" s="298" t="str">
        <f>IF(J469&lt;&gt;"",1+MAX($A$18:A468),"")</f>
        <v/>
      </c>
      <c r="B469" s="299"/>
      <c r="C469" s="299"/>
      <c r="D469" s="208"/>
      <c r="E469" s="302"/>
      <c r="F469" s="330"/>
      <c r="G469" s="288"/>
      <c r="H469" s="196"/>
      <c r="I469" s="251"/>
      <c r="J469" s="183"/>
      <c r="K469" s="368"/>
      <c r="L469" s="210"/>
      <c r="M469" s="185"/>
      <c r="N469" s="197"/>
      <c r="O469" s="296"/>
      <c r="P469" s="188"/>
      <c r="Q469" s="189"/>
      <c r="R469" s="190"/>
      <c r="X469" s="212"/>
    </row>
    <row r="470" spans="1:24" s="12" customFormat="1" ht="20.100000000000001" customHeight="1" x14ac:dyDescent="0.2">
      <c r="A470" s="298" t="str">
        <f>IF(J470&lt;&gt;"",1+MAX($A$18:A469),"")</f>
        <v/>
      </c>
      <c r="B470" s="299"/>
      <c r="C470" s="299"/>
      <c r="D470" s="208"/>
      <c r="E470" s="302"/>
      <c r="F470" s="313" t="s">
        <v>443</v>
      </c>
      <c r="G470" s="319">
        <v>15.23</v>
      </c>
      <c r="H470" s="196"/>
      <c r="I470" s="251"/>
      <c r="J470" s="183"/>
      <c r="K470" s="368"/>
      <c r="L470" s="210"/>
      <c r="M470" s="185"/>
      <c r="N470" s="197"/>
      <c r="O470" s="296"/>
      <c r="P470" s="188"/>
      <c r="Q470" s="189"/>
      <c r="R470" s="190"/>
      <c r="X470" s="212"/>
    </row>
    <row r="471" spans="1:24" s="12" customFormat="1" ht="20.100000000000001" customHeight="1" x14ac:dyDescent="0.25">
      <c r="A471" s="298">
        <f>IF(J471&lt;&gt;"",1+MAX($A$18:A470),"")</f>
        <v>294</v>
      </c>
      <c r="B471" s="299" t="s">
        <v>427</v>
      </c>
      <c r="C471" s="299" t="s">
        <v>471</v>
      </c>
      <c r="D471" s="208" t="s">
        <v>21</v>
      </c>
      <c r="E471" s="302" t="s">
        <v>63</v>
      </c>
      <c r="F471" s="330" t="s">
        <v>459</v>
      </c>
      <c r="G471" s="288">
        <f>G470*2</f>
        <v>30.46</v>
      </c>
      <c r="H471" s="196">
        <f>IF(VLOOKUP(J471,'HOURLY RATES'!B$116:C$124,2,0)=0,$J$3,VLOOKUP(J471,'HOURLY RATES'!B$116:C$124,2,0))</f>
        <v>0.05</v>
      </c>
      <c r="I471" s="251">
        <f t="shared" ref="I471:I474" si="388">(G471*(1+H471))</f>
        <v>31.983000000000001</v>
      </c>
      <c r="J471" s="183" t="s">
        <v>19</v>
      </c>
      <c r="K471" s="368">
        <v>5.3999999999999999E-2</v>
      </c>
      <c r="L471" s="369">
        <f t="shared" ref="L471:L474" si="389">K471*I471</f>
        <v>1.727082</v>
      </c>
      <c r="M471" s="185">
        <f>IF(VLOOKUP(E471,'HOURLY RATES'!C$6:D$105,2,0)=0,$E$3,VLOOKUP(E471,'HOURLY RATES'!C$6:D$105,2,0))</f>
        <v>21.16197</v>
      </c>
      <c r="N471" s="197">
        <f t="shared" ref="N471:N474" si="390">M471*L471</f>
        <v>36.548457471539997</v>
      </c>
      <c r="O471" s="296">
        <v>1.21</v>
      </c>
      <c r="P471" s="188">
        <f t="shared" ref="P471:P474" si="391">O471*I471</f>
        <v>38.69943</v>
      </c>
      <c r="Q471" s="189">
        <f t="shared" ref="Q471:Q474" si="392">P471+N471</f>
        <v>75.247887471539997</v>
      </c>
      <c r="R471" s="190"/>
      <c r="X471" s="212"/>
    </row>
    <row r="472" spans="1:24" s="12" customFormat="1" ht="20.100000000000001" customHeight="1" x14ac:dyDescent="0.25">
      <c r="A472" s="298">
        <f>IF(J472&lt;&gt;"",1+MAX($A$18:A471),"")</f>
        <v>295</v>
      </c>
      <c r="B472" s="299" t="s">
        <v>427</v>
      </c>
      <c r="C472" s="299" t="s">
        <v>471</v>
      </c>
      <c r="D472" s="208" t="s">
        <v>21</v>
      </c>
      <c r="E472" s="302" t="s">
        <v>63</v>
      </c>
      <c r="F472" s="330" t="s">
        <v>463</v>
      </c>
      <c r="G472" s="288">
        <f>G470</f>
        <v>15.23</v>
      </c>
      <c r="H472" s="196">
        <f>IF(VLOOKUP(J472,'HOURLY RATES'!B$116:C$124,2,0)=0,$J$3,VLOOKUP(J472,'HOURLY RATES'!B$116:C$124,2,0))</f>
        <v>0.05</v>
      </c>
      <c r="I472" s="251">
        <f t="shared" si="388"/>
        <v>15.9915</v>
      </c>
      <c r="J472" s="183" t="s">
        <v>19</v>
      </c>
      <c r="K472" s="368">
        <v>5.3999999999999999E-2</v>
      </c>
      <c r="L472" s="369">
        <f t="shared" si="389"/>
        <v>0.863541</v>
      </c>
      <c r="M472" s="185">
        <f>IF(VLOOKUP(E472,'HOURLY RATES'!C$6:D$105,2,0)=0,$E$3,VLOOKUP(E472,'HOURLY RATES'!C$6:D$105,2,0))</f>
        <v>21.16197</v>
      </c>
      <c r="N472" s="197">
        <f t="shared" si="390"/>
        <v>18.274228735769999</v>
      </c>
      <c r="O472" s="296">
        <v>1.44</v>
      </c>
      <c r="P472" s="188">
        <f t="shared" si="391"/>
        <v>23.027760000000001</v>
      </c>
      <c r="Q472" s="189">
        <f t="shared" si="392"/>
        <v>41.301988735769996</v>
      </c>
      <c r="R472" s="190"/>
      <c r="X472" s="212"/>
    </row>
    <row r="473" spans="1:24" s="12" customFormat="1" ht="20.100000000000001" customHeight="1" x14ac:dyDescent="0.25">
      <c r="A473" s="298">
        <f>IF(J473&lt;&gt;"",1+MAX($A$18:A472),"")</f>
        <v>296</v>
      </c>
      <c r="B473" s="299" t="s">
        <v>427</v>
      </c>
      <c r="C473" s="299" t="s">
        <v>471</v>
      </c>
      <c r="D473" s="208" t="s">
        <v>21</v>
      </c>
      <c r="E473" s="302" t="s">
        <v>63</v>
      </c>
      <c r="F473" s="330" t="s">
        <v>460</v>
      </c>
      <c r="G473" s="288">
        <f>G470/1.33</f>
        <v>11.451127819548871</v>
      </c>
      <c r="H473" s="196">
        <f>IF(VLOOKUP(J473,'HOURLY RATES'!B$116:C$124,2,0)=0,$J$3,VLOOKUP(J473,'HOURLY RATES'!B$116:C$124,2,0))</f>
        <v>0</v>
      </c>
      <c r="I473" s="251">
        <f t="shared" si="388"/>
        <v>11.451127819548871</v>
      </c>
      <c r="J473" s="183" t="s">
        <v>16</v>
      </c>
      <c r="K473" s="368">
        <f>0.054*8</f>
        <v>0.432</v>
      </c>
      <c r="L473" s="369">
        <f t="shared" si="389"/>
        <v>4.946887218045112</v>
      </c>
      <c r="M473" s="185">
        <f>IF(VLOOKUP(E473,'HOURLY RATES'!C$6:D$105,2,0)=0,$E$3,VLOOKUP(E473,'HOURLY RATES'!C$6:D$105,2,0))</f>
        <v>21.16197</v>
      </c>
      <c r="N473" s="197">
        <f t="shared" si="390"/>
        <v>104.68587890165412</v>
      </c>
      <c r="O473" s="296">
        <f>1.21*8</f>
        <v>9.68</v>
      </c>
      <c r="P473" s="188">
        <f t="shared" si="391"/>
        <v>110.84691729323306</v>
      </c>
      <c r="Q473" s="189">
        <f t="shared" si="392"/>
        <v>215.53279619488717</v>
      </c>
      <c r="R473" s="190"/>
      <c r="X473" s="212"/>
    </row>
    <row r="474" spans="1:24" s="12" customFormat="1" ht="20.100000000000001" customHeight="1" x14ac:dyDescent="0.25">
      <c r="A474" s="298">
        <f>IF(J474&lt;&gt;"",1+MAX($A$18:A473),"")</f>
        <v>297</v>
      </c>
      <c r="B474" s="299" t="s">
        <v>427</v>
      </c>
      <c r="C474" s="299" t="s">
        <v>471</v>
      </c>
      <c r="D474" s="208" t="s">
        <v>21</v>
      </c>
      <c r="E474" s="302" t="s">
        <v>37</v>
      </c>
      <c r="F474" s="330" t="s">
        <v>464</v>
      </c>
      <c r="G474" s="288">
        <f>G470*2*2/32</f>
        <v>1.9037500000000001</v>
      </c>
      <c r="H474" s="196">
        <f>IF(VLOOKUP(J474,'HOURLY RATES'!B$116:C$124,2,0)=0,$J$3,VLOOKUP(J474,'HOURLY RATES'!B$116:C$124,2,0))</f>
        <v>0</v>
      </c>
      <c r="I474" s="251">
        <f t="shared" si="388"/>
        <v>1.9037500000000001</v>
      </c>
      <c r="J474" s="183" t="s">
        <v>16</v>
      </c>
      <c r="K474" s="368">
        <f>32*0.02</f>
        <v>0.64</v>
      </c>
      <c r="L474" s="369">
        <f t="shared" si="389"/>
        <v>1.2184000000000001</v>
      </c>
      <c r="M474" s="185">
        <f>IF(VLOOKUP(E474,'HOURLY RATES'!C$6:D$105,2,0)=0,$E$3,VLOOKUP(E474,'HOURLY RATES'!C$6:D$105,2,0))</f>
        <v>21.16197</v>
      </c>
      <c r="N474" s="197">
        <f t="shared" si="390"/>
        <v>25.783744248000005</v>
      </c>
      <c r="O474" s="296">
        <v>36.5</v>
      </c>
      <c r="P474" s="188">
        <f t="shared" si="391"/>
        <v>69.486874999999998</v>
      </c>
      <c r="Q474" s="189">
        <f t="shared" si="392"/>
        <v>95.270619248000003</v>
      </c>
      <c r="R474" s="190"/>
      <c r="X474" s="212"/>
    </row>
    <row r="475" spans="1:24" s="12" customFormat="1" ht="20.100000000000001" customHeight="1" x14ac:dyDescent="0.25">
      <c r="A475" s="298" t="str">
        <f>IF(J475&lt;&gt;"",1+MAX($A$18:A474),"")</f>
        <v/>
      </c>
      <c r="B475" s="299"/>
      <c r="C475" s="299"/>
      <c r="D475" s="208"/>
      <c r="E475" s="302"/>
      <c r="F475" s="330"/>
      <c r="G475" s="288"/>
      <c r="H475" s="196"/>
      <c r="I475" s="251"/>
      <c r="J475" s="183"/>
      <c r="K475" s="368"/>
      <c r="L475" s="210"/>
      <c r="M475" s="185"/>
      <c r="N475" s="197"/>
      <c r="O475" s="296"/>
      <c r="P475" s="188"/>
      <c r="Q475" s="189"/>
      <c r="R475" s="190"/>
      <c r="X475" s="212"/>
    </row>
    <row r="476" spans="1:24" s="12" customFormat="1" ht="20.100000000000001" customHeight="1" x14ac:dyDescent="0.2">
      <c r="A476" s="298" t="str">
        <f>IF(J476&lt;&gt;"",1+MAX($A$18:A475),"")</f>
        <v/>
      </c>
      <c r="B476" s="299"/>
      <c r="C476" s="299"/>
      <c r="D476" s="208"/>
      <c r="E476" s="302"/>
      <c r="F476" s="313" t="s">
        <v>465</v>
      </c>
      <c r="G476" s="319">
        <v>39.51</v>
      </c>
      <c r="H476" s="196"/>
      <c r="I476" s="251"/>
      <c r="J476" s="183"/>
      <c r="K476" s="368"/>
      <c r="L476" s="210"/>
      <c r="M476" s="185"/>
      <c r="N476" s="197"/>
      <c r="O476" s="296"/>
      <c r="P476" s="188"/>
      <c r="Q476" s="189"/>
      <c r="R476" s="190"/>
      <c r="X476" s="212"/>
    </row>
    <row r="477" spans="1:24" s="12" customFormat="1" ht="20.100000000000001" customHeight="1" x14ac:dyDescent="0.25">
      <c r="A477" s="298">
        <f>IF(J477&lt;&gt;"",1+MAX($A$18:A476),"")</f>
        <v>298</v>
      </c>
      <c r="B477" s="299" t="s">
        <v>427</v>
      </c>
      <c r="C477" s="299" t="s">
        <v>471</v>
      </c>
      <c r="D477" s="208" t="s">
        <v>21</v>
      </c>
      <c r="E477" s="302" t="s">
        <v>63</v>
      </c>
      <c r="F477" s="330" t="s">
        <v>459</v>
      </c>
      <c r="G477" s="288">
        <f>G476</f>
        <v>39.51</v>
      </c>
      <c r="H477" s="196">
        <f>IF(VLOOKUP(J477,'HOURLY RATES'!B$116:C$124,2,0)=0,$J$3,VLOOKUP(J477,'HOURLY RATES'!B$116:C$124,2,0))</f>
        <v>0.05</v>
      </c>
      <c r="I477" s="251">
        <f t="shared" ref="I477:I480" si="393">(G477*(1+H477))</f>
        <v>41.485500000000002</v>
      </c>
      <c r="J477" s="183" t="s">
        <v>19</v>
      </c>
      <c r="K477" s="368">
        <v>5.3999999999999999E-2</v>
      </c>
      <c r="L477" s="369">
        <f t="shared" ref="L477:L480" si="394">K477*I477</f>
        <v>2.2402169999999999</v>
      </c>
      <c r="M477" s="185">
        <f>IF(VLOOKUP(E477,'HOURLY RATES'!C$6:D$105,2,0)=0,$E$3,VLOOKUP(E477,'HOURLY RATES'!C$6:D$105,2,0))</f>
        <v>21.16197</v>
      </c>
      <c r="N477" s="197">
        <f t="shared" ref="N477:N480" si="395">M477*L477</f>
        <v>47.407404947490001</v>
      </c>
      <c r="O477" s="296">
        <v>1.21</v>
      </c>
      <c r="P477" s="188">
        <f t="shared" ref="P477:P480" si="396">O477*I477</f>
        <v>50.197454999999998</v>
      </c>
      <c r="Q477" s="189">
        <f t="shared" ref="Q477:Q480" si="397">P477+N477</f>
        <v>97.604859947489999</v>
      </c>
      <c r="R477" s="190"/>
      <c r="X477" s="212"/>
    </row>
    <row r="478" spans="1:24" s="12" customFormat="1" ht="20.100000000000001" customHeight="1" x14ac:dyDescent="0.25">
      <c r="A478" s="298">
        <f>IF(J478&lt;&gt;"",1+MAX($A$18:A477),"")</f>
        <v>299</v>
      </c>
      <c r="B478" s="299" t="s">
        <v>427</v>
      </c>
      <c r="C478" s="299" t="s">
        <v>471</v>
      </c>
      <c r="D478" s="208" t="s">
        <v>21</v>
      </c>
      <c r="E478" s="302" t="s">
        <v>63</v>
      </c>
      <c r="F478" s="330" t="s">
        <v>463</v>
      </c>
      <c r="G478" s="288">
        <f>G476</f>
        <v>39.51</v>
      </c>
      <c r="H478" s="196">
        <f>IF(VLOOKUP(J478,'HOURLY RATES'!B$116:C$124,2,0)=0,$J$3,VLOOKUP(J478,'HOURLY RATES'!B$116:C$124,2,0))</f>
        <v>0.05</v>
      </c>
      <c r="I478" s="251">
        <f t="shared" si="393"/>
        <v>41.485500000000002</v>
      </c>
      <c r="J478" s="183" t="s">
        <v>19</v>
      </c>
      <c r="K478" s="368">
        <v>5.3999999999999999E-2</v>
      </c>
      <c r="L478" s="369">
        <f t="shared" si="394"/>
        <v>2.2402169999999999</v>
      </c>
      <c r="M478" s="185">
        <f>IF(VLOOKUP(E478,'HOURLY RATES'!C$6:D$105,2,0)=0,$E$3,VLOOKUP(E478,'HOURLY RATES'!C$6:D$105,2,0))</f>
        <v>21.16197</v>
      </c>
      <c r="N478" s="197">
        <f t="shared" si="395"/>
        <v>47.407404947490001</v>
      </c>
      <c r="O478" s="296">
        <v>1.44</v>
      </c>
      <c r="P478" s="188">
        <f t="shared" si="396"/>
        <v>59.73912</v>
      </c>
      <c r="Q478" s="189">
        <f t="shared" si="397"/>
        <v>107.14652494749001</v>
      </c>
      <c r="R478" s="190"/>
      <c r="X478" s="212"/>
    </row>
    <row r="479" spans="1:24" s="12" customFormat="1" ht="20.100000000000001" customHeight="1" x14ac:dyDescent="0.25">
      <c r="A479" s="298">
        <f>IF(J479&lt;&gt;"",1+MAX($A$18:A478),"")</f>
        <v>300</v>
      </c>
      <c r="B479" s="299" t="s">
        <v>427</v>
      </c>
      <c r="C479" s="299" t="s">
        <v>471</v>
      </c>
      <c r="D479" s="208" t="s">
        <v>21</v>
      </c>
      <c r="E479" s="302" t="s">
        <v>63</v>
      </c>
      <c r="F479" s="330" t="s">
        <v>460</v>
      </c>
      <c r="G479" s="288">
        <f>G476/1.33</f>
        <v>29.70676691729323</v>
      </c>
      <c r="H479" s="196">
        <f>IF(VLOOKUP(J479,'HOURLY RATES'!B$116:C$124,2,0)=0,$J$3,VLOOKUP(J479,'HOURLY RATES'!B$116:C$124,2,0))</f>
        <v>0</v>
      </c>
      <c r="I479" s="251">
        <f t="shared" si="393"/>
        <v>29.70676691729323</v>
      </c>
      <c r="J479" s="183" t="s">
        <v>16</v>
      </c>
      <c r="K479" s="368">
        <f>0.054*8</f>
        <v>0.432</v>
      </c>
      <c r="L479" s="369">
        <f t="shared" si="394"/>
        <v>12.833323308270675</v>
      </c>
      <c r="M479" s="185">
        <f>IF(VLOOKUP(E479,'HOURLY RATES'!C$6:D$105,2,0)=0,$E$3,VLOOKUP(E479,'HOURLY RATES'!C$6:D$105,2,0))</f>
        <v>21.16197</v>
      </c>
      <c r="N479" s="197">
        <f t="shared" si="395"/>
        <v>271.57840284992477</v>
      </c>
      <c r="O479" s="296">
        <f>1.21*8</f>
        <v>9.68</v>
      </c>
      <c r="P479" s="188">
        <f t="shared" si="396"/>
        <v>287.56150375939848</v>
      </c>
      <c r="Q479" s="189">
        <f t="shared" si="397"/>
        <v>559.13990660932325</v>
      </c>
      <c r="R479" s="190"/>
      <c r="X479" s="212"/>
    </row>
    <row r="480" spans="1:24" s="12" customFormat="1" ht="20.100000000000001" customHeight="1" x14ac:dyDescent="0.25">
      <c r="A480" s="298">
        <f>IF(J480&lt;&gt;"",1+MAX($A$18:A479),"")</f>
        <v>301</v>
      </c>
      <c r="B480" s="299" t="s">
        <v>427</v>
      </c>
      <c r="C480" s="299" t="s">
        <v>471</v>
      </c>
      <c r="D480" s="208" t="s">
        <v>21</v>
      </c>
      <c r="E480" s="302" t="s">
        <v>37</v>
      </c>
      <c r="F480" s="330" t="s">
        <v>464</v>
      </c>
      <c r="G480" s="288">
        <f>G476*4*2/32</f>
        <v>9.8774999999999995</v>
      </c>
      <c r="H480" s="196">
        <f>IF(VLOOKUP(J480,'HOURLY RATES'!B$116:C$124,2,0)=0,$J$3,VLOOKUP(J480,'HOURLY RATES'!B$116:C$124,2,0))</f>
        <v>0</v>
      </c>
      <c r="I480" s="251">
        <f t="shared" si="393"/>
        <v>9.8774999999999995</v>
      </c>
      <c r="J480" s="183" t="s">
        <v>16</v>
      </c>
      <c r="K480" s="368">
        <f>32*0.02</f>
        <v>0.64</v>
      </c>
      <c r="L480" s="369">
        <f t="shared" si="394"/>
        <v>6.3216000000000001</v>
      </c>
      <c r="M480" s="185">
        <f>IF(VLOOKUP(E480,'HOURLY RATES'!C$6:D$105,2,0)=0,$E$3,VLOOKUP(E480,'HOURLY RATES'!C$6:D$105,2,0))</f>
        <v>21.16197</v>
      </c>
      <c r="N480" s="197">
        <f t="shared" si="395"/>
        <v>133.777509552</v>
      </c>
      <c r="O480" s="296">
        <v>36.5</v>
      </c>
      <c r="P480" s="188">
        <f t="shared" si="396"/>
        <v>360.52875</v>
      </c>
      <c r="Q480" s="189">
        <f t="shared" si="397"/>
        <v>494.30625955200003</v>
      </c>
      <c r="R480" s="190"/>
      <c r="X480" s="212"/>
    </row>
    <row r="481" spans="1:24" s="12" customFormat="1" ht="20.100000000000001" customHeight="1" x14ac:dyDescent="0.25">
      <c r="A481" s="298" t="str">
        <f>IF(J481&lt;&gt;"",1+MAX($A$18:A480),"")</f>
        <v/>
      </c>
      <c r="B481" s="299"/>
      <c r="C481" s="299"/>
      <c r="D481" s="208"/>
      <c r="E481" s="302"/>
      <c r="F481" s="330"/>
      <c r="G481" s="288"/>
      <c r="H481" s="196"/>
      <c r="I481" s="251"/>
      <c r="J481" s="183"/>
      <c r="K481" s="368"/>
      <c r="L481" s="210"/>
      <c r="M481" s="185"/>
      <c r="N481" s="197"/>
      <c r="O481" s="296"/>
      <c r="P481" s="188"/>
      <c r="Q481" s="189"/>
      <c r="R481" s="190"/>
      <c r="X481" s="212"/>
    </row>
    <row r="482" spans="1:24" s="12" customFormat="1" ht="20.100000000000001" customHeight="1" x14ac:dyDescent="0.2">
      <c r="A482" s="298" t="str">
        <f>IF(J482&lt;&gt;"",1+MAX($A$18:A481),"")</f>
        <v/>
      </c>
      <c r="B482" s="299"/>
      <c r="C482" s="299"/>
      <c r="D482" s="208"/>
      <c r="E482" s="302"/>
      <c r="F482" s="313" t="s">
        <v>444</v>
      </c>
      <c r="G482" s="319">
        <v>85.67</v>
      </c>
      <c r="H482" s="196"/>
      <c r="I482" s="251"/>
      <c r="J482" s="183"/>
      <c r="K482" s="368"/>
      <c r="L482" s="210"/>
      <c r="M482" s="185"/>
      <c r="N482" s="197"/>
      <c r="O482" s="296"/>
      <c r="P482" s="188"/>
      <c r="Q482" s="189"/>
      <c r="R482" s="190"/>
      <c r="X482" s="212"/>
    </row>
    <row r="483" spans="1:24" s="12" customFormat="1" ht="20.100000000000001" customHeight="1" x14ac:dyDescent="0.25">
      <c r="A483" s="298">
        <f>IF(J483&lt;&gt;"",1+MAX($A$18:A482),"")</f>
        <v>302</v>
      </c>
      <c r="B483" s="299" t="s">
        <v>427</v>
      </c>
      <c r="C483" s="299" t="s">
        <v>471</v>
      </c>
      <c r="D483" s="208" t="s">
        <v>21</v>
      </c>
      <c r="E483" s="302" t="s">
        <v>63</v>
      </c>
      <c r="F483" s="330" t="s">
        <v>459</v>
      </c>
      <c r="G483" s="288">
        <f>G482*2</f>
        <v>171.34</v>
      </c>
      <c r="H483" s="196">
        <f>IF(VLOOKUP(J483,'HOURLY RATES'!B$116:C$124,2,0)=0,$J$3,VLOOKUP(J483,'HOURLY RATES'!B$116:C$124,2,0))</f>
        <v>0.05</v>
      </c>
      <c r="I483" s="251">
        <f t="shared" ref="I483:I486" si="398">(G483*(1+H483))</f>
        <v>179.90700000000001</v>
      </c>
      <c r="J483" s="183" t="s">
        <v>19</v>
      </c>
      <c r="K483" s="368">
        <v>5.3999999999999999E-2</v>
      </c>
      <c r="L483" s="369">
        <f t="shared" ref="L483:L486" si="399">K483*I483</f>
        <v>9.7149780000000003</v>
      </c>
      <c r="M483" s="185">
        <f>IF(VLOOKUP(E483,'HOURLY RATES'!C$6:D$105,2,0)=0,$E$3,VLOOKUP(E483,'HOURLY RATES'!C$6:D$105,2,0))</f>
        <v>21.16197</v>
      </c>
      <c r="N483" s="197">
        <f t="shared" ref="N483:N486" si="400">M483*L483</f>
        <v>205.58807298665999</v>
      </c>
      <c r="O483" s="296">
        <v>1.21</v>
      </c>
      <c r="P483" s="188">
        <f t="shared" ref="P483:P486" si="401">O483*I483</f>
        <v>217.68747000000002</v>
      </c>
      <c r="Q483" s="189">
        <f t="shared" ref="Q483:Q486" si="402">P483+N483</f>
        <v>423.27554298666001</v>
      </c>
      <c r="R483" s="190"/>
      <c r="X483" s="212"/>
    </row>
    <row r="484" spans="1:24" s="12" customFormat="1" ht="20.100000000000001" customHeight="1" x14ac:dyDescent="0.25">
      <c r="A484" s="298">
        <f>IF(J484&lt;&gt;"",1+MAX($A$18:A483),"")</f>
        <v>303</v>
      </c>
      <c r="B484" s="299" t="s">
        <v>427</v>
      </c>
      <c r="C484" s="299" t="s">
        <v>471</v>
      </c>
      <c r="D484" s="208" t="s">
        <v>21</v>
      </c>
      <c r="E484" s="302" t="s">
        <v>63</v>
      </c>
      <c r="F484" s="330" t="s">
        <v>463</v>
      </c>
      <c r="G484" s="288">
        <f>G482</f>
        <v>85.67</v>
      </c>
      <c r="H484" s="196">
        <f>IF(VLOOKUP(J484,'HOURLY RATES'!B$116:C$124,2,0)=0,$J$3,VLOOKUP(J484,'HOURLY RATES'!B$116:C$124,2,0))</f>
        <v>0.05</v>
      </c>
      <c r="I484" s="251">
        <f t="shared" si="398"/>
        <v>89.953500000000005</v>
      </c>
      <c r="J484" s="183" t="s">
        <v>19</v>
      </c>
      <c r="K484" s="368">
        <v>5.3999999999999999E-2</v>
      </c>
      <c r="L484" s="369">
        <f t="shared" si="399"/>
        <v>4.8574890000000002</v>
      </c>
      <c r="M484" s="185">
        <f>IF(VLOOKUP(E484,'HOURLY RATES'!C$6:D$105,2,0)=0,$E$3,VLOOKUP(E484,'HOURLY RATES'!C$6:D$105,2,0))</f>
        <v>21.16197</v>
      </c>
      <c r="N484" s="197">
        <f t="shared" si="400"/>
        <v>102.79403649333</v>
      </c>
      <c r="O484" s="296">
        <v>1.44</v>
      </c>
      <c r="P484" s="188">
        <f t="shared" si="401"/>
        <v>129.53304</v>
      </c>
      <c r="Q484" s="189">
        <f t="shared" si="402"/>
        <v>232.32707649333</v>
      </c>
      <c r="R484" s="190"/>
      <c r="X484" s="212"/>
    </row>
    <row r="485" spans="1:24" s="12" customFormat="1" ht="20.100000000000001" customHeight="1" x14ac:dyDescent="0.25">
      <c r="A485" s="298">
        <f>IF(J485&lt;&gt;"",1+MAX($A$18:A484),"")</f>
        <v>304</v>
      </c>
      <c r="B485" s="299" t="s">
        <v>427</v>
      </c>
      <c r="C485" s="299" t="s">
        <v>471</v>
      </c>
      <c r="D485" s="208" t="s">
        <v>21</v>
      </c>
      <c r="E485" s="302" t="s">
        <v>63</v>
      </c>
      <c r="F485" s="330" t="s">
        <v>460</v>
      </c>
      <c r="G485" s="288">
        <f>G482/1.33</f>
        <v>64.41353383458646</v>
      </c>
      <c r="H485" s="196">
        <f>IF(VLOOKUP(J485,'HOURLY RATES'!B$116:C$124,2,0)=0,$J$3,VLOOKUP(J485,'HOURLY RATES'!B$116:C$124,2,0))</f>
        <v>0</v>
      </c>
      <c r="I485" s="251">
        <f t="shared" si="398"/>
        <v>64.41353383458646</v>
      </c>
      <c r="J485" s="183" t="s">
        <v>16</v>
      </c>
      <c r="K485" s="368">
        <f>0.054*8</f>
        <v>0.432</v>
      </c>
      <c r="L485" s="369">
        <f t="shared" si="399"/>
        <v>27.82664661654135</v>
      </c>
      <c r="M485" s="185">
        <f>IF(VLOOKUP(E485,'HOURLY RATES'!C$6:D$105,2,0)=0,$E$3,VLOOKUP(E485,'HOURLY RATES'!C$6:D$105,2,0))</f>
        <v>21.16197</v>
      </c>
      <c r="N485" s="197">
        <f t="shared" si="400"/>
        <v>588.86666089984953</v>
      </c>
      <c r="O485" s="296">
        <f>1.21*8</f>
        <v>9.68</v>
      </c>
      <c r="P485" s="188">
        <f t="shared" si="401"/>
        <v>623.52300751879693</v>
      </c>
      <c r="Q485" s="189">
        <f t="shared" si="402"/>
        <v>1212.3896684186466</v>
      </c>
      <c r="R485" s="190"/>
      <c r="X485" s="212"/>
    </row>
    <row r="486" spans="1:24" s="12" customFormat="1" ht="20.100000000000001" customHeight="1" x14ac:dyDescent="0.25">
      <c r="A486" s="298">
        <f>IF(J486&lt;&gt;"",1+MAX($A$18:A485),"")</f>
        <v>305</v>
      </c>
      <c r="B486" s="299" t="s">
        <v>427</v>
      </c>
      <c r="C486" s="299" t="s">
        <v>471</v>
      </c>
      <c r="D486" s="208" t="s">
        <v>21</v>
      </c>
      <c r="E486" s="302" t="s">
        <v>37</v>
      </c>
      <c r="F486" s="330" t="s">
        <v>464</v>
      </c>
      <c r="G486" s="288">
        <f>G482*2.33*2/32</f>
        <v>12.475693750000001</v>
      </c>
      <c r="H486" s="196">
        <f>IF(VLOOKUP(J486,'HOURLY RATES'!B$116:C$124,2,0)=0,$J$3,VLOOKUP(J486,'HOURLY RATES'!B$116:C$124,2,0))</f>
        <v>0</v>
      </c>
      <c r="I486" s="251">
        <f t="shared" si="398"/>
        <v>12.475693750000001</v>
      </c>
      <c r="J486" s="183" t="s">
        <v>16</v>
      </c>
      <c r="K486" s="368">
        <f>32*0.02</f>
        <v>0.64</v>
      </c>
      <c r="L486" s="369">
        <f t="shared" si="399"/>
        <v>7.9844440000000008</v>
      </c>
      <c r="M486" s="185">
        <f>IF(VLOOKUP(E486,'HOURLY RATES'!C$6:D$105,2,0)=0,$E$3,VLOOKUP(E486,'HOURLY RATES'!C$6:D$105,2,0))</f>
        <v>21.16197</v>
      </c>
      <c r="N486" s="197">
        <f t="shared" si="400"/>
        <v>168.96656439468001</v>
      </c>
      <c r="O486" s="296">
        <v>36.5</v>
      </c>
      <c r="P486" s="188">
        <f t="shared" si="401"/>
        <v>455.36282187500007</v>
      </c>
      <c r="Q486" s="189">
        <f t="shared" si="402"/>
        <v>624.32938626968007</v>
      </c>
      <c r="R486" s="190"/>
      <c r="X486" s="212"/>
    </row>
    <row r="487" spans="1:24" s="12" customFormat="1" ht="20.100000000000001" customHeight="1" x14ac:dyDescent="0.25">
      <c r="A487" s="298" t="str">
        <f>IF(J487&lt;&gt;"",1+MAX($A$18:A486),"")</f>
        <v/>
      </c>
      <c r="B487" s="299"/>
      <c r="C487" s="299"/>
      <c r="D487" s="208"/>
      <c r="E487" s="302"/>
      <c r="F487" s="330"/>
      <c r="G487" s="288"/>
      <c r="H487" s="196"/>
      <c r="I487" s="251"/>
      <c r="J487" s="183"/>
      <c r="K487" s="368"/>
      <c r="L487" s="369"/>
      <c r="M487" s="185"/>
      <c r="N487" s="197"/>
      <c r="O487" s="296"/>
      <c r="P487" s="188"/>
      <c r="Q487" s="189"/>
      <c r="R487" s="190"/>
      <c r="X487" s="212"/>
    </row>
    <row r="488" spans="1:24" s="12" customFormat="1" ht="20.100000000000001" customHeight="1" x14ac:dyDescent="0.2">
      <c r="A488" s="298" t="str">
        <f>IF(J488&lt;&gt;"",1+MAX($A$18:A487),"")</f>
        <v/>
      </c>
      <c r="B488" s="299"/>
      <c r="C488" s="299"/>
      <c r="D488" s="208"/>
      <c r="E488" s="302"/>
      <c r="F488" s="313" t="s">
        <v>864</v>
      </c>
      <c r="G488" s="288"/>
      <c r="H488" s="196"/>
      <c r="I488" s="251"/>
      <c r="J488" s="183"/>
      <c r="K488" s="368"/>
      <c r="L488" s="369"/>
      <c r="M488" s="185"/>
      <c r="N488" s="197"/>
      <c r="O488" s="296"/>
      <c r="P488" s="188"/>
      <c r="Q488" s="189"/>
      <c r="R488" s="190"/>
      <c r="X488" s="212"/>
    </row>
    <row r="489" spans="1:24" s="12" customFormat="1" ht="20.100000000000001" customHeight="1" x14ac:dyDescent="0.25">
      <c r="A489" s="298">
        <f>IF(J489&lt;&gt;"",1+MAX($A$18:A488),"")</f>
        <v>306</v>
      </c>
      <c r="B489" s="299" t="s">
        <v>427</v>
      </c>
      <c r="C489" s="299" t="s">
        <v>470</v>
      </c>
      <c r="D489" s="208" t="s">
        <v>21</v>
      </c>
      <c r="E489" s="302" t="s">
        <v>63</v>
      </c>
      <c r="F489" s="330" t="s">
        <v>865</v>
      </c>
      <c r="G489" s="288">
        <v>68</v>
      </c>
      <c r="H489" s="196">
        <f>IF(VLOOKUP(J489,'HOURLY RATES'!B$116:C$124,2,0)=0,$J$3,VLOOKUP(J489,'HOURLY RATES'!B$116:C$124,2,0))</f>
        <v>0</v>
      </c>
      <c r="I489" s="251">
        <f t="shared" ref="I489:I492" si="403">(G489*(1+H489))</f>
        <v>68</v>
      </c>
      <c r="J489" s="183" t="s">
        <v>16</v>
      </c>
      <c r="K489" s="368">
        <v>0.54</v>
      </c>
      <c r="L489" s="369">
        <f t="shared" ref="L489:L490" si="404">K489*I489</f>
        <v>36.72</v>
      </c>
      <c r="M489" s="185">
        <f>IF(VLOOKUP(E489,'HOURLY RATES'!C$6:D$105,2,0)=0,$E$3,VLOOKUP(E489,'HOURLY RATES'!C$6:D$105,2,0))</f>
        <v>21.16197</v>
      </c>
      <c r="N489" s="197">
        <f t="shared" ref="N489:N490" si="405">M489*L489</f>
        <v>777.06753839999999</v>
      </c>
      <c r="O489" s="296">
        <v>12.2</v>
      </c>
      <c r="P489" s="188">
        <f t="shared" ref="P489:P492" si="406">O489*I489</f>
        <v>829.59999999999991</v>
      </c>
      <c r="Q489" s="189">
        <f t="shared" ref="Q489:Q492" si="407">P489+N489</f>
        <v>1606.6675384</v>
      </c>
      <c r="R489" s="190"/>
      <c r="X489" s="212"/>
    </row>
    <row r="490" spans="1:24" s="12" customFormat="1" ht="20.100000000000001" customHeight="1" x14ac:dyDescent="0.25">
      <c r="A490" s="298">
        <f>IF(J490&lt;&gt;"",1+MAX($A$18:A489),"")</f>
        <v>307</v>
      </c>
      <c r="B490" s="299" t="s">
        <v>427</v>
      </c>
      <c r="C490" s="299" t="s">
        <v>470</v>
      </c>
      <c r="D490" s="208" t="s">
        <v>21</v>
      </c>
      <c r="E490" s="302" t="s">
        <v>63</v>
      </c>
      <c r="F490" s="330" t="s">
        <v>866</v>
      </c>
      <c r="G490" s="288">
        <v>136</v>
      </c>
      <c r="H490" s="196">
        <f>IF(VLOOKUP(J490,'HOURLY RATES'!B$116:C$124,2,0)=0,$J$3,VLOOKUP(J490,'HOURLY RATES'!B$116:C$124,2,0))</f>
        <v>0</v>
      </c>
      <c r="I490" s="251">
        <f t="shared" si="403"/>
        <v>136</v>
      </c>
      <c r="J490" s="183" t="s">
        <v>16</v>
      </c>
      <c r="K490" s="368">
        <v>0.52</v>
      </c>
      <c r="L490" s="369">
        <f t="shared" si="404"/>
        <v>70.72</v>
      </c>
      <c r="M490" s="185">
        <f>IF(VLOOKUP(E490,'HOURLY RATES'!C$6:D$105,2,0)=0,$E$3,VLOOKUP(E490,'HOURLY RATES'!C$6:D$105,2,0))</f>
        <v>21.16197</v>
      </c>
      <c r="N490" s="197">
        <f t="shared" si="405"/>
        <v>1496.5745184</v>
      </c>
      <c r="O490" s="296">
        <v>10.92</v>
      </c>
      <c r="P490" s="188">
        <f t="shared" si="406"/>
        <v>1485.12</v>
      </c>
      <c r="Q490" s="189">
        <f t="shared" si="407"/>
        <v>2981.6945183999997</v>
      </c>
      <c r="R490" s="190"/>
      <c r="X490" s="212"/>
    </row>
    <row r="491" spans="1:24" s="12" customFormat="1" ht="20.100000000000001" customHeight="1" x14ac:dyDescent="0.25">
      <c r="A491" s="298">
        <f>IF(J491&lt;&gt;"",1+MAX($A$18:A490),"")</f>
        <v>308</v>
      </c>
      <c r="B491" s="299" t="s">
        <v>427</v>
      </c>
      <c r="C491" s="299" t="s">
        <v>470</v>
      </c>
      <c r="D491" s="208" t="s">
        <v>21</v>
      </c>
      <c r="E491" s="302" t="s">
        <v>63</v>
      </c>
      <c r="F491" s="330" t="s">
        <v>867</v>
      </c>
      <c r="G491" s="288">
        <v>34</v>
      </c>
      <c r="H491" s="196">
        <f>IF(VLOOKUP(J491,'HOURLY RATES'!B$116:C$124,2,0)=0,$J$3,VLOOKUP(J491,'HOURLY RATES'!B$116:C$124,2,0))</f>
        <v>0</v>
      </c>
      <c r="I491" s="251">
        <f t="shared" si="403"/>
        <v>34</v>
      </c>
      <c r="J491" s="183" t="s">
        <v>16</v>
      </c>
      <c r="K491" s="368">
        <f>0.054*12</f>
        <v>0.64800000000000002</v>
      </c>
      <c r="L491" s="369">
        <f t="shared" ref="L491:L492" si="408">K491*I491</f>
        <v>22.032</v>
      </c>
      <c r="M491" s="185">
        <f>IF(VLOOKUP(E491,'HOURLY RATES'!C$6:D$105,2,0)=0,$E$3,VLOOKUP(E491,'HOURLY RATES'!C$6:D$105,2,0))</f>
        <v>21.16197</v>
      </c>
      <c r="N491" s="197">
        <f t="shared" ref="N491:N492" si="409">M491*L491</f>
        <v>466.24052304000003</v>
      </c>
      <c r="O491" s="296">
        <f>1.21*12</f>
        <v>14.52</v>
      </c>
      <c r="P491" s="188">
        <f t="shared" si="406"/>
        <v>493.68</v>
      </c>
      <c r="Q491" s="189">
        <f t="shared" si="407"/>
        <v>959.92052304000003</v>
      </c>
      <c r="R491" s="190"/>
      <c r="X491" s="212"/>
    </row>
    <row r="492" spans="1:24" s="12" customFormat="1" ht="20.100000000000001" customHeight="1" x14ac:dyDescent="0.25">
      <c r="A492" s="298">
        <f>IF(J492&lt;&gt;"",1+MAX($A$18:A491),"")</f>
        <v>309</v>
      </c>
      <c r="B492" s="299" t="s">
        <v>427</v>
      </c>
      <c r="C492" s="299" t="s">
        <v>470</v>
      </c>
      <c r="D492" s="208" t="s">
        <v>21</v>
      </c>
      <c r="E492" s="302" t="s">
        <v>63</v>
      </c>
      <c r="F492" s="330" t="s">
        <v>868</v>
      </c>
      <c r="G492" s="288">
        <v>3</v>
      </c>
      <c r="H492" s="196">
        <f>IF(VLOOKUP(J492,'HOURLY RATES'!B$116:C$124,2,0)=0,$J$3,VLOOKUP(J492,'HOURLY RATES'!B$116:C$124,2,0))</f>
        <v>0</v>
      </c>
      <c r="I492" s="251">
        <f t="shared" si="403"/>
        <v>3</v>
      </c>
      <c r="J492" s="183" t="s">
        <v>16</v>
      </c>
      <c r="K492" s="368">
        <f>0.054*8</f>
        <v>0.432</v>
      </c>
      <c r="L492" s="369">
        <f t="shared" si="408"/>
        <v>1.296</v>
      </c>
      <c r="M492" s="185">
        <f>IF(VLOOKUP(E492,'HOURLY RATES'!C$6:D$105,2,0)=0,$E$3,VLOOKUP(E492,'HOURLY RATES'!C$6:D$105,2,0))</f>
        <v>21.16197</v>
      </c>
      <c r="N492" s="197">
        <f t="shared" si="409"/>
        <v>27.425913120000001</v>
      </c>
      <c r="O492" s="296">
        <f>1.21*8</f>
        <v>9.68</v>
      </c>
      <c r="P492" s="188">
        <f t="shared" si="406"/>
        <v>29.04</v>
      </c>
      <c r="Q492" s="189">
        <f t="shared" si="407"/>
        <v>56.465913119999996</v>
      </c>
      <c r="R492" s="190"/>
      <c r="X492" s="212"/>
    </row>
    <row r="493" spans="1:24" s="12" customFormat="1" ht="20.100000000000001" customHeight="1" x14ac:dyDescent="0.2">
      <c r="A493" s="298" t="str">
        <f>IF(J493&lt;&gt;"",1+MAX($A$18:A492),"")</f>
        <v/>
      </c>
      <c r="B493" s="299"/>
      <c r="C493" s="299"/>
      <c r="D493" s="208"/>
      <c r="E493" s="302"/>
      <c r="F493" s="317"/>
      <c r="G493" s="288"/>
      <c r="H493" s="196"/>
      <c r="I493" s="251"/>
      <c r="J493" s="183"/>
      <c r="K493" s="368"/>
      <c r="L493" s="210"/>
      <c r="M493" s="185"/>
      <c r="N493" s="197"/>
      <c r="O493" s="296"/>
      <c r="P493" s="188"/>
      <c r="Q493" s="189"/>
      <c r="R493" s="190"/>
      <c r="X493" s="212"/>
    </row>
    <row r="494" spans="1:24" s="12" customFormat="1" x14ac:dyDescent="0.2">
      <c r="A494" s="298">
        <f>IF(J494&lt;&gt;"",1+MAX($A$18:A493),"")</f>
        <v>310</v>
      </c>
      <c r="B494" s="299"/>
      <c r="C494" s="299"/>
      <c r="D494" s="208" t="s">
        <v>21</v>
      </c>
      <c r="E494" s="302" t="s">
        <v>124</v>
      </c>
      <c r="F494" s="318" t="s">
        <v>297</v>
      </c>
      <c r="G494" s="288">
        <f>271*10</f>
        <v>2710</v>
      </c>
      <c r="H494" s="196">
        <f>IF(VLOOKUP(J494,'HOURLY RATES'!B$116:C$124,2,0)=0,$J$3,VLOOKUP(J494,'HOURLY RATES'!B$116:C$124,2,0))</f>
        <v>0.05</v>
      </c>
      <c r="I494" s="251">
        <f t="shared" ref="I494" si="410">(G494*(1+H494))</f>
        <v>2845.5</v>
      </c>
      <c r="J494" s="183" t="s">
        <v>19</v>
      </c>
      <c r="K494" s="368">
        <v>0.01</v>
      </c>
      <c r="L494" s="369">
        <f t="shared" ref="L494:L496" si="411">K494*I494</f>
        <v>28.455000000000002</v>
      </c>
      <c r="M494" s="185">
        <f>IF(VLOOKUP(E494,'HOURLY RATES'!C$6:D$105,2,0)=0,$E$3,VLOOKUP(E494,'HOURLY RATES'!C$6:D$105,2,0))</f>
        <v>21.16197</v>
      </c>
      <c r="N494" s="197">
        <f t="shared" ref="N494" si="412">M494*L494</f>
        <v>602.16385635000006</v>
      </c>
      <c r="O494" s="296">
        <v>0.01</v>
      </c>
      <c r="P494" s="188">
        <f t="shared" ref="P494" si="413">O494*I494</f>
        <v>28.455000000000002</v>
      </c>
      <c r="Q494" s="189">
        <f t="shared" ref="Q494" si="414">P494+N494</f>
        <v>630.6188563500001</v>
      </c>
      <c r="R494" s="190"/>
      <c r="X494" s="212"/>
    </row>
    <row r="495" spans="1:24" s="12" customFormat="1" ht="20.100000000000001" customHeight="1" x14ac:dyDescent="0.2">
      <c r="A495" s="298">
        <f>IF(J495&lt;&gt;"",1+MAX($A$18:A494),"")</f>
        <v>311</v>
      </c>
      <c r="B495" s="299"/>
      <c r="C495" s="299"/>
      <c r="D495" s="208" t="s">
        <v>21</v>
      </c>
      <c r="E495" s="302" t="s">
        <v>124</v>
      </c>
      <c r="F495" s="318" t="s">
        <v>298</v>
      </c>
      <c r="G495" s="288">
        <f>(271*32*0.053)</f>
        <v>459.61599999999999</v>
      </c>
      <c r="H495" s="196">
        <f>IF(VLOOKUP(J495,'HOURLY RATES'!B$116:C$124,2,0)=0,$J$3,VLOOKUP(J495,'HOURLY RATES'!B$116:C$124,2,0))</f>
        <v>0.05</v>
      </c>
      <c r="I495" s="251">
        <f t="shared" ref="I495" si="415">(G495*(1+H495))</f>
        <v>482.59680000000003</v>
      </c>
      <c r="J495" s="183" t="s">
        <v>112</v>
      </c>
      <c r="K495" s="368">
        <v>0.22</v>
      </c>
      <c r="L495" s="369">
        <f t="shared" si="411"/>
        <v>106.17129600000001</v>
      </c>
      <c r="M495" s="185">
        <f>IF(VLOOKUP(E495,'HOURLY RATES'!C$6:D$105,2,0)=0,$E$3,VLOOKUP(E495,'HOURLY RATES'!C$6:D$105,2,0))</f>
        <v>21.16197</v>
      </c>
      <c r="N495" s="197">
        <f t="shared" ref="N495" si="416">M495*L495</f>
        <v>2246.7937808131201</v>
      </c>
      <c r="O495" s="296">
        <v>0.5</v>
      </c>
      <c r="P495" s="188">
        <f t="shared" ref="P495" si="417">O495*I495</f>
        <v>241.29840000000002</v>
      </c>
      <c r="Q495" s="189">
        <f t="shared" ref="Q495" si="418">P495+N495</f>
        <v>2488.0921808131202</v>
      </c>
      <c r="R495" s="190"/>
      <c r="X495" s="212"/>
    </row>
    <row r="496" spans="1:24" s="12" customFormat="1" ht="20.100000000000001" customHeight="1" x14ac:dyDescent="0.2">
      <c r="A496" s="298">
        <f>IF(J496&lt;&gt;"",1+MAX($A$18:A495),"")</f>
        <v>312</v>
      </c>
      <c r="B496" s="299"/>
      <c r="C496" s="299"/>
      <c r="D496" s="208" t="s">
        <v>21</v>
      </c>
      <c r="E496" s="302" t="s">
        <v>124</v>
      </c>
      <c r="F496" s="318" t="s">
        <v>299</v>
      </c>
      <c r="G496" s="288">
        <f>(271*45)</f>
        <v>12195</v>
      </c>
      <c r="H496" s="196">
        <f>IF(VLOOKUP(J496,'HOURLY RATES'!B$116:C$124,2,0)=0,$J$3,VLOOKUP(J496,'HOURLY RATES'!B$116:C$124,2,0))</f>
        <v>0</v>
      </c>
      <c r="I496" s="251">
        <f t="shared" ref="I496" si="419">(G496*(1+H496))</f>
        <v>12195</v>
      </c>
      <c r="J496" s="183" t="s">
        <v>16</v>
      </c>
      <c r="K496" s="368">
        <v>1E-3</v>
      </c>
      <c r="L496" s="369">
        <f t="shared" si="411"/>
        <v>12.195</v>
      </c>
      <c r="M496" s="185">
        <f>IF(VLOOKUP(E496,'HOURLY RATES'!C$6:D$105,2,0)=0,$E$3,VLOOKUP(E496,'HOURLY RATES'!C$6:D$105,2,0))</f>
        <v>21.16197</v>
      </c>
      <c r="N496" s="197">
        <f t="shared" ref="N496" si="420">M496*L496</f>
        <v>258.07022415</v>
      </c>
      <c r="O496" s="296">
        <v>0.02</v>
      </c>
      <c r="P496" s="188">
        <f t="shared" ref="P496" si="421">O496*I496</f>
        <v>243.9</v>
      </c>
      <c r="Q496" s="189">
        <f t="shared" ref="Q496" si="422">P496+N496</f>
        <v>501.97022415000004</v>
      </c>
      <c r="R496" s="190"/>
      <c r="X496" s="212"/>
    </row>
    <row r="497" spans="1:24" s="12" customFormat="1" ht="20.100000000000001" customHeight="1" x14ac:dyDescent="0.2">
      <c r="A497" s="298" t="str">
        <f>IF(J497&lt;&gt;"",1+MAX($A$18:A496),"")</f>
        <v/>
      </c>
      <c r="B497" s="299"/>
      <c r="C497" s="299"/>
      <c r="D497" s="208"/>
      <c r="E497" s="302"/>
      <c r="F497" s="318"/>
      <c r="G497" s="288"/>
      <c r="H497" s="196"/>
      <c r="I497" s="251"/>
      <c r="J497" s="183"/>
      <c r="K497" s="368"/>
      <c r="L497" s="210"/>
      <c r="M497" s="185"/>
      <c r="N497" s="197"/>
      <c r="O497" s="296"/>
      <c r="P497" s="188"/>
      <c r="Q497" s="189"/>
      <c r="R497" s="190"/>
      <c r="X497" s="212"/>
    </row>
    <row r="498" spans="1:24" s="12" customFormat="1" x14ac:dyDescent="0.2">
      <c r="A498" s="298" t="str">
        <f>IF(J498&lt;&gt;"",1+MAX($A$18:A497),"")</f>
        <v/>
      </c>
      <c r="B498" s="299"/>
      <c r="C498" s="299"/>
      <c r="D498" s="208"/>
      <c r="E498" s="302"/>
      <c r="F498" s="318"/>
      <c r="G498" s="288"/>
      <c r="H498" s="196"/>
      <c r="I498" s="251"/>
      <c r="J498" s="183"/>
      <c r="K498" s="368"/>
      <c r="L498" s="210"/>
      <c r="M498" s="185"/>
      <c r="N498" s="197"/>
      <c r="O498" s="296"/>
      <c r="P498" s="188"/>
      <c r="Q498" s="189"/>
      <c r="R498" s="190"/>
      <c r="X498" s="212"/>
    </row>
    <row r="499" spans="1:24" s="12" customFormat="1" x14ac:dyDescent="0.2">
      <c r="A499" s="298" t="str">
        <f>IF(J499&lt;&gt;"",1+MAX($A$18:A498),"")</f>
        <v/>
      </c>
      <c r="B499" s="299"/>
      <c r="C499" s="299"/>
      <c r="D499" s="208"/>
      <c r="E499" s="302"/>
      <c r="F499" s="313" t="s">
        <v>300</v>
      </c>
      <c r="G499" s="288"/>
      <c r="H499" s="196"/>
      <c r="I499" s="251"/>
      <c r="J499" s="183"/>
      <c r="K499" s="368"/>
      <c r="L499" s="210"/>
      <c r="M499" s="185"/>
      <c r="N499" s="197"/>
      <c r="O499" s="296"/>
      <c r="P499" s="188"/>
      <c r="Q499" s="189"/>
      <c r="R499" s="190"/>
      <c r="X499" s="212"/>
    </row>
    <row r="500" spans="1:24" s="12" customFormat="1" x14ac:dyDescent="0.25">
      <c r="A500" s="298">
        <f>IF(J500&lt;&gt;"",1+MAX($A$18:A499),"")</f>
        <v>313</v>
      </c>
      <c r="B500" s="299" t="s">
        <v>427</v>
      </c>
      <c r="C500" s="299" t="s">
        <v>427</v>
      </c>
      <c r="D500" s="208" t="s">
        <v>21</v>
      </c>
      <c r="E500" s="302" t="s">
        <v>124</v>
      </c>
      <c r="F500" s="330" t="s">
        <v>489</v>
      </c>
      <c r="G500" s="288">
        <f>647.28/32</f>
        <v>20.227499999999999</v>
      </c>
      <c r="H500" s="196">
        <f>IF(VLOOKUP(J500,'HOURLY RATES'!B$116:C$124,2,0)=0,$J$3,VLOOKUP(J500,'HOURLY RATES'!B$116:C$124,2,0))</f>
        <v>0</v>
      </c>
      <c r="I500" s="251">
        <f t="shared" ref="I500" si="423">(G500*(1+H500))</f>
        <v>20.227499999999999</v>
      </c>
      <c r="J500" s="183" t="s">
        <v>16</v>
      </c>
      <c r="K500" s="368">
        <f>0.02*32</f>
        <v>0.64</v>
      </c>
      <c r="L500" s="369">
        <f t="shared" ref="L500:L501" si="424">K500*I500</f>
        <v>12.945599999999999</v>
      </c>
      <c r="M500" s="185">
        <f>IF(VLOOKUP(E500,'HOURLY RATES'!C$6:D$105,2,0)=0,$E$3,VLOOKUP(E500,'HOURLY RATES'!C$6:D$105,2,0))</f>
        <v>21.16197</v>
      </c>
      <c r="N500" s="197">
        <f t="shared" ref="N500" si="425">M500*L500</f>
        <v>273.95439883199998</v>
      </c>
      <c r="O500" s="296">
        <v>9.56</v>
      </c>
      <c r="P500" s="188">
        <f t="shared" ref="P500" si="426">O500*I500</f>
        <v>193.3749</v>
      </c>
      <c r="Q500" s="189">
        <f t="shared" ref="Q500" si="427">P500+N500</f>
        <v>467.32929883199995</v>
      </c>
      <c r="R500" s="190"/>
      <c r="X500" s="212"/>
    </row>
    <row r="501" spans="1:24" s="12" customFormat="1" x14ac:dyDescent="0.25">
      <c r="A501" s="298">
        <f>IF(J501&lt;&gt;"",1+MAX($A$18:A500),"")</f>
        <v>314</v>
      </c>
      <c r="B501" s="299" t="s">
        <v>427</v>
      </c>
      <c r="C501" s="299" t="s">
        <v>427</v>
      </c>
      <c r="D501" s="208" t="s">
        <v>21</v>
      </c>
      <c r="E501" s="302" t="s">
        <v>124</v>
      </c>
      <c r="F501" s="330" t="s">
        <v>488</v>
      </c>
      <c r="G501" s="288">
        <f>1921.81/32</f>
        <v>60.056562499999998</v>
      </c>
      <c r="H501" s="196">
        <f>IF(VLOOKUP(J501,'HOURLY RATES'!B$116:C$124,2,0)=0,$J$3,VLOOKUP(J501,'HOURLY RATES'!B$116:C$124,2,0))</f>
        <v>0</v>
      </c>
      <c r="I501" s="251">
        <f t="shared" ref="I501" si="428">(G501*(1+H501))</f>
        <v>60.056562499999998</v>
      </c>
      <c r="J501" s="183" t="s">
        <v>16</v>
      </c>
      <c r="K501" s="368">
        <f>0.02*32</f>
        <v>0.64</v>
      </c>
      <c r="L501" s="369">
        <f t="shared" si="424"/>
        <v>38.436199999999999</v>
      </c>
      <c r="M501" s="185">
        <f>IF(VLOOKUP(E501,'HOURLY RATES'!C$6:D$105,2,0)=0,$E$3,VLOOKUP(E501,'HOURLY RATES'!C$6:D$105,2,0))</f>
        <v>21.16197</v>
      </c>
      <c r="N501" s="197">
        <f t="shared" ref="N501" si="429">M501*L501</f>
        <v>813.38571131399999</v>
      </c>
      <c r="O501" s="296">
        <v>9.56</v>
      </c>
      <c r="P501" s="188">
        <f t="shared" ref="P501" si="430">O501*I501</f>
        <v>574.1407375</v>
      </c>
      <c r="Q501" s="189">
        <f t="shared" ref="Q501" si="431">P501+N501</f>
        <v>1387.5264488140001</v>
      </c>
      <c r="R501" s="190"/>
      <c r="X501" s="212"/>
    </row>
    <row r="502" spans="1:24" s="12" customFormat="1" x14ac:dyDescent="0.25">
      <c r="A502" s="298" t="str">
        <f>IF(J502&lt;&gt;"",1+MAX($A$18:A501),"")</f>
        <v/>
      </c>
      <c r="B502" s="299"/>
      <c r="C502" s="299"/>
      <c r="D502" s="208"/>
      <c r="E502" s="302"/>
      <c r="F502" s="330"/>
      <c r="G502" s="288"/>
      <c r="H502" s="196"/>
      <c r="I502" s="251"/>
      <c r="J502" s="183"/>
      <c r="K502" s="368"/>
      <c r="L502" s="210"/>
      <c r="M502" s="185"/>
      <c r="N502" s="197"/>
      <c r="O502" s="296"/>
      <c r="P502" s="188"/>
      <c r="Q502" s="189"/>
      <c r="R502" s="190"/>
      <c r="X502" s="212"/>
    </row>
    <row r="503" spans="1:24" s="12" customFormat="1" x14ac:dyDescent="0.2">
      <c r="A503" s="298">
        <f>IF(J503&lt;&gt;"",1+MAX($A$18:A502),"")</f>
        <v>315</v>
      </c>
      <c r="B503" s="299"/>
      <c r="C503" s="299"/>
      <c r="D503" s="208" t="s">
        <v>21</v>
      </c>
      <c r="E503" s="302" t="s">
        <v>124</v>
      </c>
      <c r="F503" s="318" t="s">
        <v>297</v>
      </c>
      <c r="G503" s="288">
        <f>80*10</f>
        <v>800</v>
      </c>
      <c r="H503" s="196">
        <f>IF(VLOOKUP(J503,'HOURLY RATES'!B$116:C$124,2,0)=0,$J$3,VLOOKUP(J503,'HOURLY RATES'!B$116:C$124,2,0))</f>
        <v>0.05</v>
      </c>
      <c r="I503" s="251">
        <f t="shared" ref="I503:I505" si="432">(G503*(1+H503))</f>
        <v>840</v>
      </c>
      <c r="J503" s="183" t="s">
        <v>19</v>
      </c>
      <c r="K503" s="368">
        <v>0.01</v>
      </c>
      <c r="L503" s="369">
        <f t="shared" ref="L503:L505" si="433">K503*I503</f>
        <v>8.4</v>
      </c>
      <c r="M503" s="185">
        <f>IF(VLOOKUP(E503,'HOURLY RATES'!C$6:D$105,2,0)=0,$E$3,VLOOKUP(E503,'HOURLY RATES'!C$6:D$105,2,0))</f>
        <v>21.16197</v>
      </c>
      <c r="N503" s="197">
        <f t="shared" ref="N503:N505" si="434">M503*L503</f>
        <v>177.760548</v>
      </c>
      <c r="O503" s="296">
        <v>0.01</v>
      </c>
      <c r="P503" s="188">
        <f t="shared" ref="P503:P505" si="435">O503*I503</f>
        <v>8.4</v>
      </c>
      <c r="Q503" s="189">
        <f t="shared" ref="Q503:Q505" si="436">P503+N503</f>
        <v>186.16054800000001</v>
      </c>
      <c r="R503" s="190"/>
      <c r="X503" s="212"/>
    </row>
    <row r="504" spans="1:24" s="12" customFormat="1" ht="20.100000000000001" customHeight="1" x14ac:dyDescent="0.2">
      <c r="A504" s="298">
        <f>IF(J504&lt;&gt;"",1+MAX($A$18:A503),"")</f>
        <v>316</v>
      </c>
      <c r="B504" s="299"/>
      <c r="C504" s="299"/>
      <c r="D504" s="208" t="s">
        <v>21</v>
      </c>
      <c r="E504" s="302" t="s">
        <v>124</v>
      </c>
      <c r="F504" s="318" t="s">
        <v>298</v>
      </c>
      <c r="G504" s="288">
        <f>(80*32*0.053)</f>
        <v>135.68</v>
      </c>
      <c r="H504" s="196">
        <f>IF(VLOOKUP(J504,'HOURLY RATES'!B$116:C$124,2,0)=0,$J$3,VLOOKUP(J504,'HOURLY RATES'!B$116:C$124,2,0))</f>
        <v>0.05</v>
      </c>
      <c r="I504" s="251">
        <f t="shared" si="432"/>
        <v>142.46400000000003</v>
      </c>
      <c r="J504" s="183" t="s">
        <v>112</v>
      </c>
      <c r="K504" s="368">
        <v>0.22</v>
      </c>
      <c r="L504" s="369">
        <f t="shared" si="433"/>
        <v>31.342080000000006</v>
      </c>
      <c r="M504" s="185">
        <f>IF(VLOOKUP(E504,'HOURLY RATES'!C$6:D$105,2,0)=0,$E$3,VLOOKUP(E504,'HOURLY RATES'!C$6:D$105,2,0))</f>
        <v>21.16197</v>
      </c>
      <c r="N504" s="197">
        <f t="shared" si="434"/>
        <v>663.26015669760011</v>
      </c>
      <c r="O504" s="296">
        <v>0.5</v>
      </c>
      <c r="P504" s="188">
        <f t="shared" si="435"/>
        <v>71.232000000000014</v>
      </c>
      <c r="Q504" s="189">
        <f t="shared" si="436"/>
        <v>734.49215669760008</v>
      </c>
      <c r="R504" s="190"/>
      <c r="X504" s="212"/>
    </row>
    <row r="505" spans="1:24" s="12" customFormat="1" ht="20.100000000000001" customHeight="1" x14ac:dyDescent="0.2">
      <c r="A505" s="298">
        <f>IF(J505&lt;&gt;"",1+MAX($A$18:A504),"")</f>
        <v>317</v>
      </c>
      <c r="B505" s="299"/>
      <c r="C505" s="299"/>
      <c r="D505" s="208" t="s">
        <v>21</v>
      </c>
      <c r="E505" s="302" t="s">
        <v>124</v>
      </c>
      <c r="F505" s="318" t="s">
        <v>299</v>
      </c>
      <c r="G505" s="288">
        <f>(80*45)</f>
        <v>3600</v>
      </c>
      <c r="H505" s="196">
        <f>IF(VLOOKUP(J505,'HOURLY RATES'!B$116:C$124,2,0)=0,$J$3,VLOOKUP(J505,'HOURLY RATES'!B$116:C$124,2,0))</f>
        <v>0</v>
      </c>
      <c r="I505" s="251">
        <f t="shared" si="432"/>
        <v>3600</v>
      </c>
      <c r="J505" s="183" t="s">
        <v>16</v>
      </c>
      <c r="K505" s="368">
        <v>1E-3</v>
      </c>
      <c r="L505" s="369">
        <f t="shared" si="433"/>
        <v>3.6</v>
      </c>
      <c r="M505" s="185">
        <f>IF(VLOOKUP(E505,'HOURLY RATES'!C$6:D$105,2,0)=0,$E$3,VLOOKUP(E505,'HOURLY RATES'!C$6:D$105,2,0))</f>
        <v>21.16197</v>
      </c>
      <c r="N505" s="197">
        <f t="shared" si="434"/>
        <v>76.183092000000002</v>
      </c>
      <c r="O505" s="296">
        <v>0.02</v>
      </c>
      <c r="P505" s="188">
        <f t="shared" si="435"/>
        <v>72</v>
      </c>
      <c r="Q505" s="189">
        <f t="shared" si="436"/>
        <v>148.18309199999999</v>
      </c>
      <c r="R505" s="190"/>
      <c r="X505" s="212"/>
    </row>
    <row r="506" spans="1:24" s="12" customFormat="1" x14ac:dyDescent="0.2">
      <c r="A506" s="298" t="str">
        <f>IF(J506&lt;&gt;"",1+MAX($A$18:A505),"")</f>
        <v/>
      </c>
      <c r="B506" s="299"/>
      <c r="C506" s="299"/>
      <c r="D506" s="208"/>
      <c r="E506" s="302"/>
      <c r="F506" s="318"/>
      <c r="G506" s="288"/>
      <c r="H506" s="196"/>
      <c r="I506" s="251"/>
      <c r="J506" s="183"/>
      <c r="K506" s="368"/>
      <c r="L506" s="210"/>
      <c r="M506" s="185"/>
      <c r="N506" s="197"/>
      <c r="O506" s="296"/>
      <c r="P506" s="188"/>
      <c r="Q506" s="189"/>
      <c r="R506" s="190"/>
      <c r="X506" s="212"/>
    </row>
    <row r="507" spans="1:24" s="12" customFormat="1" x14ac:dyDescent="0.2">
      <c r="A507" s="298" t="str">
        <f>IF(J507&lt;&gt;"",1+MAX($A$18:A506),"")</f>
        <v/>
      </c>
      <c r="B507" s="299"/>
      <c r="C507" s="299"/>
      <c r="D507" s="208"/>
      <c r="E507" s="302"/>
      <c r="F507" s="313" t="s">
        <v>304</v>
      </c>
      <c r="G507" s="288"/>
      <c r="H507" s="196"/>
      <c r="I507" s="251"/>
      <c r="J507" s="183"/>
      <c r="K507" s="368"/>
      <c r="L507" s="210"/>
      <c r="M507" s="185"/>
      <c r="N507" s="197"/>
      <c r="O507" s="296"/>
      <c r="P507" s="188"/>
      <c r="Q507" s="189"/>
      <c r="R507" s="190"/>
      <c r="X507" s="212"/>
    </row>
    <row r="508" spans="1:24" s="12" customFormat="1" x14ac:dyDescent="0.25">
      <c r="A508" s="298">
        <f>IF(J508&lt;&gt;"",1+MAX($A$18:A507),"")</f>
        <v>318</v>
      </c>
      <c r="B508" s="299" t="s">
        <v>295</v>
      </c>
      <c r="C508" s="299" t="s">
        <v>295</v>
      </c>
      <c r="D508" s="208" t="s">
        <v>21</v>
      </c>
      <c r="E508" s="302" t="s">
        <v>67</v>
      </c>
      <c r="F508" s="330" t="s">
        <v>304</v>
      </c>
      <c r="G508" s="288">
        <v>1067</v>
      </c>
      <c r="H508" s="196">
        <f>IF(VLOOKUP(J508,'HOURLY RATES'!B$116:C$124,2,0)=0,$J$3,VLOOKUP(J508,'HOURLY RATES'!B$116:C$124,2,0))</f>
        <v>0.05</v>
      </c>
      <c r="I508" s="251">
        <f>(G508*(1+H508))</f>
        <v>1120.3500000000001</v>
      </c>
      <c r="J508" s="183" t="s">
        <v>19</v>
      </c>
      <c r="K508" s="368">
        <v>2.1999999999999999E-2</v>
      </c>
      <c r="L508" s="369">
        <f>K508*I508</f>
        <v>24.6477</v>
      </c>
      <c r="M508" s="185">
        <f>IF(VLOOKUP(E508,'HOURLY RATES'!C$6:D$105,2,0)=0,$E$3,VLOOKUP(E508,'HOURLY RATES'!C$6:D$105,2,0))</f>
        <v>29.5563775</v>
      </c>
      <c r="N508" s="197">
        <f>M508*L508</f>
        <v>728.49672570675</v>
      </c>
      <c r="O508" s="296">
        <v>1.22</v>
      </c>
      <c r="P508" s="188">
        <f>O508*I508</f>
        <v>1366.8270000000002</v>
      </c>
      <c r="Q508" s="189">
        <f>P508+N508</f>
        <v>2095.3237257067503</v>
      </c>
      <c r="R508" s="190"/>
      <c r="X508" s="212"/>
    </row>
    <row r="509" spans="1:24" s="12" customFormat="1" x14ac:dyDescent="0.2">
      <c r="A509" s="298" t="str">
        <f>IF(J509&lt;&gt;"",1+MAX($A$18:A508),"")</f>
        <v/>
      </c>
      <c r="B509" s="299"/>
      <c r="C509" s="299"/>
      <c r="D509" s="208"/>
      <c r="E509" s="302"/>
      <c r="F509" s="318"/>
      <c r="G509" s="288"/>
      <c r="H509" s="196"/>
      <c r="I509" s="251"/>
      <c r="J509" s="183"/>
      <c r="K509" s="368"/>
      <c r="L509" s="210"/>
      <c r="M509" s="185"/>
      <c r="N509" s="197"/>
      <c r="O509" s="296"/>
      <c r="P509" s="188"/>
      <c r="Q509" s="189"/>
      <c r="R509" s="190"/>
      <c r="X509" s="212"/>
    </row>
    <row r="510" spans="1:24" s="12" customFormat="1" x14ac:dyDescent="0.2">
      <c r="A510" s="298" t="str">
        <f>IF(J510&lt;&gt;"",1+MAX($A$18:A509),"")</f>
        <v/>
      </c>
      <c r="B510" s="299"/>
      <c r="C510" s="299"/>
      <c r="D510" s="208"/>
      <c r="E510" s="302"/>
      <c r="F510" s="313" t="s">
        <v>301</v>
      </c>
      <c r="G510" s="288"/>
      <c r="H510" s="196"/>
      <c r="I510" s="251"/>
      <c r="J510" s="183"/>
      <c r="K510" s="368"/>
      <c r="L510" s="210"/>
      <c r="M510" s="185"/>
      <c r="N510" s="197"/>
      <c r="O510" s="296"/>
      <c r="P510" s="188"/>
      <c r="Q510" s="189"/>
      <c r="R510" s="190"/>
      <c r="X510" s="212"/>
    </row>
    <row r="511" spans="1:24" s="12" customFormat="1" x14ac:dyDescent="0.25">
      <c r="A511" s="298">
        <f>IF(J511&lt;&gt;"",1+MAX($A$18:A510),"")</f>
        <v>319</v>
      </c>
      <c r="B511" s="299" t="s">
        <v>427</v>
      </c>
      <c r="C511" s="299" t="s">
        <v>427</v>
      </c>
      <c r="D511" s="208" t="s">
        <v>21</v>
      </c>
      <c r="E511" s="302" t="s">
        <v>58</v>
      </c>
      <c r="F511" s="330" t="s">
        <v>477</v>
      </c>
      <c r="G511" s="288">
        <v>375</v>
      </c>
      <c r="H511" s="196">
        <f>IF(VLOOKUP(J511,'HOURLY RATES'!B$116:C$124,2,0)=0,$J$3,VLOOKUP(J511,'HOURLY RATES'!B$116:C$124,2,0))</f>
        <v>0.05</v>
      </c>
      <c r="I511" s="251">
        <f t="shared" ref="I511:I512" si="437">(G511*(1+H511))</f>
        <v>393.75</v>
      </c>
      <c r="J511" s="183" t="s">
        <v>17</v>
      </c>
      <c r="K511" s="368">
        <v>0.04</v>
      </c>
      <c r="L511" s="369">
        <f t="shared" ref="L511:L520" si="438">K511*I511</f>
        <v>15.75</v>
      </c>
      <c r="M511" s="185">
        <f>IF(VLOOKUP(E511,'HOURLY RATES'!C$6:D$105,2,0)=0,$E$3,VLOOKUP(E511,'HOURLY RATES'!C$6:D$105,2,0))</f>
        <v>26.044173499999999</v>
      </c>
      <c r="N511" s="197">
        <f t="shared" ref="N511:N512" si="439">M511*L511</f>
        <v>410.19573262500001</v>
      </c>
      <c r="O511" s="296">
        <v>2.84</v>
      </c>
      <c r="P511" s="188">
        <f t="shared" ref="P511:P512" si="440">O511*I511</f>
        <v>1118.25</v>
      </c>
      <c r="Q511" s="189">
        <f t="shared" ref="Q511:Q512" si="441">P511+N511</f>
        <v>1528.4457326249999</v>
      </c>
      <c r="R511" s="190"/>
      <c r="X511" s="212"/>
    </row>
    <row r="512" spans="1:24" s="12" customFormat="1" x14ac:dyDescent="0.25">
      <c r="A512" s="298">
        <f>IF(J512&lt;&gt;"",1+MAX($A$18:A511),"")</f>
        <v>320</v>
      </c>
      <c r="B512" s="299" t="s">
        <v>427</v>
      </c>
      <c r="C512" s="299" t="s">
        <v>427</v>
      </c>
      <c r="D512" s="208" t="s">
        <v>21</v>
      </c>
      <c r="E512" s="302" t="s">
        <v>58</v>
      </c>
      <c r="F512" s="330" t="s">
        <v>478</v>
      </c>
      <c r="G512" s="288">
        <v>220.12</v>
      </c>
      <c r="H512" s="196">
        <f>IF(VLOOKUP(J512,'HOURLY RATES'!B$116:C$124,2,0)=0,$J$3,VLOOKUP(J512,'HOURLY RATES'!B$116:C$124,2,0))</f>
        <v>0.05</v>
      </c>
      <c r="I512" s="251">
        <f t="shared" si="437"/>
        <v>231.126</v>
      </c>
      <c r="J512" s="183" t="s">
        <v>17</v>
      </c>
      <c r="K512" s="368">
        <v>0.04</v>
      </c>
      <c r="L512" s="369">
        <f t="shared" si="438"/>
        <v>9.2450400000000013</v>
      </c>
      <c r="M512" s="185">
        <f>IF(VLOOKUP(E512,'HOURLY RATES'!C$6:D$105,2,0)=0,$E$3,VLOOKUP(E512,'HOURLY RATES'!C$6:D$105,2,0))</f>
        <v>26.044173499999999</v>
      </c>
      <c r="N512" s="197">
        <f t="shared" si="439"/>
        <v>240.77942577444003</v>
      </c>
      <c r="O512" s="296">
        <v>2.84</v>
      </c>
      <c r="P512" s="188">
        <f t="shared" si="440"/>
        <v>656.39783999999997</v>
      </c>
      <c r="Q512" s="189">
        <f t="shared" si="441"/>
        <v>897.17726577444</v>
      </c>
      <c r="R512" s="190"/>
      <c r="X512" s="212"/>
    </row>
    <row r="513" spans="1:24" s="12" customFormat="1" x14ac:dyDescent="0.25">
      <c r="A513" s="298">
        <f>IF(J513&lt;&gt;"",1+MAX($A$18:A512),"")</f>
        <v>321</v>
      </c>
      <c r="B513" s="299" t="s">
        <v>427</v>
      </c>
      <c r="C513" s="299" t="s">
        <v>427</v>
      </c>
      <c r="D513" s="208" t="s">
        <v>21</v>
      </c>
      <c r="E513" s="302" t="s">
        <v>60</v>
      </c>
      <c r="F513" s="330" t="s">
        <v>912</v>
      </c>
      <c r="G513" s="288">
        <v>265.58999999999997</v>
      </c>
      <c r="H513" s="196">
        <f>IF(VLOOKUP(J513,'HOURLY RATES'!B$116:C$124,2,0)=0,$J$3,VLOOKUP(J513,'HOURLY RATES'!B$116:C$124,2,0))</f>
        <v>0.05</v>
      </c>
      <c r="I513" s="251">
        <f t="shared" ref="I513:I518" si="442">(G513*(1+H513))</f>
        <v>278.86949999999996</v>
      </c>
      <c r="J513" s="183" t="s">
        <v>17</v>
      </c>
      <c r="K513" s="368">
        <v>3.5000000000000003E-2</v>
      </c>
      <c r="L513" s="369">
        <f t="shared" si="438"/>
        <v>9.7604325000000003</v>
      </c>
      <c r="M513" s="185">
        <f>IF(VLOOKUP(E513,'HOURLY RATES'!C$6:D$105,2,0)=0,$E$3,VLOOKUP(E513,'HOURLY RATES'!C$6:D$105,2,0))</f>
        <v>26.1045935</v>
      </c>
      <c r="N513" s="197">
        <f t="shared" ref="N513:N518" si="443">M513*L513</f>
        <v>254.79212279668874</v>
      </c>
      <c r="O513" s="296">
        <v>3.5</v>
      </c>
      <c r="P513" s="188">
        <f t="shared" ref="P513:P518" si="444">O513*I513</f>
        <v>976.04324999999983</v>
      </c>
      <c r="Q513" s="189">
        <f t="shared" ref="Q513:Q518" si="445">P513+N513</f>
        <v>1230.8353727966885</v>
      </c>
      <c r="R513" s="190"/>
      <c r="X513" s="212"/>
    </row>
    <row r="514" spans="1:24" s="12" customFormat="1" x14ac:dyDescent="0.25">
      <c r="A514" s="298">
        <f>IF(J514&lt;&gt;"",1+MAX($A$18:A513),"")</f>
        <v>322</v>
      </c>
      <c r="B514" s="299" t="s">
        <v>427</v>
      </c>
      <c r="C514" s="299" t="s">
        <v>427</v>
      </c>
      <c r="D514" s="208" t="s">
        <v>21</v>
      </c>
      <c r="E514" s="302" t="s">
        <v>58</v>
      </c>
      <c r="F514" s="330" t="s">
        <v>479</v>
      </c>
      <c r="G514" s="288">
        <v>684.53</v>
      </c>
      <c r="H514" s="196">
        <f>IF(VLOOKUP(J514,'HOURLY RATES'!B$116:C$124,2,0)=0,$J$3,VLOOKUP(J514,'HOURLY RATES'!B$116:C$124,2,0))</f>
        <v>0.05</v>
      </c>
      <c r="I514" s="251">
        <f t="shared" si="442"/>
        <v>718.75649999999996</v>
      </c>
      <c r="J514" s="183" t="s">
        <v>17</v>
      </c>
      <c r="K514" s="368">
        <v>0.04</v>
      </c>
      <c r="L514" s="369">
        <f t="shared" si="438"/>
        <v>28.750259999999997</v>
      </c>
      <c r="M514" s="185">
        <f>IF(VLOOKUP(E514,'HOURLY RATES'!C$6:D$105,2,0)=0,$E$3,VLOOKUP(E514,'HOURLY RATES'!C$6:D$105,2,0))</f>
        <v>26.044173499999999</v>
      </c>
      <c r="N514" s="197">
        <f t="shared" si="443"/>
        <v>748.77675961010993</v>
      </c>
      <c r="O514" s="296">
        <v>2.84</v>
      </c>
      <c r="P514" s="188">
        <f t="shared" si="444"/>
        <v>2041.2684599999998</v>
      </c>
      <c r="Q514" s="189">
        <f t="shared" si="445"/>
        <v>2790.0452196101096</v>
      </c>
      <c r="R514" s="190"/>
      <c r="X514" s="212"/>
    </row>
    <row r="515" spans="1:24" s="12" customFormat="1" x14ac:dyDescent="0.25">
      <c r="A515" s="298">
        <f>IF(J515&lt;&gt;"",1+MAX($A$18:A514),"")</f>
        <v>323</v>
      </c>
      <c r="B515" s="299" t="s">
        <v>427</v>
      </c>
      <c r="C515" s="299" t="s">
        <v>427</v>
      </c>
      <c r="D515" s="208" t="s">
        <v>21</v>
      </c>
      <c r="E515" s="302" t="s">
        <v>58</v>
      </c>
      <c r="F515" s="330" t="s">
        <v>480</v>
      </c>
      <c r="G515" s="288">
        <v>126.89</v>
      </c>
      <c r="H515" s="196">
        <f>IF(VLOOKUP(J515,'HOURLY RATES'!B$116:C$124,2,0)=0,$J$3,VLOOKUP(J515,'HOURLY RATES'!B$116:C$124,2,0))</f>
        <v>0.05</v>
      </c>
      <c r="I515" s="251">
        <f t="shared" si="442"/>
        <v>133.2345</v>
      </c>
      <c r="J515" s="183" t="s">
        <v>17</v>
      </c>
      <c r="K515" s="368">
        <v>0.04</v>
      </c>
      <c r="L515" s="369">
        <f t="shared" si="438"/>
        <v>5.3293799999999996</v>
      </c>
      <c r="M515" s="185">
        <f>IF(VLOOKUP(E515,'HOURLY RATES'!C$6:D$105,2,0)=0,$E$3,VLOOKUP(E515,'HOURLY RATES'!C$6:D$105,2,0))</f>
        <v>26.044173499999999</v>
      </c>
      <c r="N515" s="197">
        <f t="shared" si="443"/>
        <v>138.79929736742997</v>
      </c>
      <c r="O515" s="296">
        <v>2.84</v>
      </c>
      <c r="P515" s="188">
        <f t="shared" si="444"/>
        <v>378.38597999999996</v>
      </c>
      <c r="Q515" s="189">
        <f t="shared" si="445"/>
        <v>517.18527736742999</v>
      </c>
      <c r="R515" s="190"/>
      <c r="X515" s="212"/>
    </row>
    <row r="516" spans="1:24" s="12" customFormat="1" x14ac:dyDescent="0.25">
      <c r="A516" s="298">
        <f>IF(J516&lt;&gt;"",1+MAX($A$18:A515),"")</f>
        <v>324</v>
      </c>
      <c r="B516" s="299" t="s">
        <v>427</v>
      </c>
      <c r="C516" s="299" t="s">
        <v>427</v>
      </c>
      <c r="D516" s="208" t="s">
        <v>21</v>
      </c>
      <c r="E516" s="302" t="s">
        <v>58</v>
      </c>
      <c r="F516" s="330" t="s">
        <v>481</v>
      </c>
      <c r="G516" s="288">
        <v>34.200000000000003</v>
      </c>
      <c r="H516" s="196">
        <f>IF(VLOOKUP(J516,'HOURLY RATES'!B$116:C$124,2,0)=0,$J$3,VLOOKUP(J516,'HOURLY RATES'!B$116:C$124,2,0))</f>
        <v>0.05</v>
      </c>
      <c r="I516" s="251">
        <f t="shared" si="442"/>
        <v>35.910000000000004</v>
      </c>
      <c r="J516" s="183" t="s">
        <v>17</v>
      </c>
      <c r="K516" s="368">
        <v>0.04</v>
      </c>
      <c r="L516" s="369">
        <f t="shared" si="438"/>
        <v>1.4364000000000001</v>
      </c>
      <c r="M516" s="185">
        <f>IF(VLOOKUP(E516,'HOURLY RATES'!C$6:D$105,2,0)=0,$E$3,VLOOKUP(E516,'HOURLY RATES'!C$6:D$105,2,0))</f>
        <v>26.044173499999999</v>
      </c>
      <c r="N516" s="197">
        <f t="shared" si="443"/>
        <v>37.409850815400006</v>
      </c>
      <c r="O516" s="296">
        <v>2.84</v>
      </c>
      <c r="P516" s="188">
        <f t="shared" si="444"/>
        <v>101.98440000000001</v>
      </c>
      <c r="Q516" s="189">
        <f t="shared" si="445"/>
        <v>139.39425081540003</v>
      </c>
      <c r="R516" s="190"/>
      <c r="X516" s="212"/>
    </row>
    <row r="517" spans="1:24" s="12" customFormat="1" x14ac:dyDescent="0.25">
      <c r="A517" s="298">
        <f>IF(J517&lt;&gt;"",1+MAX($A$18:A516),"")</f>
        <v>325</v>
      </c>
      <c r="B517" s="299" t="s">
        <v>427</v>
      </c>
      <c r="C517" s="299" t="s">
        <v>427</v>
      </c>
      <c r="D517" s="208" t="s">
        <v>21</v>
      </c>
      <c r="E517" s="302" t="s">
        <v>58</v>
      </c>
      <c r="F517" s="330" t="s">
        <v>930</v>
      </c>
      <c r="G517" s="288">
        <v>142.75</v>
      </c>
      <c r="H517" s="196">
        <f>IF(VLOOKUP(J517,'HOURLY RATES'!B$116:C$124,2,0)=0,$J$3,VLOOKUP(J517,'HOURLY RATES'!B$116:C$124,2,0))</f>
        <v>0.05</v>
      </c>
      <c r="I517" s="251">
        <f t="shared" si="442"/>
        <v>149.88750000000002</v>
      </c>
      <c r="J517" s="183" t="s">
        <v>17</v>
      </c>
      <c r="K517" s="368">
        <v>0.04</v>
      </c>
      <c r="L517" s="369">
        <f t="shared" si="438"/>
        <v>5.9955000000000007</v>
      </c>
      <c r="M517" s="185">
        <f>IF(VLOOKUP(E517,'HOURLY RATES'!C$6:D$105,2,0)=0,$E$3,VLOOKUP(E517,'HOURLY RATES'!C$6:D$105,2,0))</f>
        <v>26.044173499999999</v>
      </c>
      <c r="N517" s="197">
        <f t="shared" si="443"/>
        <v>156.14784221925001</v>
      </c>
      <c r="O517" s="296">
        <v>2.84</v>
      </c>
      <c r="P517" s="188">
        <f t="shared" si="444"/>
        <v>425.68050000000005</v>
      </c>
      <c r="Q517" s="189">
        <f t="shared" si="445"/>
        <v>581.82834221925009</v>
      </c>
      <c r="R517" s="190"/>
      <c r="X517" s="212"/>
    </row>
    <row r="518" spans="1:24" s="12" customFormat="1" x14ac:dyDescent="0.25">
      <c r="A518" s="298">
        <f>IF(J518&lt;&gt;"",1+MAX($A$18:A517),"")</f>
        <v>326</v>
      </c>
      <c r="B518" s="299" t="s">
        <v>427</v>
      </c>
      <c r="C518" s="299" t="s">
        <v>427</v>
      </c>
      <c r="D518" s="208" t="s">
        <v>21</v>
      </c>
      <c r="E518" s="302" t="s">
        <v>58</v>
      </c>
      <c r="F518" s="330" t="s">
        <v>482</v>
      </c>
      <c r="G518" s="288">
        <v>75.94</v>
      </c>
      <c r="H518" s="196">
        <f>IF(VLOOKUP(J518,'HOURLY RATES'!B$116:C$124,2,0)=0,$J$3,VLOOKUP(J518,'HOURLY RATES'!B$116:C$124,2,0))</f>
        <v>0.05</v>
      </c>
      <c r="I518" s="251">
        <f t="shared" si="442"/>
        <v>79.736999999999995</v>
      </c>
      <c r="J518" s="183" t="s">
        <v>17</v>
      </c>
      <c r="K518" s="368">
        <v>0.04</v>
      </c>
      <c r="L518" s="369">
        <f t="shared" si="438"/>
        <v>3.1894799999999996</v>
      </c>
      <c r="M518" s="185">
        <f>IF(VLOOKUP(E518,'HOURLY RATES'!C$6:D$105,2,0)=0,$E$3,VLOOKUP(E518,'HOURLY RATES'!C$6:D$105,2,0))</f>
        <v>26.044173499999999</v>
      </c>
      <c r="N518" s="197">
        <f t="shared" si="443"/>
        <v>83.067370494779993</v>
      </c>
      <c r="O518" s="296">
        <v>2.84</v>
      </c>
      <c r="P518" s="188">
        <f t="shared" si="444"/>
        <v>226.45307999999997</v>
      </c>
      <c r="Q518" s="189">
        <f t="shared" si="445"/>
        <v>309.52045049477999</v>
      </c>
      <c r="R518" s="190"/>
      <c r="X518" s="212"/>
    </row>
    <row r="519" spans="1:24" s="12" customFormat="1" x14ac:dyDescent="0.25">
      <c r="A519" s="298">
        <f>IF(J519&lt;&gt;"",1+MAX($A$18:A518),"")</f>
        <v>327</v>
      </c>
      <c r="B519" s="299" t="s">
        <v>427</v>
      </c>
      <c r="C519" s="299" t="s">
        <v>427</v>
      </c>
      <c r="D519" s="208" t="s">
        <v>21</v>
      </c>
      <c r="E519" s="302" t="s">
        <v>58</v>
      </c>
      <c r="F519" s="330" t="s">
        <v>487</v>
      </c>
      <c r="G519" s="288">
        <v>91.27</v>
      </c>
      <c r="H519" s="196">
        <f>IF(VLOOKUP(J519,'HOURLY RATES'!B$116:C$124,2,0)=0,$J$3,VLOOKUP(J519,'HOURLY RATES'!B$116:C$124,2,0))</f>
        <v>0.05</v>
      </c>
      <c r="I519" s="251">
        <f t="shared" ref="I519:I520" si="446">(G519*(1+H519))</f>
        <v>95.833500000000001</v>
      </c>
      <c r="J519" s="183" t="s">
        <v>17</v>
      </c>
      <c r="K519" s="368">
        <v>0.04</v>
      </c>
      <c r="L519" s="369">
        <f t="shared" si="438"/>
        <v>3.8333400000000002</v>
      </c>
      <c r="M519" s="185">
        <f>IF(VLOOKUP(E519,'HOURLY RATES'!C$6:D$105,2,0)=0,$E$3,VLOOKUP(E519,'HOURLY RATES'!C$6:D$105,2,0))</f>
        <v>26.044173499999999</v>
      </c>
      <c r="N519" s="197">
        <f t="shared" ref="N519:N520" si="447">M519*L519</f>
        <v>99.836172044489999</v>
      </c>
      <c r="O519" s="296">
        <v>2.84</v>
      </c>
      <c r="P519" s="188">
        <f t="shared" ref="P519:P520" si="448">O519*I519</f>
        <v>272.16713999999996</v>
      </c>
      <c r="Q519" s="189">
        <f t="shared" ref="Q519:Q520" si="449">P519+N519</f>
        <v>372.00331204448997</v>
      </c>
      <c r="R519" s="190"/>
      <c r="X519" s="212"/>
    </row>
    <row r="520" spans="1:24" s="12" customFormat="1" x14ac:dyDescent="0.25">
      <c r="A520" s="298">
        <f>IF(J520&lt;&gt;"",1+MAX($A$18:A519),"")</f>
        <v>328</v>
      </c>
      <c r="B520" s="299" t="s">
        <v>427</v>
      </c>
      <c r="C520" s="299" t="s">
        <v>427</v>
      </c>
      <c r="D520" s="208" t="s">
        <v>21</v>
      </c>
      <c r="E520" s="302" t="s">
        <v>58</v>
      </c>
      <c r="F520" s="330" t="s">
        <v>491</v>
      </c>
      <c r="G520" s="288">
        <v>258.16000000000003</v>
      </c>
      <c r="H520" s="196">
        <f>IF(VLOOKUP(J520,'HOURLY RATES'!B$116:C$124,2,0)=0,$J$3,VLOOKUP(J520,'HOURLY RATES'!B$116:C$124,2,0))</f>
        <v>0.05</v>
      </c>
      <c r="I520" s="251">
        <f t="shared" si="446"/>
        <v>271.06800000000004</v>
      </c>
      <c r="J520" s="183" t="s">
        <v>17</v>
      </c>
      <c r="K520" s="368">
        <v>0.04</v>
      </c>
      <c r="L520" s="369">
        <f t="shared" si="438"/>
        <v>10.842720000000002</v>
      </c>
      <c r="M520" s="185">
        <f>IF(VLOOKUP(E520,'HOURLY RATES'!C$6:D$105,2,0)=0,$E$3,VLOOKUP(E520,'HOURLY RATES'!C$6:D$105,2,0))</f>
        <v>26.044173499999999</v>
      </c>
      <c r="N520" s="197">
        <f t="shared" si="447"/>
        <v>282.38968089192002</v>
      </c>
      <c r="O520" s="296">
        <v>2.84</v>
      </c>
      <c r="P520" s="188">
        <f t="shared" si="448"/>
        <v>769.83312000000012</v>
      </c>
      <c r="Q520" s="189">
        <f t="shared" si="449"/>
        <v>1052.2228008919201</v>
      </c>
      <c r="R520" s="190"/>
      <c r="X520" s="212"/>
    </row>
    <row r="521" spans="1:24" s="12" customFormat="1" x14ac:dyDescent="0.25">
      <c r="A521" s="298">
        <f>IF(J521&lt;&gt;"",1+MAX($A$18:A520),"")</f>
        <v>329</v>
      </c>
      <c r="B521" s="299" t="s">
        <v>427</v>
      </c>
      <c r="C521" s="299" t="s">
        <v>427</v>
      </c>
      <c r="D521" s="208" t="s">
        <v>21</v>
      </c>
      <c r="E521" s="302" t="s">
        <v>58</v>
      </c>
      <c r="F521" s="330" t="s">
        <v>874</v>
      </c>
      <c r="G521" s="288">
        <v>118</v>
      </c>
      <c r="H521" s="196">
        <f>IF(VLOOKUP(J521,'HOURLY RATES'!B$116:C$124,2,0)=0,$J$3,VLOOKUP(J521,'HOURLY RATES'!B$116:C$124,2,0))</f>
        <v>0.05</v>
      </c>
      <c r="I521" s="251">
        <f t="shared" ref="I521" si="450">(G521*(1+H521))</f>
        <v>123.9</v>
      </c>
      <c r="J521" s="183" t="s">
        <v>17</v>
      </c>
      <c r="K521" s="368">
        <v>3.5000000000000003E-2</v>
      </c>
      <c r="L521" s="369">
        <f>K521*I521</f>
        <v>4.3365000000000009</v>
      </c>
      <c r="M521" s="185">
        <f>IF(VLOOKUP(E521,'HOURLY RATES'!C$6:D$105,2,0)=0,$E$3,VLOOKUP(E521,'HOURLY RATES'!C$6:D$105,2,0))</f>
        <v>26.044173499999999</v>
      </c>
      <c r="N521" s="197">
        <f>M521*L521</f>
        <v>112.94055838275003</v>
      </c>
      <c r="O521" s="296">
        <v>2.5</v>
      </c>
      <c r="P521" s="188">
        <f>O521*I521</f>
        <v>309.75</v>
      </c>
      <c r="Q521" s="189">
        <f>P521+N521</f>
        <v>422.69055838275005</v>
      </c>
      <c r="R521" s="190"/>
      <c r="X521" s="212"/>
    </row>
    <row r="522" spans="1:24" s="12" customFormat="1" x14ac:dyDescent="0.25">
      <c r="A522" s="298" t="str">
        <f>IF(J522&lt;&gt;"",1+MAX($A$18:A521),"")</f>
        <v/>
      </c>
      <c r="B522" s="299"/>
      <c r="C522" s="299"/>
      <c r="D522" s="208"/>
      <c r="E522" s="302"/>
      <c r="F522" s="330"/>
      <c r="G522" s="288"/>
      <c r="H522" s="196"/>
      <c r="I522" s="251"/>
      <c r="J522" s="183"/>
      <c r="K522" s="368"/>
      <c r="L522" s="369"/>
      <c r="M522" s="185"/>
      <c r="N522" s="197"/>
      <c r="O522" s="296"/>
      <c r="P522" s="188"/>
      <c r="Q522" s="189"/>
      <c r="R522" s="190"/>
      <c r="X522" s="212"/>
    </row>
    <row r="523" spans="1:24" s="12" customFormat="1" x14ac:dyDescent="0.2">
      <c r="A523" s="298" t="str">
        <f>IF(J523&lt;&gt;"",1+MAX($A$18:A522),"")</f>
        <v/>
      </c>
      <c r="B523" s="299"/>
      <c r="C523" s="299"/>
      <c r="D523" s="208"/>
      <c r="E523" s="302"/>
      <c r="F523" s="313" t="s">
        <v>910</v>
      </c>
      <c r="G523" s="288"/>
      <c r="H523" s="196"/>
      <c r="I523" s="251"/>
      <c r="J523" s="183"/>
      <c r="K523" s="368"/>
      <c r="L523" s="210"/>
      <c r="M523" s="185"/>
      <c r="N523" s="197"/>
      <c r="O523" s="296"/>
      <c r="P523" s="188"/>
      <c r="Q523" s="189"/>
      <c r="R523" s="190"/>
      <c r="X523" s="212"/>
    </row>
    <row r="524" spans="1:24" s="12" customFormat="1" x14ac:dyDescent="0.25">
      <c r="A524" s="298">
        <f>IF(J524&lt;&gt;"",1+MAX($A$18:A523),"")</f>
        <v>330</v>
      </c>
      <c r="B524" s="299" t="s">
        <v>427</v>
      </c>
      <c r="C524" s="299" t="s">
        <v>427</v>
      </c>
      <c r="D524" s="208" t="s">
        <v>21</v>
      </c>
      <c r="E524" s="302" t="s">
        <v>58</v>
      </c>
      <c r="F524" s="330" t="s">
        <v>483</v>
      </c>
      <c r="G524" s="288">
        <v>94.62</v>
      </c>
      <c r="H524" s="196">
        <f>IF(VLOOKUP(J524,'HOURLY RATES'!B$116:C$124,2,0)=0,$J$3,VLOOKUP(J524,'HOURLY RATES'!B$116:C$124,2,0))</f>
        <v>0.05</v>
      </c>
      <c r="I524" s="251">
        <f t="shared" ref="I524" si="451">(G524*(1+H524))</f>
        <v>99.351000000000013</v>
      </c>
      <c r="J524" s="183" t="s">
        <v>19</v>
      </c>
      <c r="K524" s="368">
        <v>2.8000000000000001E-2</v>
      </c>
      <c r="L524" s="369">
        <f t="shared" ref="L524:L533" si="452">K524*I524</f>
        <v>2.7818280000000004</v>
      </c>
      <c r="M524" s="185">
        <f>IF(VLOOKUP(E524,'HOURLY RATES'!C$6:D$105,2,0)=0,$E$3,VLOOKUP(E524,'HOURLY RATES'!C$6:D$105,2,0))</f>
        <v>26.044173499999999</v>
      </c>
      <c r="N524" s="197">
        <f t="shared" ref="N524" si="453">M524*L524</f>
        <v>72.450411079158016</v>
      </c>
      <c r="O524" s="296">
        <f>2.84*4/12</f>
        <v>0.94666666666666666</v>
      </c>
      <c r="P524" s="188">
        <f t="shared" ref="P524" si="454">O524*I524</f>
        <v>94.05228000000001</v>
      </c>
      <c r="Q524" s="189">
        <f t="shared" ref="Q524" si="455">P524+N524</f>
        <v>166.50269107915801</v>
      </c>
      <c r="R524" s="190"/>
      <c r="X524" s="212"/>
    </row>
    <row r="525" spans="1:24" s="12" customFormat="1" x14ac:dyDescent="0.25">
      <c r="A525" s="298">
        <f>IF(J525&lt;&gt;"",1+MAX($A$18:A524),"")</f>
        <v>331</v>
      </c>
      <c r="B525" s="299" t="s">
        <v>427</v>
      </c>
      <c r="C525" s="299" t="s">
        <v>427</v>
      </c>
      <c r="D525" s="208" t="s">
        <v>21</v>
      </c>
      <c r="E525" s="302" t="s">
        <v>58</v>
      </c>
      <c r="F525" s="330" t="s">
        <v>484</v>
      </c>
      <c r="G525" s="288">
        <v>29.7</v>
      </c>
      <c r="H525" s="196">
        <f>IF(VLOOKUP(J525,'HOURLY RATES'!B$116:C$124,2,0)=0,$J$3,VLOOKUP(J525,'HOURLY RATES'!B$116:C$124,2,0))</f>
        <v>0.05</v>
      </c>
      <c r="I525" s="251">
        <f t="shared" ref="I525:I533" si="456">(G525*(1+H525))</f>
        <v>31.185000000000002</v>
      </c>
      <c r="J525" s="183" t="s">
        <v>19</v>
      </c>
      <c r="K525" s="368">
        <v>2.8000000000000001E-2</v>
      </c>
      <c r="L525" s="369">
        <f t="shared" si="452"/>
        <v>0.87318000000000007</v>
      </c>
      <c r="M525" s="185">
        <f>IF(VLOOKUP(E525,'HOURLY RATES'!C$6:D$105,2,0)=0,$E$3,VLOOKUP(E525,'HOURLY RATES'!C$6:D$105,2,0))</f>
        <v>26.044173499999999</v>
      </c>
      <c r="N525" s="197">
        <f t="shared" ref="N525:N533" si="457">M525*L525</f>
        <v>22.741251416730002</v>
      </c>
      <c r="O525" s="296">
        <f t="shared" ref="O525:O533" si="458">2.84*4/12</f>
        <v>0.94666666666666666</v>
      </c>
      <c r="P525" s="188">
        <f t="shared" ref="P525:P533" si="459">O525*I525</f>
        <v>29.521800000000002</v>
      </c>
      <c r="Q525" s="189">
        <f t="shared" ref="Q525:Q533" si="460">P525+N525</f>
        <v>52.263051416730008</v>
      </c>
      <c r="R525" s="190"/>
      <c r="X525" s="212"/>
    </row>
    <row r="526" spans="1:24" s="12" customFormat="1" x14ac:dyDescent="0.25">
      <c r="A526" s="298">
        <f>IF(J526&lt;&gt;"",1+MAX($A$18:A525),"")</f>
        <v>332</v>
      </c>
      <c r="B526" s="299" t="s">
        <v>427</v>
      </c>
      <c r="C526" s="299" t="s">
        <v>427</v>
      </c>
      <c r="D526" s="208" t="s">
        <v>21</v>
      </c>
      <c r="E526" s="302" t="s">
        <v>60</v>
      </c>
      <c r="F526" s="330" t="s">
        <v>913</v>
      </c>
      <c r="G526" s="288">
        <v>165.71</v>
      </c>
      <c r="H526" s="196">
        <f>IF(VLOOKUP(J526,'HOURLY RATES'!B$116:C$124,2,0)=0,$J$3,VLOOKUP(J526,'HOURLY RATES'!B$116:C$124,2,0))</f>
        <v>0.05</v>
      </c>
      <c r="I526" s="251">
        <f t="shared" si="456"/>
        <v>173.99550000000002</v>
      </c>
      <c r="J526" s="183" t="s">
        <v>19</v>
      </c>
      <c r="K526" s="368">
        <v>4.4999999999999998E-2</v>
      </c>
      <c r="L526" s="369">
        <f t="shared" si="452"/>
        <v>7.8297975000000006</v>
      </c>
      <c r="M526" s="185">
        <f>IF(VLOOKUP(E526,'HOURLY RATES'!C$6:D$105,2,0)=0,$E$3,VLOOKUP(E526,'HOURLY RATES'!C$6:D$105,2,0))</f>
        <v>26.1045935</v>
      </c>
      <c r="N526" s="197">
        <f t="shared" si="457"/>
        <v>204.39368092481627</v>
      </c>
      <c r="O526" s="296">
        <v>3.2</v>
      </c>
      <c r="P526" s="188">
        <f t="shared" si="459"/>
        <v>556.78560000000004</v>
      </c>
      <c r="Q526" s="189">
        <f t="shared" si="460"/>
        <v>761.17928092481634</v>
      </c>
      <c r="R526" s="190"/>
      <c r="X526" s="212"/>
    </row>
    <row r="527" spans="1:24" s="12" customFormat="1" x14ac:dyDescent="0.25">
      <c r="A527" s="298">
        <f>IF(J527&lt;&gt;"",1+MAX($A$18:A526),"")</f>
        <v>333</v>
      </c>
      <c r="B527" s="299" t="s">
        <v>427</v>
      </c>
      <c r="C527" s="299" t="s">
        <v>427</v>
      </c>
      <c r="D527" s="208" t="s">
        <v>21</v>
      </c>
      <c r="E527" s="302" t="s">
        <v>58</v>
      </c>
      <c r="F527" s="330" t="s">
        <v>485</v>
      </c>
      <c r="G527" s="288">
        <v>211.3</v>
      </c>
      <c r="H527" s="196">
        <f>IF(VLOOKUP(J527,'HOURLY RATES'!B$116:C$124,2,0)=0,$J$3,VLOOKUP(J527,'HOURLY RATES'!B$116:C$124,2,0))</f>
        <v>0.05</v>
      </c>
      <c r="I527" s="251">
        <f t="shared" si="456"/>
        <v>221.86500000000001</v>
      </c>
      <c r="J527" s="183" t="s">
        <v>19</v>
      </c>
      <c r="K527" s="368">
        <v>2.8000000000000001E-2</v>
      </c>
      <c r="L527" s="369">
        <f t="shared" si="452"/>
        <v>6.2122200000000003</v>
      </c>
      <c r="M527" s="185">
        <f>IF(VLOOKUP(E527,'HOURLY RATES'!C$6:D$105,2,0)=0,$E$3,VLOOKUP(E527,'HOURLY RATES'!C$6:D$105,2,0))</f>
        <v>26.044173499999999</v>
      </c>
      <c r="N527" s="197">
        <f t="shared" si="457"/>
        <v>161.79213550016999</v>
      </c>
      <c r="O527" s="296">
        <f t="shared" si="458"/>
        <v>0.94666666666666666</v>
      </c>
      <c r="P527" s="188">
        <f t="shared" si="459"/>
        <v>210.03220000000002</v>
      </c>
      <c r="Q527" s="189">
        <f t="shared" si="460"/>
        <v>371.82433550017004</v>
      </c>
      <c r="R527" s="190"/>
      <c r="X527" s="212"/>
    </row>
    <row r="528" spans="1:24" s="12" customFormat="1" x14ac:dyDescent="0.25">
      <c r="A528" s="298">
        <f>IF(J528&lt;&gt;"",1+MAX($A$18:A527),"")</f>
        <v>334</v>
      </c>
      <c r="B528" s="299" t="s">
        <v>427</v>
      </c>
      <c r="C528" s="299" t="s">
        <v>427</v>
      </c>
      <c r="D528" s="208" t="s">
        <v>21</v>
      </c>
      <c r="E528" s="302" t="s">
        <v>58</v>
      </c>
      <c r="F528" s="330" t="s">
        <v>486</v>
      </c>
      <c r="G528" s="288">
        <v>70.72</v>
      </c>
      <c r="H528" s="196">
        <f>IF(VLOOKUP(J528,'HOURLY RATES'!B$116:C$124,2,0)=0,$J$3,VLOOKUP(J528,'HOURLY RATES'!B$116:C$124,2,0))</f>
        <v>0.05</v>
      </c>
      <c r="I528" s="251">
        <f t="shared" si="456"/>
        <v>74.256</v>
      </c>
      <c r="J528" s="183" t="s">
        <v>19</v>
      </c>
      <c r="K528" s="368">
        <v>2.8000000000000001E-2</v>
      </c>
      <c r="L528" s="369">
        <f t="shared" si="452"/>
        <v>2.0791680000000001</v>
      </c>
      <c r="M528" s="185">
        <f>IF(VLOOKUP(E528,'HOURLY RATES'!C$6:D$105,2,0)=0,$E$3,VLOOKUP(E528,'HOURLY RATES'!C$6:D$105,2,0))</f>
        <v>26.044173499999999</v>
      </c>
      <c r="N528" s="197">
        <f t="shared" si="457"/>
        <v>54.150212127648004</v>
      </c>
      <c r="O528" s="296">
        <f t="shared" si="458"/>
        <v>0.94666666666666666</v>
      </c>
      <c r="P528" s="188">
        <f t="shared" si="459"/>
        <v>70.295680000000004</v>
      </c>
      <c r="Q528" s="189">
        <f t="shared" si="460"/>
        <v>124.44589212764801</v>
      </c>
      <c r="R528" s="190"/>
      <c r="X528" s="212"/>
    </row>
    <row r="529" spans="1:24" s="12" customFormat="1" x14ac:dyDescent="0.25">
      <c r="A529" s="298">
        <f>IF(J529&lt;&gt;"",1+MAX($A$18:A528),"")</f>
        <v>335</v>
      </c>
      <c r="B529" s="299" t="s">
        <v>427</v>
      </c>
      <c r="C529" s="299" t="s">
        <v>427</v>
      </c>
      <c r="D529" s="208" t="s">
        <v>21</v>
      </c>
      <c r="E529" s="302" t="s">
        <v>58</v>
      </c>
      <c r="F529" s="330" t="s">
        <v>490</v>
      </c>
      <c r="G529" s="288">
        <v>107.13</v>
      </c>
      <c r="H529" s="196">
        <f>IF(VLOOKUP(J529,'HOURLY RATES'!B$116:C$124,2,0)=0,$J$3,VLOOKUP(J529,'HOURLY RATES'!B$116:C$124,2,0))</f>
        <v>0.05</v>
      </c>
      <c r="I529" s="251">
        <f t="shared" si="456"/>
        <v>112.48650000000001</v>
      </c>
      <c r="J529" s="183" t="s">
        <v>19</v>
      </c>
      <c r="K529" s="368">
        <v>2.8000000000000001E-2</v>
      </c>
      <c r="L529" s="369">
        <f t="shared" si="452"/>
        <v>3.1496220000000004</v>
      </c>
      <c r="M529" s="185">
        <f>IF(VLOOKUP(E529,'HOURLY RATES'!C$6:D$105,2,0)=0,$E$3,VLOOKUP(E529,'HOURLY RATES'!C$6:D$105,2,0))</f>
        <v>26.044173499999999</v>
      </c>
      <c r="N529" s="197">
        <f t="shared" si="457"/>
        <v>82.029301827417001</v>
      </c>
      <c r="O529" s="296">
        <f t="shared" si="458"/>
        <v>0.94666666666666666</v>
      </c>
      <c r="P529" s="188">
        <f t="shared" si="459"/>
        <v>106.48722000000001</v>
      </c>
      <c r="Q529" s="189">
        <f t="shared" si="460"/>
        <v>188.51652182741702</v>
      </c>
      <c r="R529" s="190"/>
      <c r="X529" s="212"/>
    </row>
    <row r="530" spans="1:24" s="12" customFormat="1" x14ac:dyDescent="0.25">
      <c r="A530" s="298">
        <f>IF(J530&lt;&gt;"",1+MAX($A$18:A529),"")</f>
        <v>336</v>
      </c>
      <c r="B530" s="299" t="s">
        <v>427</v>
      </c>
      <c r="C530" s="299" t="s">
        <v>427</v>
      </c>
      <c r="D530" s="208" t="s">
        <v>21</v>
      </c>
      <c r="E530" s="302" t="s">
        <v>58</v>
      </c>
      <c r="F530" s="330" t="s">
        <v>492</v>
      </c>
      <c r="G530" s="288">
        <v>72.3</v>
      </c>
      <c r="H530" s="196">
        <f>IF(VLOOKUP(J530,'HOURLY RATES'!B$116:C$124,2,0)=0,$J$3,VLOOKUP(J530,'HOURLY RATES'!B$116:C$124,2,0))</f>
        <v>0.05</v>
      </c>
      <c r="I530" s="251">
        <f t="shared" si="456"/>
        <v>75.915000000000006</v>
      </c>
      <c r="J530" s="183" t="s">
        <v>19</v>
      </c>
      <c r="K530" s="368">
        <v>2.8000000000000001E-2</v>
      </c>
      <c r="L530" s="369">
        <f t="shared" si="452"/>
        <v>2.1256200000000001</v>
      </c>
      <c r="M530" s="185">
        <f>IF(VLOOKUP(E530,'HOURLY RATES'!C$6:D$105,2,0)=0,$E$3,VLOOKUP(E530,'HOURLY RATES'!C$6:D$105,2,0))</f>
        <v>26.044173499999999</v>
      </c>
      <c r="N530" s="197">
        <f t="shared" si="457"/>
        <v>55.36001607507</v>
      </c>
      <c r="O530" s="296">
        <f t="shared" si="458"/>
        <v>0.94666666666666666</v>
      </c>
      <c r="P530" s="188">
        <f t="shared" si="459"/>
        <v>71.866200000000006</v>
      </c>
      <c r="Q530" s="189">
        <f t="shared" si="460"/>
        <v>127.22621607507</v>
      </c>
      <c r="R530" s="190"/>
      <c r="X530" s="212"/>
    </row>
    <row r="531" spans="1:24" s="12" customFormat="1" x14ac:dyDescent="0.25">
      <c r="A531" s="298">
        <f>IF(J531&lt;&gt;"",1+MAX($A$18:A530),"")</f>
        <v>337</v>
      </c>
      <c r="B531" s="299" t="s">
        <v>427</v>
      </c>
      <c r="C531" s="299" t="s">
        <v>427</v>
      </c>
      <c r="D531" s="208" t="s">
        <v>21</v>
      </c>
      <c r="E531" s="302" t="s">
        <v>58</v>
      </c>
      <c r="F531" s="330" t="s">
        <v>493</v>
      </c>
      <c r="G531" s="288">
        <v>45.79</v>
      </c>
      <c r="H531" s="196">
        <f>IF(VLOOKUP(J531,'HOURLY RATES'!B$116:C$124,2,0)=0,$J$3,VLOOKUP(J531,'HOURLY RATES'!B$116:C$124,2,0))</f>
        <v>0.05</v>
      </c>
      <c r="I531" s="251">
        <f t="shared" si="456"/>
        <v>48.079500000000003</v>
      </c>
      <c r="J531" s="183" t="s">
        <v>19</v>
      </c>
      <c r="K531" s="368">
        <v>2.8000000000000001E-2</v>
      </c>
      <c r="L531" s="369">
        <f t="shared" si="452"/>
        <v>1.3462260000000001</v>
      </c>
      <c r="M531" s="185">
        <f>IF(VLOOKUP(E531,'HOURLY RATES'!C$6:D$105,2,0)=0,$E$3,VLOOKUP(E531,'HOURLY RATES'!C$6:D$105,2,0))</f>
        <v>26.044173499999999</v>
      </c>
      <c r="N531" s="197">
        <f t="shared" si="457"/>
        <v>35.061343514211003</v>
      </c>
      <c r="O531" s="296">
        <f t="shared" si="458"/>
        <v>0.94666666666666666</v>
      </c>
      <c r="P531" s="188">
        <f t="shared" si="459"/>
        <v>45.515260000000005</v>
      </c>
      <c r="Q531" s="189">
        <f t="shared" si="460"/>
        <v>80.576603514211001</v>
      </c>
      <c r="R531" s="190"/>
      <c r="X531" s="212"/>
    </row>
    <row r="532" spans="1:24" s="12" customFormat="1" x14ac:dyDescent="0.25">
      <c r="A532" s="298">
        <f>IF(J532&lt;&gt;"",1+MAX($A$18:A531),"")</f>
        <v>338</v>
      </c>
      <c r="B532" s="299" t="s">
        <v>427</v>
      </c>
      <c r="C532" s="299" t="s">
        <v>427</v>
      </c>
      <c r="D532" s="208" t="s">
        <v>21</v>
      </c>
      <c r="E532" s="302" t="s">
        <v>58</v>
      </c>
      <c r="F532" s="330" t="s">
        <v>931</v>
      </c>
      <c r="G532" s="288">
        <v>82.59</v>
      </c>
      <c r="H532" s="196">
        <f>IF(VLOOKUP(J532,'HOURLY RATES'!B$116:C$124,2,0)=0,$J$3,VLOOKUP(J532,'HOURLY RATES'!B$116:C$124,2,0))</f>
        <v>0.05</v>
      </c>
      <c r="I532" s="251">
        <f t="shared" si="456"/>
        <v>86.719500000000011</v>
      </c>
      <c r="J532" s="183" t="s">
        <v>19</v>
      </c>
      <c r="K532" s="368">
        <v>2.8000000000000001E-2</v>
      </c>
      <c r="L532" s="369">
        <f t="shared" si="452"/>
        <v>2.4281460000000004</v>
      </c>
      <c r="M532" s="185">
        <f>IF(VLOOKUP(E532,'HOURLY RATES'!C$6:D$105,2,0)=0,$E$3,VLOOKUP(E532,'HOURLY RATES'!C$6:D$105,2,0))</f>
        <v>26.044173499999999</v>
      </c>
      <c r="N532" s="197">
        <f t="shared" si="457"/>
        <v>63.239055707331005</v>
      </c>
      <c r="O532" s="296">
        <f t="shared" si="458"/>
        <v>0.94666666666666666</v>
      </c>
      <c r="P532" s="188">
        <f t="shared" si="459"/>
        <v>82.094460000000012</v>
      </c>
      <c r="Q532" s="189">
        <f t="shared" si="460"/>
        <v>145.333515707331</v>
      </c>
      <c r="R532" s="190"/>
      <c r="X532" s="212"/>
    </row>
    <row r="533" spans="1:24" s="12" customFormat="1" x14ac:dyDescent="0.25">
      <c r="A533" s="298">
        <f>IF(J533&lt;&gt;"",1+MAX($A$18:A532),"")</f>
        <v>339</v>
      </c>
      <c r="B533" s="299" t="s">
        <v>427</v>
      </c>
      <c r="C533" s="299" t="s">
        <v>427</v>
      </c>
      <c r="D533" s="208" t="s">
        <v>21</v>
      </c>
      <c r="E533" s="302" t="s">
        <v>58</v>
      </c>
      <c r="F533" s="330" t="s">
        <v>494</v>
      </c>
      <c r="G533" s="288">
        <v>25.01</v>
      </c>
      <c r="H533" s="196">
        <f>IF(VLOOKUP(J533,'HOURLY RATES'!B$116:C$124,2,0)=0,$J$3,VLOOKUP(J533,'HOURLY RATES'!B$116:C$124,2,0))</f>
        <v>0.05</v>
      </c>
      <c r="I533" s="251">
        <f t="shared" si="456"/>
        <v>26.260500000000004</v>
      </c>
      <c r="J533" s="183" t="s">
        <v>19</v>
      </c>
      <c r="K533" s="368">
        <v>2.8000000000000001E-2</v>
      </c>
      <c r="L533" s="369">
        <f t="shared" si="452"/>
        <v>0.73529400000000011</v>
      </c>
      <c r="M533" s="185">
        <f>IF(VLOOKUP(E533,'HOURLY RATES'!C$6:D$105,2,0)=0,$E$3,VLOOKUP(E533,'HOURLY RATES'!C$6:D$105,2,0))</f>
        <v>26.044173499999999</v>
      </c>
      <c r="N533" s="197">
        <f t="shared" si="457"/>
        <v>19.150124509509002</v>
      </c>
      <c r="O533" s="296">
        <f t="shared" si="458"/>
        <v>0.94666666666666666</v>
      </c>
      <c r="P533" s="188">
        <f t="shared" si="459"/>
        <v>24.859940000000002</v>
      </c>
      <c r="Q533" s="189">
        <f t="shared" si="460"/>
        <v>44.010064509509007</v>
      </c>
      <c r="R533" s="190"/>
      <c r="X533" s="212"/>
    </row>
    <row r="534" spans="1:24" s="12" customFormat="1" x14ac:dyDescent="0.25">
      <c r="A534" s="298" t="str">
        <f>IF(J534&lt;&gt;"",1+MAX($A$18:A533),"")</f>
        <v/>
      </c>
      <c r="B534" s="299"/>
      <c r="C534" s="299"/>
      <c r="D534" s="208"/>
      <c r="E534" s="302"/>
      <c r="F534" s="330"/>
      <c r="G534" s="288"/>
      <c r="H534" s="196"/>
      <c r="I534" s="251"/>
      <c r="J534" s="183"/>
      <c r="K534" s="368"/>
      <c r="L534" s="369"/>
      <c r="M534" s="185"/>
      <c r="N534" s="197"/>
      <c r="O534" s="296"/>
      <c r="P534" s="188"/>
      <c r="Q534" s="189"/>
      <c r="R534" s="190"/>
      <c r="X534" s="212"/>
    </row>
    <row r="535" spans="1:24" s="12" customFormat="1" ht="21" x14ac:dyDescent="0.35">
      <c r="A535" s="298" t="str">
        <f>IF(J535&lt;&gt;"",1+MAX($A$18:A534),"")</f>
        <v/>
      </c>
      <c r="B535" s="299"/>
      <c r="C535" s="299"/>
      <c r="D535" s="208"/>
      <c r="E535" s="302"/>
      <c r="F535" s="405" t="s">
        <v>911</v>
      </c>
      <c r="G535" s="288"/>
      <c r="H535" s="196"/>
      <c r="I535" s="251"/>
      <c r="J535" s="183"/>
      <c r="K535" s="368"/>
      <c r="L535" s="369"/>
      <c r="M535" s="185"/>
      <c r="N535" s="197"/>
      <c r="O535" s="296"/>
      <c r="P535" s="188"/>
      <c r="Q535" s="189"/>
      <c r="R535" s="190"/>
      <c r="X535" s="212"/>
    </row>
    <row r="536" spans="1:24" s="12" customFormat="1" x14ac:dyDescent="0.25">
      <c r="A536" s="298" t="str">
        <f>IF(J536&lt;&gt;"",1+MAX($A$18:A535),"")</f>
        <v/>
      </c>
      <c r="B536" s="299"/>
      <c r="C536" s="299"/>
      <c r="D536" s="208"/>
      <c r="E536" s="302"/>
      <c r="F536" s="330"/>
      <c r="G536" s="288"/>
      <c r="H536" s="196"/>
      <c r="I536" s="251"/>
      <c r="J536" s="183"/>
      <c r="K536" s="368"/>
      <c r="L536" s="210"/>
      <c r="M536" s="185"/>
      <c r="N536" s="197"/>
      <c r="O536" s="296"/>
      <c r="P536" s="188"/>
      <c r="Q536" s="189"/>
      <c r="R536" s="190"/>
      <c r="X536" s="212"/>
    </row>
    <row r="537" spans="1:24" s="12" customFormat="1" ht="18.75" x14ac:dyDescent="0.2">
      <c r="A537" s="298" t="str">
        <f>IF(J537&lt;&gt;"",1+MAX($A$18:A536),"")</f>
        <v/>
      </c>
      <c r="B537" s="299"/>
      <c r="C537" s="299"/>
      <c r="D537" s="208"/>
      <c r="E537" s="302"/>
      <c r="F537" s="320" t="s">
        <v>302</v>
      </c>
      <c r="G537" s="288"/>
      <c r="H537" s="196"/>
      <c r="I537" s="251"/>
      <c r="J537" s="183"/>
      <c r="K537" s="368"/>
      <c r="L537" s="210"/>
      <c r="M537" s="185"/>
      <c r="N537" s="197"/>
      <c r="O537" s="296"/>
      <c r="P537" s="188"/>
      <c r="Q537" s="189"/>
      <c r="R537" s="190"/>
      <c r="X537" s="212"/>
    </row>
    <row r="538" spans="1:24" s="12" customFormat="1" x14ac:dyDescent="0.25">
      <c r="A538" s="298" t="str">
        <f>IF(J538&lt;&gt;"",1+MAX($A$18:A537),"")</f>
        <v/>
      </c>
      <c r="B538" s="299"/>
      <c r="C538" s="299"/>
      <c r="D538" s="208"/>
      <c r="E538" s="302"/>
      <c r="F538" s="322"/>
      <c r="G538" s="321"/>
      <c r="H538" s="196"/>
      <c r="I538" s="251"/>
      <c r="J538" s="183"/>
      <c r="K538" s="368"/>
      <c r="L538" s="210"/>
      <c r="M538" s="185"/>
      <c r="N538" s="197"/>
      <c r="O538" s="296"/>
      <c r="P538" s="188"/>
      <c r="Q538" s="189"/>
      <c r="R538" s="190"/>
      <c r="X538" s="212"/>
    </row>
    <row r="539" spans="1:24" s="12" customFormat="1" x14ac:dyDescent="0.2">
      <c r="A539" s="298" t="str">
        <f>IF(J539&lt;&gt;"",1+MAX($A$18:A538),"")</f>
        <v/>
      </c>
      <c r="B539" s="299"/>
      <c r="C539" s="299"/>
      <c r="D539" s="208"/>
      <c r="E539" s="302"/>
      <c r="F539" s="313" t="s">
        <v>303</v>
      </c>
      <c r="G539" s="288"/>
      <c r="H539" s="196"/>
      <c r="I539" s="251"/>
      <c r="J539" s="183"/>
      <c r="K539" s="368"/>
      <c r="L539" s="210"/>
      <c r="M539" s="185"/>
      <c r="N539" s="197"/>
      <c r="O539" s="296"/>
      <c r="P539" s="188"/>
      <c r="Q539" s="189"/>
      <c r="R539" s="190"/>
      <c r="X539" s="212"/>
    </row>
    <row r="540" spans="1:24" s="12" customFormat="1" x14ac:dyDescent="0.2">
      <c r="A540" s="298">
        <f>IF(J540&lt;&gt;"",1+MAX($A$18:A539),"")</f>
        <v>340</v>
      </c>
      <c r="B540" s="355" t="s">
        <v>427</v>
      </c>
      <c r="C540" s="355" t="s">
        <v>427</v>
      </c>
      <c r="D540" s="355" t="s">
        <v>21</v>
      </c>
      <c r="E540" s="302" t="s">
        <v>56</v>
      </c>
      <c r="F540" s="354" t="s">
        <v>495</v>
      </c>
      <c r="G540" s="288">
        <f>815.1*9.083+222.4*9.83</f>
        <v>9589.7453000000005</v>
      </c>
      <c r="H540" s="196">
        <f>IF(VLOOKUP(J540,'HOURLY RATES'!B$116:C$124,2,0)=0,$J$3,VLOOKUP(J540,'HOURLY RATES'!B$116:C$124,2,0))</f>
        <v>0.05</v>
      </c>
      <c r="I540" s="251">
        <f t="shared" ref="I540" si="461">(G540*(1+H540))</f>
        <v>10069.232565</v>
      </c>
      <c r="J540" s="183" t="s">
        <v>17</v>
      </c>
      <c r="K540" s="368">
        <v>0.02</v>
      </c>
      <c r="L540" s="369">
        <f t="shared" ref="L540:L541" si="462">K540*I540</f>
        <v>201.3846513</v>
      </c>
      <c r="M540" s="185">
        <f>IF(VLOOKUP(E540,'HOURLY RATES'!C$6:D$105,2,0)=0,$E$3,VLOOKUP(E540,'HOURLY RATES'!C$6:D$105,2,0))</f>
        <v>18.939667500000002</v>
      </c>
      <c r="N540" s="197">
        <f t="shared" ref="N540:N541" si="463">M540*L540</f>
        <v>3814.1583352254434</v>
      </c>
      <c r="O540" s="296">
        <v>0.35</v>
      </c>
      <c r="P540" s="188">
        <f t="shared" ref="P540" si="464">O540*I540</f>
        <v>3524.2313977499998</v>
      </c>
      <c r="Q540" s="189">
        <f t="shared" ref="Q540" si="465">P540+N540</f>
        <v>7338.3897329754436</v>
      </c>
      <c r="R540" s="190"/>
      <c r="X540" s="212"/>
    </row>
    <row r="541" spans="1:24" s="12" customFormat="1" x14ac:dyDescent="0.2">
      <c r="A541" s="298">
        <f>IF(J541&lt;&gt;"",1+MAX($A$18:A540),"")</f>
        <v>341</v>
      </c>
      <c r="B541" s="355" t="s">
        <v>427</v>
      </c>
      <c r="C541" s="355" t="s">
        <v>427</v>
      </c>
      <c r="D541" s="355" t="s">
        <v>21</v>
      </c>
      <c r="E541" s="302" t="s">
        <v>60</v>
      </c>
      <c r="F541" s="354" t="s">
        <v>873</v>
      </c>
      <c r="G541" s="288">
        <f>9.083*101.9+9.5*61</f>
        <v>1505.0577000000001</v>
      </c>
      <c r="H541" s="196">
        <f>IF(VLOOKUP(J541,'HOURLY RATES'!B$116:C$124,2,0)=0,$J$3,VLOOKUP(J541,'HOURLY RATES'!B$116:C$124,2,0))</f>
        <v>0.05</v>
      </c>
      <c r="I541" s="251">
        <f t="shared" ref="I541" si="466">(G541*(1+H541))</f>
        <v>1580.3105850000002</v>
      </c>
      <c r="J541" s="183" t="s">
        <v>17</v>
      </c>
      <c r="K541" s="368">
        <v>3.5000000000000003E-2</v>
      </c>
      <c r="L541" s="369">
        <f t="shared" si="462"/>
        <v>55.310870475000009</v>
      </c>
      <c r="M541" s="185">
        <f>IF(VLOOKUP(E541,'HOURLY RATES'!C$6:D$105,2,0)=0,$E$3,VLOOKUP(E541,'HOURLY RATES'!C$6:D$105,2,0))</f>
        <v>26.1045935</v>
      </c>
      <c r="N541" s="197">
        <f t="shared" si="463"/>
        <v>1443.8677898810272</v>
      </c>
      <c r="O541" s="296">
        <v>3.5</v>
      </c>
      <c r="P541" s="188">
        <f t="shared" ref="P541" si="467">O541*I541</f>
        <v>5531.0870475000011</v>
      </c>
      <c r="Q541" s="189">
        <f t="shared" ref="Q541" si="468">P541+N541</f>
        <v>6974.9548373810285</v>
      </c>
      <c r="R541" s="190"/>
      <c r="X541" s="212"/>
    </row>
    <row r="542" spans="1:24" s="12" customFormat="1" x14ac:dyDescent="0.2">
      <c r="A542" s="298" t="str">
        <f>IF(J542&lt;&gt;"",1+MAX($A$18:A541),"")</f>
        <v/>
      </c>
      <c r="B542" s="299"/>
      <c r="C542" s="299"/>
      <c r="D542" s="208"/>
      <c r="E542" s="302"/>
      <c r="F542" s="314"/>
      <c r="G542" s="288"/>
      <c r="H542" s="196"/>
      <c r="I542" s="251"/>
      <c r="J542" s="183"/>
      <c r="K542" s="368"/>
      <c r="L542" s="210"/>
      <c r="M542" s="185"/>
      <c r="N542" s="197"/>
      <c r="O542" s="296"/>
      <c r="P542" s="188"/>
      <c r="Q542" s="189"/>
      <c r="R542" s="190"/>
      <c r="X542" s="212"/>
    </row>
    <row r="543" spans="1:24" s="12" customFormat="1" x14ac:dyDescent="0.2">
      <c r="A543" s="298" t="str">
        <f>IF(J543&lt;&gt;"",1+MAX($A$18:A542),"")</f>
        <v/>
      </c>
      <c r="B543" s="299"/>
      <c r="C543" s="299"/>
      <c r="D543" s="208"/>
      <c r="E543" s="302"/>
      <c r="F543" s="313" t="s">
        <v>528</v>
      </c>
      <c r="G543" s="288"/>
      <c r="H543" s="196"/>
      <c r="I543" s="251"/>
      <c r="J543" s="183"/>
      <c r="K543" s="368"/>
      <c r="L543" s="210"/>
      <c r="M543" s="185"/>
      <c r="N543" s="197"/>
      <c r="O543" s="296"/>
      <c r="P543" s="188"/>
      <c r="Q543" s="189"/>
      <c r="R543" s="190"/>
      <c r="X543" s="212"/>
    </row>
    <row r="544" spans="1:24" s="12" customFormat="1" x14ac:dyDescent="0.2">
      <c r="A544" s="298">
        <f>IF(J544&lt;&gt;"",1+MAX($A$18:A543),"")</f>
        <v>342</v>
      </c>
      <c r="B544" s="355" t="s">
        <v>530</v>
      </c>
      <c r="C544" s="355" t="s">
        <v>531</v>
      </c>
      <c r="D544" s="355" t="s">
        <v>21</v>
      </c>
      <c r="E544" s="302" t="s">
        <v>57</v>
      </c>
      <c r="F544" s="354" t="s">
        <v>529</v>
      </c>
      <c r="G544" s="288">
        <v>460</v>
      </c>
      <c r="H544" s="196">
        <f>IF(VLOOKUP(J544,'HOURLY RATES'!B$116:C$124,2,0)=0,$J$3,VLOOKUP(J544,'HOURLY RATES'!B$116:C$124,2,0))</f>
        <v>0.05</v>
      </c>
      <c r="I544" s="251">
        <f t="shared" ref="I544" si="469">(G544*(1+H544))</f>
        <v>483</v>
      </c>
      <c r="J544" s="183" t="s">
        <v>17</v>
      </c>
      <c r="K544" s="368">
        <v>3.2000000000000001E-2</v>
      </c>
      <c r="L544" s="369">
        <f t="shared" ref="L544" si="470">K544*I544</f>
        <v>15.456</v>
      </c>
      <c r="M544" s="185">
        <f>IF(VLOOKUP(E544,'HOURLY RATES'!C$6:D$105,2,0)=0,$E$3,VLOOKUP(E544,'HOURLY RATES'!C$6:D$105,2,0))</f>
        <v>18.939667500000002</v>
      </c>
      <c r="N544" s="197">
        <f t="shared" ref="N544" si="471">M544*L544</f>
        <v>292.73150088</v>
      </c>
      <c r="O544" s="296">
        <v>0.55000000000000004</v>
      </c>
      <c r="P544" s="188">
        <f t="shared" ref="P544" si="472">O544*I544</f>
        <v>265.65000000000003</v>
      </c>
      <c r="Q544" s="189">
        <f t="shared" ref="Q544" si="473">P544+N544</f>
        <v>558.38150087999998</v>
      </c>
      <c r="R544" s="190"/>
      <c r="X544" s="212"/>
    </row>
    <row r="545" spans="1:24" s="12" customFormat="1" x14ac:dyDescent="0.2">
      <c r="A545" s="298" t="str">
        <f>IF(J545&lt;&gt;"",1+MAX($A$18:A544),"")</f>
        <v/>
      </c>
      <c r="B545" s="299"/>
      <c r="C545" s="299"/>
      <c r="D545" s="208"/>
      <c r="E545" s="302"/>
      <c r="F545" s="322"/>
      <c r="G545" s="288"/>
      <c r="H545" s="196"/>
      <c r="I545" s="251"/>
      <c r="J545" s="183"/>
      <c r="K545" s="368"/>
      <c r="L545" s="210"/>
      <c r="M545" s="185"/>
      <c r="N545" s="197"/>
      <c r="O545" s="296"/>
      <c r="P545" s="188"/>
      <c r="Q545" s="189"/>
      <c r="R545" s="190"/>
      <c r="X545" s="212"/>
    </row>
    <row r="546" spans="1:24" s="12" customFormat="1" x14ac:dyDescent="0.2">
      <c r="A546" s="298" t="str">
        <f>IF(J546&lt;&gt;"",1+MAX($A$18:A545),"")</f>
        <v/>
      </c>
      <c r="B546" s="299"/>
      <c r="C546" s="299"/>
      <c r="D546" s="208"/>
      <c r="E546" s="302"/>
      <c r="F546" s="313" t="s">
        <v>305</v>
      </c>
      <c r="G546" s="288"/>
      <c r="H546" s="196"/>
      <c r="I546" s="251"/>
      <c r="J546" s="183"/>
      <c r="K546" s="368"/>
      <c r="L546" s="210"/>
      <c r="M546" s="185"/>
      <c r="N546" s="197"/>
      <c r="O546" s="296"/>
      <c r="P546" s="188"/>
      <c r="Q546" s="189"/>
      <c r="R546" s="190"/>
      <c r="X546" s="212"/>
    </row>
    <row r="547" spans="1:24" s="12" customFormat="1" x14ac:dyDescent="0.25">
      <c r="A547" s="298">
        <f>IF(J547&lt;&gt;"",1+MAX($A$18:A546),"")</f>
        <v>343</v>
      </c>
      <c r="B547" s="299" t="s">
        <v>427</v>
      </c>
      <c r="C547" s="299" t="s">
        <v>526</v>
      </c>
      <c r="D547" s="208" t="s">
        <v>21</v>
      </c>
      <c r="E547" s="302" t="s">
        <v>56</v>
      </c>
      <c r="F547" s="330" t="s">
        <v>501</v>
      </c>
      <c r="G547" s="312">
        <v>1</v>
      </c>
      <c r="H547" s="196">
        <f>IF(VLOOKUP(J547,'HOURLY RATES'!B$116:C$124,2,0)=0,$J$3,VLOOKUP(J547,'HOURLY RATES'!B$116:C$124,2,0))</f>
        <v>0</v>
      </c>
      <c r="I547" s="251">
        <f t="shared" ref="I547:I561" si="474">(G547*(1+H547))</f>
        <v>1</v>
      </c>
      <c r="J547" s="183" t="s">
        <v>16</v>
      </c>
      <c r="K547" s="368">
        <v>1.2150000000000001</v>
      </c>
      <c r="L547" s="369">
        <f t="shared" ref="L547:L561" si="475">K547*I547</f>
        <v>1.2150000000000001</v>
      </c>
      <c r="M547" s="185">
        <f>IF(VLOOKUP(E547,'HOURLY RATES'!C$6:D$105,2,0)=0,$E$3,VLOOKUP(E547,'HOURLY RATES'!C$6:D$105,2,0))</f>
        <v>18.939667500000002</v>
      </c>
      <c r="N547" s="197">
        <f t="shared" ref="N547:N561" si="476">M547*L547</f>
        <v>23.011696012500003</v>
      </c>
      <c r="O547" s="296">
        <f>((3*7)*(2*0.4))+(10)</f>
        <v>26.8</v>
      </c>
      <c r="P547" s="188">
        <f t="shared" ref="P547:P561" si="477">O547*I547</f>
        <v>26.8</v>
      </c>
      <c r="Q547" s="189">
        <f t="shared" ref="Q547:Q561" si="478">P547+N547</f>
        <v>49.811696012500008</v>
      </c>
      <c r="R547" s="190"/>
      <c r="X547" s="212"/>
    </row>
    <row r="548" spans="1:24" s="12" customFormat="1" x14ac:dyDescent="0.25">
      <c r="A548" s="298">
        <f>IF(J548&lt;&gt;"",1+MAX($A$18:A547),"")</f>
        <v>344</v>
      </c>
      <c r="B548" s="299" t="s">
        <v>427</v>
      </c>
      <c r="C548" s="299" t="s">
        <v>526</v>
      </c>
      <c r="D548" s="208" t="s">
        <v>21</v>
      </c>
      <c r="E548" s="302" t="s">
        <v>56</v>
      </c>
      <c r="F548" s="330" t="s">
        <v>502</v>
      </c>
      <c r="G548" s="312">
        <v>1</v>
      </c>
      <c r="H548" s="196">
        <f>IF(VLOOKUP(J548,'HOURLY RATES'!B$116:C$124,2,0)=0,$J$3,VLOOKUP(J548,'HOURLY RATES'!B$116:C$124,2,0))</f>
        <v>0</v>
      </c>
      <c r="I548" s="251">
        <f t="shared" si="474"/>
        <v>1</v>
      </c>
      <c r="J548" s="183" t="s">
        <v>16</v>
      </c>
      <c r="K548" s="368">
        <v>1.22</v>
      </c>
      <c r="L548" s="369">
        <f t="shared" si="475"/>
        <v>1.22</v>
      </c>
      <c r="M548" s="185">
        <f>IF(VLOOKUP(E548,'HOURLY RATES'!C$6:D$105,2,0)=0,$E$3,VLOOKUP(E548,'HOURLY RATES'!C$6:D$105,2,0))</f>
        <v>18.939667500000002</v>
      </c>
      <c r="N548" s="197">
        <f t="shared" si="476"/>
        <v>23.106394350000002</v>
      </c>
      <c r="O548" s="296">
        <f>((2.83*7.5)*(2*0.4))+(10)</f>
        <v>26.98</v>
      </c>
      <c r="P548" s="188">
        <f t="shared" si="477"/>
        <v>26.98</v>
      </c>
      <c r="Q548" s="189">
        <f t="shared" si="478"/>
        <v>50.086394350000006</v>
      </c>
      <c r="R548" s="190"/>
      <c r="X548" s="212"/>
    </row>
    <row r="549" spans="1:24" s="12" customFormat="1" x14ac:dyDescent="0.25">
      <c r="A549" s="298">
        <f>IF(J549&lt;&gt;"",1+MAX($A$18:A548),"")</f>
        <v>345</v>
      </c>
      <c r="B549" s="299" t="s">
        <v>427</v>
      </c>
      <c r="C549" s="299" t="s">
        <v>526</v>
      </c>
      <c r="D549" s="208" t="s">
        <v>21</v>
      </c>
      <c r="E549" s="302" t="s">
        <v>56</v>
      </c>
      <c r="F549" s="330" t="s">
        <v>503</v>
      </c>
      <c r="G549" s="312">
        <v>1</v>
      </c>
      <c r="H549" s="196">
        <f>IF(VLOOKUP(J549,'HOURLY RATES'!B$116:C$124,2,0)=0,$J$3,VLOOKUP(J549,'HOURLY RATES'!B$116:C$124,2,0))</f>
        <v>0</v>
      </c>
      <c r="I549" s="251">
        <f t="shared" si="474"/>
        <v>1</v>
      </c>
      <c r="J549" s="183" t="s">
        <v>16</v>
      </c>
      <c r="K549" s="368">
        <v>1.31</v>
      </c>
      <c r="L549" s="369">
        <f t="shared" si="475"/>
        <v>1.31</v>
      </c>
      <c r="M549" s="185">
        <f>IF(VLOOKUP(E549,'HOURLY RATES'!C$6:D$105,2,0)=0,$E$3,VLOOKUP(E549,'HOURLY RATES'!C$6:D$105,2,0))</f>
        <v>18.939667500000002</v>
      </c>
      <c r="N549" s="197">
        <f t="shared" si="476"/>
        <v>24.810964425000005</v>
      </c>
      <c r="O549" s="296">
        <f>((4.54*7.5)*(2*0.4))+(10)</f>
        <v>37.239999999999995</v>
      </c>
      <c r="P549" s="188">
        <f t="shared" si="477"/>
        <v>37.239999999999995</v>
      </c>
      <c r="Q549" s="189">
        <f t="shared" si="478"/>
        <v>62.050964425000004</v>
      </c>
      <c r="R549" s="190"/>
      <c r="X549" s="212"/>
    </row>
    <row r="550" spans="1:24" s="12" customFormat="1" x14ac:dyDescent="0.25">
      <c r="A550" s="298">
        <f>IF(J550&lt;&gt;"",1+MAX($A$18:A549),"")</f>
        <v>346</v>
      </c>
      <c r="B550" s="299" t="s">
        <v>427</v>
      </c>
      <c r="C550" s="299" t="s">
        <v>526</v>
      </c>
      <c r="D550" s="208" t="s">
        <v>21</v>
      </c>
      <c r="E550" s="302" t="s">
        <v>56</v>
      </c>
      <c r="F550" s="330" t="s">
        <v>504</v>
      </c>
      <c r="G550" s="312">
        <v>5</v>
      </c>
      <c r="H550" s="196">
        <f>IF(VLOOKUP(J550,'HOURLY RATES'!B$116:C$124,2,0)=0,$J$3,VLOOKUP(J550,'HOURLY RATES'!B$116:C$124,2,0))</f>
        <v>0</v>
      </c>
      <c r="I550" s="251">
        <f t="shared" si="474"/>
        <v>5</v>
      </c>
      <c r="J550" s="183" t="s">
        <v>16</v>
      </c>
      <c r="K550" s="368">
        <v>1.22</v>
      </c>
      <c r="L550" s="369">
        <f t="shared" si="475"/>
        <v>6.1</v>
      </c>
      <c r="M550" s="185">
        <f>IF(VLOOKUP(E550,'HOURLY RATES'!C$6:D$105,2,0)=0,$E$3,VLOOKUP(E550,'HOURLY RATES'!C$6:D$105,2,0))</f>
        <v>18.939667500000002</v>
      </c>
      <c r="N550" s="197">
        <f t="shared" si="476"/>
        <v>115.53197175000001</v>
      </c>
      <c r="O550" s="296">
        <f>((3*7.5)*(2*0.4))+(10)</f>
        <v>28</v>
      </c>
      <c r="P550" s="188">
        <f t="shared" si="477"/>
        <v>140</v>
      </c>
      <c r="Q550" s="189">
        <f t="shared" si="478"/>
        <v>255.53197175000003</v>
      </c>
      <c r="R550" s="190"/>
      <c r="X550" s="212"/>
    </row>
    <row r="551" spans="1:24" s="12" customFormat="1" x14ac:dyDescent="0.25">
      <c r="A551" s="298">
        <f>IF(J551&lt;&gt;"",1+MAX($A$18:A550),"")</f>
        <v>347</v>
      </c>
      <c r="B551" s="299" t="s">
        <v>427</v>
      </c>
      <c r="C551" s="299" t="s">
        <v>526</v>
      </c>
      <c r="D551" s="208" t="s">
        <v>21</v>
      </c>
      <c r="E551" s="302" t="s">
        <v>56</v>
      </c>
      <c r="F551" s="330" t="s">
        <v>505</v>
      </c>
      <c r="G551" s="312">
        <v>1</v>
      </c>
      <c r="H551" s="196">
        <f>IF(VLOOKUP(J551,'HOURLY RATES'!B$116:C$124,2,0)=0,$J$3,VLOOKUP(J551,'HOURLY RATES'!B$116:C$124,2,0))</f>
        <v>0</v>
      </c>
      <c r="I551" s="251">
        <f t="shared" si="474"/>
        <v>1</v>
      </c>
      <c r="J551" s="183" t="s">
        <v>16</v>
      </c>
      <c r="K551" s="368">
        <v>1.95</v>
      </c>
      <c r="L551" s="369">
        <f t="shared" si="475"/>
        <v>1.95</v>
      </c>
      <c r="M551" s="185">
        <f>IF(VLOOKUP(E551,'HOURLY RATES'!C$6:D$105,2,0)=0,$E$3,VLOOKUP(E551,'HOURLY RATES'!C$6:D$105,2,0))</f>
        <v>18.939667500000002</v>
      </c>
      <c r="N551" s="197">
        <f t="shared" si="476"/>
        <v>36.932351625000003</v>
      </c>
      <c r="O551" s="296">
        <f>((7.5*7.5)*(2*0.4))+(10)</f>
        <v>55</v>
      </c>
      <c r="P551" s="188">
        <f t="shared" si="477"/>
        <v>55</v>
      </c>
      <c r="Q551" s="189">
        <f t="shared" si="478"/>
        <v>91.932351624999995</v>
      </c>
      <c r="R551" s="190"/>
      <c r="X551" s="212"/>
    </row>
    <row r="552" spans="1:24" s="12" customFormat="1" x14ac:dyDescent="0.25">
      <c r="A552" s="298">
        <f>IF(J552&lt;&gt;"",1+MAX($A$18:A551),"")</f>
        <v>348</v>
      </c>
      <c r="B552" s="299" t="s">
        <v>427</v>
      </c>
      <c r="C552" s="299" t="s">
        <v>526</v>
      </c>
      <c r="D552" s="208" t="s">
        <v>21</v>
      </c>
      <c r="E552" s="302" t="s">
        <v>56</v>
      </c>
      <c r="F552" s="330" t="s">
        <v>506</v>
      </c>
      <c r="G552" s="312">
        <v>1</v>
      </c>
      <c r="H552" s="196">
        <f>IF(VLOOKUP(J552,'HOURLY RATES'!B$116:C$124,2,0)=0,$J$3,VLOOKUP(J552,'HOURLY RATES'!B$116:C$124,2,0))</f>
        <v>0</v>
      </c>
      <c r="I552" s="251">
        <f t="shared" si="474"/>
        <v>1</v>
      </c>
      <c r="J552" s="183" t="s">
        <v>16</v>
      </c>
      <c r="K552" s="368">
        <f>1.888*90/45</f>
        <v>3.7759999999999998</v>
      </c>
      <c r="L552" s="369">
        <f t="shared" si="475"/>
        <v>3.7759999999999998</v>
      </c>
      <c r="M552" s="185">
        <f>IF(VLOOKUP(E552,'HOURLY RATES'!C$6:D$105,2,0)=0,$E$3,VLOOKUP(E552,'HOURLY RATES'!C$6:D$105,2,0))</f>
        <v>18.939667500000002</v>
      </c>
      <c r="N552" s="197">
        <f t="shared" si="476"/>
        <v>71.516184480000007</v>
      </c>
      <c r="O552" s="296">
        <f>((12.72*7.5)*(2*0.4))+(10)</f>
        <v>86.320000000000007</v>
      </c>
      <c r="P552" s="188">
        <f t="shared" si="477"/>
        <v>86.320000000000007</v>
      </c>
      <c r="Q552" s="189">
        <f t="shared" si="478"/>
        <v>157.83618448000001</v>
      </c>
      <c r="R552" s="190"/>
      <c r="X552" s="212"/>
    </row>
    <row r="553" spans="1:24" s="12" customFormat="1" x14ac:dyDescent="0.25">
      <c r="A553" s="298">
        <f>IF(J553&lt;&gt;"",1+MAX($A$18:A552),"")</f>
        <v>349</v>
      </c>
      <c r="B553" s="299" t="s">
        <v>427</v>
      </c>
      <c r="C553" s="299" t="s">
        <v>526</v>
      </c>
      <c r="D553" s="208" t="s">
        <v>21</v>
      </c>
      <c r="E553" s="302" t="s">
        <v>56</v>
      </c>
      <c r="F553" s="330" t="s">
        <v>507</v>
      </c>
      <c r="G553" s="312">
        <v>1</v>
      </c>
      <c r="H553" s="196">
        <f>IF(VLOOKUP(J553,'HOURLY RATES'!B$116:C$124,2,0)=0,$J$3,VLOOKUP(J553,'HOURLY RATES'!B$116:C$124,2,0))</f>
        <v>0</v>
      </c>
      <c r="I553" s="251">
        <f t="shared" si="474"/>
        <v>1</v>
      </c>
      <c r="J553" s="183" t="s">
        <v>16</v>
      </c>
      <c r="K553" s="368">
        <v>1.1000000000000001</v>
      </c>
      <c r="L553" s="369">
        <f t="shared" si="475"/>
        <v>1.1000000000000001</v>
      </c>
      <c r="M553" s="185">
        <f>IF(VLOOKUP(E553,'HOURLY RATES'!C$6:D$105,2,0)=0,$E$3,VLOOKUP(E553,'HOURLY RATES'!C$6:D$105,2,0))</f>
        <v>18.939667500000002</v>
      </c>
      <c r="N553" s="197">
        <f t="shared" si="476"/>
        <v>20.833634250000003</v>
      </c>
      <c r="O553" s="296">
        <f>((2.5*5.83)*(2*0.4))+(10)</f>
        <v>21.66</v>
      </c>
      <c r="P553" s="188">
        <f t="shared" si="477"/>
        <v>21.66</v>
      </c>
      <c r="Q553" s="189">
        <f t="shared" si="478"/>
        <v>42.493634249999999</v>
      </c>
      <c r="R553" s="190"/>
      <c r="X553" s="212"/>
    </row>
    <row r="554" spans="1:24" s="12" customFormat="1" x14ac:dyDescent="0.25">
      <c r="A554" s="298">
        <f>IF(J554&lt;&gt;"",1+MAX($A$18:A553),"")</f>
        <v>350</v>
      </c>
      <c r="B554" s="299" t="s">
        <v>427</v>
      </c>
      <c r="C554" s="299" t="s">
        <v>526</v>
      </c>
      <c r="D554" s="208" t="s">
        <v>21</v>
      </c>
      <c r="E554" s="302" t="s">
        <v>56</v>
      </c>
      <c r="F554" s="330" t="s">
        <v>508</v>
      </c>
      <c r="G554" s="312">
        <v>4</v>
      </c>
      <c r="H554" s="196">
        <f>IF(VLOOKUP(J554,'HOURLY RATES'!B$116:C$124,2,0)=0,$J$3,VLOOKUP(J554,'HOURLY RATES'!B$116:C$124,2,0))</f>
        <v>0</v>
      </c>
      <c r="I554" s="251">
        <f t="shared" si="474"/>
        <v>4</v>
      </c>
      <c r="J554" s="183" t="s">
        <v>16</v>
      </c>
      <c r="K554" s="368">
        <v>1.2150000000000001</v>
      </c>
      <c r="L554" s="369">
        <f t="shared" si="475"/>
        <v>4.8600000000000003</v>
      </c>
      <c r="M554" s="185">
        <f>IF(VLOOKUP(E554,'HOURLY RATES'!C$6:D$105,2,0)=0,$E$3,VLOOKUP(E554,'HOURLY RATES'!C$6:D$105,2,0))</f>
        <v>18.939667500000002</v>
      </c>
      <c r="N554" s="197">
        <f t="shared" si="476"/>
        <v>92.046784050000014</v>
      </c>
      <c r="O554" s="296">
        <f>((2.83*7.5)*(2*0.4))+(10)</f>
        <v>26.98</v>
      </c>
      <c r="P554" s="188">
        <f t="shared" si="477"/>
        <v>107.92</v>
      </c>
      <c r="Q554" s="189">
        <f t="shared" si="478"/>
        <v>199.96678405</v>
      </c>
      <c r="R554" s="190"/>
      <c r="X554" s="212"/>
    </row>
    <row r="555" spans="1:24" s="12" customFormat="1" x14ac:dyDescent="0.25">
      <c r="A555" s="298">
        <f>IF(J555&lt;&gt;"",1+MAX($A$18:A554),"")</f>
        <v>351</v>
      </c>
      <c r="B555" s="299" t="s">
        <v>427</v>
      </c>
      <c r="C555" s="299" t="s">
        <v>526</v>
      </c>
      <c r="D555" s="208" t="s">
        <v>21</v>
      </c>
      <c r="E555" s="302" t="s">
        <v>56</v>
      </c>
      <c r="F555" s="330" t="s">
        <v>509</v>
      </c>
      <c r="G555" s="312">
        <v>8</v>
      </c>
      <c r="H555" s="196">
        <f>IF(VLOOKUP(J555,'HOURLY RATES'!B$116:C$124,2,0)=0,$J$3,VLOOKUP(J555,'HOURLY RATES'!B$116:C$124,2,0))</f>
        <v>0</v>
      </c>
      <c r="I555" s="251">
        <f t="shared" si="474"/>
        <v>8</v>
      </c>
      <c r="J555" s="183" t="s">
        <v>16</v>
      </c>
      <c r="K555" s="368">
        <v>1.2150000000000001</v>
      </c>
      <c r="L555" s="369">
        <f t="shared" si="475"/>
        <v>9.7200000000000006</v>
      </c>
      <c r="M555" s="185">
        <f>IF(VLOOKUP(E555,'HOURLY RATES'!C$6:D$105,2,0)=0,$E$3,VLOOKUP(E555,'HOURLY RATES'!C$6:D$105,2,0))</f>
        <v>18.939667500000002</v>
      </c>
      <c r="N555" s="197">
        <f t="shared" si="476"/>
        <v>184.09356810000003</v>
      </c>
      <c r="O555" s="296">
        <f>((2.5*7.5)*(2*0.4))+(10)</f>
        <v>25</v>
      </c>
      <c r="P555" s="188">
        <f t="shared" si="477"/>
        <v>200</v>
      </c>
      <c r="Q555" s="189">
        <f t="shared" si="478"/>
        <v>384.09356810000003</v>
      </c>
      <c r="R555" s="190"/>
      <c r="X555" s="212"/>
    </row>
    <row r="556" spans="1:24" s="12" customFormat="1" x14ac:dyDescent="0.25">
      <c r="A556" s="298">
        <f>IF(J556&lt;&gt;"",1+MAX($A$18:A555),"")</f>
        <v>352</v>
      </c>
      <c r="B556" s="299" t="s">
        <v>427</v>
      </c>
      <c r="C556" s="299" t="s">
        <v>526</v>
      </c>
      <c r="D556" s="208" t="s">
        <v>21</v>
      </c>
      <c r="E556" s="302" t="s">
        <v>56</v>
      </c>
      <c r="F556" s="330" t="s">
        <v>510</v>
      </c>
      <c r="G556" s="312">
        <v>4</v>
      </c>
      <c r="H556" s="196">
        <f>IF(VLOOKUP(J556,'HOURLY RATES'!B$116:C$124,2,0)=0,$J$3,VLOOKUP(J556,'HOURLY RATES'!B$116:C$124,2,0))</f>
        <v>0</v>
      </c>
      <c r="I556" s="251">
        <f t="shared" si="474"/>
        <v>4</v>
      </c>
      <c r="J556" s="183" t="s">
        <v>16</v>
      </c>
      <c r="K556" s="368">
        <v>1.22</v>
      </c>
      <c r="L556" s="369">
        <f t="shared" si="475"/>
        <v>4.88</v>
      </c>
      <c r="M556" s="185">
        <f>IF(VLOOKUP(E556,'HOURLY RATES'!C$6:D$105,2,0)=0,$E$3,VLOOKUP(E556,'HOURLY RATES'!C$6:D$105,2,0))</f>
        <v>18.939667500000002</v>
      </c>
      <c r="N556" s="197">
        <f t="shared" si="476"/>
        <v>92.425577400000009</v>
      </c>
      <c r="O556" s="296">
        <f>((3*7.5)*(2*0.4))+(10)</f>
        <v>28</v>
      </c>
      <c r="P556" s="188">
        <f t="shared" si="477"/>
        <v>112</v>
      </c>
      <c r="Q556" s="189">
        <f t="shared" si="478"/>
        <v>204.42557740000001</v>
      </c>
      <c r="R556" s="190"/>
      <c r="X556" s="212"/>
    </row>
    <row r="557" spans="1:24" s="12" customFormat="1" x14ac:dyDescent="0.25">
      <c r="A557" s="298">
        <f>IF(J557&lt;&gt;"",1+MAX($A$18:A556),"")</f>
        <v>353</v>
      </c>
      <c r="B557" s="299" t="s">
        <v>427</v>
      </c>
      <c r="C557" s="299" t="s">
        <v>526</v>
      </c>
      <c r="D557" s="208" t="s">
        <v>21</v>
      </c>
      <c r="E557" s="302" t="s">
        <v>56</v>
      </c>
      <c r="F557" s="330" t="s">
        <v>511</v>
      </c>
      <c r="G557" s="312">
        <v>2</v>
      </c>
      <c r="H557" s="196">
        <f>IF(VLOOKUP(J557,'HOURLY RATES'!B$116:C$124,2,0)=0,$J$3,VLOOKUP(J557,'HOURLY RATES'!B$116:C$124,2,0))</f>
        <v>0</v>
      </c>
      <c r="I557" s="251">
        <f t="shared" si="474"/>
        <v>2</v>
      </c>
      <c r="J557" s="183" t="s">
        <v>16</v>
      </c>
      <c r="K557" s="368">
        <v>1.1000000000000001</v>
      </c>
      <c r="L557" s="369">
        <f t="shared" si="475"/>
        <v>2.2000000000000002</v>
      </c>
      <c r="M557" s="185">
        <f>IF(VLOOKUP(E557,'HOURLY RATES'!C$6:D$105,2,0)=0,$E$3,VLOOKUP(E557,'HOURLY RATES'!C$6:D$105,2,0))</f>
        <v>18.939667500000002</v>
      </c>
      <c r="N557" s="197">
        <f t="shared" si="476"/>
        <v>41.667268500000006</v>
      </c>
      <c r="O557" s="296">
        <f>((2*7.5)*(2*0.4))+(10)</f>
        <v>22</v>
      </c>
      <c r="P557" s="188">
        <f t="shared" si="477"/>
        <v>44</v>
      </c>
      <c r="Q557" s="189">
        <f t="shared" si="478"/>
        <v>85.667268500000006</v>
      </c>
      <c r="R557" s="190"/>
      <c r="X557" s="212"/>
    </row>
    <row r="558" spans="1:24" s="12" customFormat="1" x14ac:dyDescent="0.25">
      <c r="A558" s="298">
        <f>IF(J558&lt;&gt;"",1+MAX($A$18:A557),"")</f>
        <v>354</v>
      </c>
      <c r="B558" s="299" t="s">
        <v>427</v>
      </c>
      <c r="C558" s="299" t="s">
        <v>526</v>
      </c>
      <c r="D558" s="208" t="s">
        <v>21</v>
      </c>
      <c r="E558" s="302" t="s">
        <v>56</v>
      </c>
      <c r="F558" s="330" t="s">
        <v>512</v>
      </c>
      <c r="G558" s="312">
        <v>1</v>
      </c>
      <c r="H558" s="196">
        <f>IF(VLOOKUP(J558,'HOURLY RATES'!B$116:C$124,2,0)=0,$J$3,VLOOKUP(J558,'HOURLY RATES'!B$116:C$124,2,0))</f>
        <v>0</v>
      </c>
      <c r="I558" s="251">
        <f t="shared" si="474"/>
        <v>1</v>
      </c>
      <c r="J558" s="183" t="s">
        <v>16</v>
      </c>
      <c r="K558" s="368">
        <v>1.35</v>
      </c>
      <c r="L558" s="369">
        <f t="shared" si="475"/>
        <v>1.35</v>
      </c>
      <c r="M558" s="185">
        <f>IF(VLOOKUP(E558,'HOURLY RATES'!C$6:D$105,2,0)=0,$E$3,VLOOKUP(E558,'HOURLY RATES'!C$6:D$105,2,0))</f>
        <v>18.939667500000002</v>
      </c>
      <c r="N558" s="197">
        <f t="shared" si="476"/>
        <v>25.568551125000006</v>
      </c>
      <c r="O558" s="296">
        <f>((4*7.5)*(2*0.4))+(10)</f>
        <v>34</v>
      </c>
      <c r="P558" s="188">
        <f t="shared" si="477"/>
        <v>34</v>
      </c>
      <c r="Q558" s="189">
        <f t="shared" si="478"/>
        <v>59.568551125000006</v>
      </c>
      <c r="R558" s="190"/>
      <c r="X558" s="212"/>
    </row>
    <row r="559" spans="1:24" s="12" customFormat="1" x14ac:dyDescent="0.25">
      <c r="A559" s="298">
        <f>IF(J559&lt;&gt;"",1+MAX($A$18:A558),"")</f>
        <v>355</v>
      </c>
      <c r="B559" s="299" t="s">
        <v>427</v>
      </c>
      <c r="C559" s="299" t="s">
        <v>526</v>
      </c>
      <c r="D559" s="208" t="s">
        <v>21</v>
      </c>
      <c r="E559" s="302" t="s">
        <v>56</v>
      </c>
      <c r="F559" s="330" t="s">
        <v>513</v>
      </c>
      <c r="G559" s="312">
        <v>1</v>
      </c>
      <c r="H559" s="196">
        <f>IF(VLOOKUP(J559,'HOURLY RATES'!B$116:C$124,2,0)=0,$J$3,VLOOKUP(J559,'HOURLY RATES'!B$116:C$124,2,0))</f>
        <v>0</v>
      </c>
      <c r="I559" s="251">
        <f t="shared" si="474"/>
        <v>1</v>
      </c>
      <c r="J559" s="183" t="s">
        <v>16</v>
      </c>
      <c r="K559" s="368">
        <v>1.68</v>
      </c>
      <c r="L559" s="369">
        <f t="shared" si="475"/>
        <v>1.68</v>
      </c>
      <c r="M559" s="185">
        <f>IF(VLOOKUP(E559,'HOURLY RATES'!C$6:D$105,2,0)=0,$E$3,VLOOKUP(E559,'HOURLY RATES'!C$6:D$105,2,0))</f>
        <v>18.939667500000002</v>
      </c>
      <c r="N559" s="197">
        <f t="shared" si="476"/>
        <v>31.818641400000004</v>
      </c>
      <c r="O559" s="296">
        <f>((5*7.5)*(2*0.4))+(10)</f>
        <v>40</v>
      </c>
      <c r="P559" s="188">
        <f t="shared" si="477"/>
        <v>40</v>
      </c>
      <c r="Q559" s="189">
        <f t="shared" si="478"/>
        <v>71.818641400000004</v>
      </c>
      <c r="R559" s="190"/>
      <c r="X559" s="212"/>
    </row>
    <row r="560" spans="1:24" s="12" customFormat="1" x14ac:dyDescent="0.25">
      <c r="A560" s="298">
        <f>IF(J560&lt;&gt;"",1+MAX($A$18:A559),"")</f>
        <v>356</v>
      </c>
      <c r="B560" s="299" t="s">
        <v>427</v>
      </c>
      <c r="C560" s="299" t="s">
        <v>526</v>
      </c>
      <c r="D560" s="208" t="s">
        <v>21</v>
      </c>
      <c r="E560" s="302" t="s">
        <v>56</v>
      </c>
      <c r="F560" s="330" t="s">
        <v>514</v>
      </c>
      <c r="G560" s="312">
        <v>1</v>
      </c>
      <c r="H560" s="196">
        <f>IF(VLOOKUP(J560,'HOURLY RATES'!B$116:C$124,2,0)=0,$J$3,VLOOKUP(J560,'HOURLY RATES'!B$116:C$124,2,0))</f>
        <v>0</v>
      </c>
      <c r="I560" s="251">
        <f t="shared" si="474"/>
        <v>1</v>
      </c>
      <c r="J560" s="183" t="s">
        <v>16</v>
      </c>
      <c r="K560" s="368">
        <v>1.1499999999999999</v>
      </c>
      <c r="L560" s="369">
        <f t="shared" si="475"/>
        <v>1.1499999999999999</v>
      </c>
      <c r="M560" s="185">
        <f>IF(VLOOKUP(E560,'HOURLY RATES'!C$6:D$105,2,0)=0,$E$3,VLOOKUP(E560,'HOURLY RATES'!C$6:D$105,2,0))</f>
        <v>18.939667500000002</v>
      </c>
      <c r="N560" s="197">
        <f t="shared" si="476"/>
        <v>21.780617625000001</v>
      </c>
      <c r="O560" s="296">
        <f>((2.5*5.5)*(2*0.4))+(10)</f>
        <v>21</v>
      </c>
      <c r="P560" s="188">
        <f t="shared" si="477"/>
        <v>21</v>
      </c>
      <c r="Q560" s="189">
        <f t="shared" si="478"/>
        <v>42.780617625000005</v>
      </c>
      <c r="R560" s="190"/>
      <c r="X560" s="212"/>
    </row>
    <row r="561" spans="1:24" s="12" customFormat="1" x14ac:dyDescent="0.25">
      <c r="A561" s="298">
        <f>IF(J561&lt;&gt;"",1+MAX($A$18:A560),"")</f>
        <v>357</v>
      </c>
      <c r="B561" s="299" t="s">
        <v>427</v>
      </c>
      <c r="C561" s="299" t="s">
        <v>526</v>
      </c>
      <c r="D561" s="208" t="s">
        <v>21</v>
      </c>
      <c r="E561" s="302" t="s">
        <v>56</v>
      </c>
      <c r="F561" s="330" t="s">
        <v>515</v>
      </c>
      <c r="G561" s="312">
        <v>1</v>
      </c>
      <c r="H561" s="196">
        <f>IF(VLOOKUP(J561,'HOURLY RATES'!B$116:C$124,2,0)=0,$J$3,VLOOKUP(J561,'HOURLY RATES'!B$116:C$124,2,0))</f>
        <v>0</v>
      </c>
      <c r="I561" s="251">
        <f t="shared" si="474"/>
        <v>1</v>
      </c>
      <c r="J561" s="183" t="s">
        <v>16</v>
      </c>
      <c r="K561" s="368">
        <v>1</v>
      </c>
      <c r="L561" s="369">
        <f t="shared" si="475"/>
        <v>1</v>
      </c>
      <c r="M561" s="185">
        <f>IF(VLOOKUP(E561,'HOURLY RATES'!C$6:D$105,2,0)=0,$E$3,VLOOKUP(E561,'HOURLY RATES'!C$6:D$105,2,0))</f>
        <v>18.939667500000002</v>
      </c>
      <c r="N561" s="197">
        <f t="shared" si="476"/>
        <v>18.939667500000002</v>
      </c>
      <c r="O561" s="296">
        <f>((2*4.5)*(2*0.4))+(10)</f>
        <v>17.2</v>
      </c>
      <c r="P561" s="188">
        <f t="shared" si="477"/>
        <v>17.2</v>
      </c>
      <c r="Q561" s="189">
        <f t="shared" si="478"/>
        <v>36.139667500000002</v>
      </c>
      <c r="R561" s="190"/>
      <c r="X561" s="212"/>
    </row>
    <row r="562" spans="1:24" s="12" customFormat="1" x14ac:dyDescent="0.2">
      <c r="A562" s="298" t="str">
        <f>IF(J562&lt;&gt;"",1+MAX($A$18:A561),"")</f>
        <v/>
      </c>
      <c r="B562" s="299"/>
      <c r="C562" s="299"/>
      <c r="D562" s="208"/>
      <c r="E562" s="302"/>
      <c r="F562" s="314"/>
      <c r="G562" s="288"/>
      <c r="H562" s="196"/>
      <c r="I562" s="251"/>
      <c r="J562" s="183"/>
      <c r="K562" s="368"/>
      <c r="L562" s="210"/>
      <c r="M562" s="185"/>
      <c r="N562" s="197"/>
      <c r="O562" s="296"/>
      <c r="P562" s="188"/>
      <c r="Q562" s="189"/>
      <c r="R562" s="190"/>
      <c r="X562" s="212"/>
    </row>
    <row r="563" spans="1:24" s="12" customFormat="1" x14ac:dyDescent="0.2">
      <c r="A563" s="298" t="str">
        <f>IF(J563&lt;&gt;"",1+MAX($A$18:A562),"")</f>
        <v/>
      </c>
      <c r="B563" s="299"/>
      <c r="C563" s="299"/>
      <c r="D563" s="208"/>
      <c r="E563" s="302"/>
      <c r="F563" s="313" t="s">
        <v>306</v>
      </c>
      <c r="G563" s="288"/>
      <c r="H563" s="196"/>
      <c r="I563" s="251"/>
      <c r="J563" s="183"/>
      <c r="K563" s="368"/>
      <c r="L563" s="210"/>
      <c r="M563" s="185"/>
      <c r="N563" s="197"/>
      <c r="O563" s="296"/>
      <c r="P563" s="188"/>
      <c r="Q563" s="189"/>
      <c r="R563" s="190"/>
      <c r="X563" s="212"/>
    </row>
    <row r="564" spans="1:24" s="12" customFormat="1" x14ac:dyDescent="0.2">
      <c r="A564" s="298">
        <f>IF(J564&lt;&gt;"",1+MAX($A$18:A563),"")</f>
        <v>358</v>
      </c>
      <c r="B564" s="299" t="s">
        <v>295</v>
      </c>
      <c r="C564" s="299" t="s">
        <v>295</v>
      </c>
      <c r="D564" s="208" t="s">
        <v>21</v>
      </c>
      <c r="E564" s="302" t="s">
        <v>56</v>
      </c>
      <c r="F564" s="314" t="s">
        <v>307</v>
      </c>
      <c r="G564" s="288">
        <v>1067</v>
      </c>
      <c r="H564" s="196">
        <f>IF(VLOOKUP(J564,'HOURLY RATES'!B$116:C$124,2,0)=0,$J$3,VLOOKUP(J564,'HOURLY RATES'!B$116:C$124,2,0))</f>
        <v>0.05</v>
      </c>
      <c r="I564" s="251">
        <f t="shared" ref="I564" si="479">(G564*(1+H564))</f>
        <v>1120.3500000000001</v>
      </c>
      <c r="J564" s="183" t="s">
        <v>19</v>
      </c>
      <c r="K564" s="368">
        <v>1.7999999999999999E-2</v>
      </c>
      <c r="L564" s="369">
        <f t="shared" ref="L564" si="480">K564*I564</f>
        <v>20.1663</v>
      </c>
      <c r="M564" s="185">
        <f>IF(VLOOKUP(E564,'HOURLY RATES'!C$6:D$105,2,0)=0,$E$3,VLOOKUP(E564,'HOURLY RATES'!C$6:D$105,2,0))</f>
        <v>18.939667500000002</v>
      </c>
      <c r="N564" s="197">
        <f t="shared" ref="N564" si="481">M564*L564</f>
        <v>381.94301670525005</v>
      </c>
      <c r="O564" s="296">
        <v>0.8</v>
      </c>
      <c r="P564" s="188">
        <f t="shared" ref="P564" si="482">O564*I564</f>
        <v>896.2800000000002</v>
      </c>
      <c r="Q564" s="189">
        <f t="shared" ref="Q564" si="483">P564+N564</f>
        <v>1278.2230167052503</v>
      </c>
      <c r="R564" s="190"/>
      <c r="X564" s="212"/>
    </row>
    <row r="565" spans="1:24" s="12" customFormat="1" ht="16.5" thickBot="1" x14ac:dyDescent="0.25">
      <c r="A565" s="214" t="str">
        <f>IF(J565&lt;&gt;"",1+MAX($A$18:A564),"")</f>
        <v/>
      </c>
      <c r="B565" s="215"/>
      <c r="C565" s="215"/>
      <c r="D565" s="215"/>
      <c r="E565" s="215"/>
      <c r="F565" s="216"/>
      <c r="G565" s="217"/>
      <c r="H565" s="218"/>
      <c r="I565" s="219"/>
      <c r="J565" s="220"/>
      <c r="K565" s="390"/>
      <c r="L565" s="222"/>
      <c r="M565" s="223"/>
      <c r="N565" s="224"/>
      <c r="O565" s="392"/>
      <c r="P565" s="226"/>
      <c r="Q565" s="227"/>
      <c r="R565" s="228"/>
      <c r="X565" s="212"/>
    </row>
    <row r="566" spans="1:24" s="12" customFormat="1" ht="20.100000000000001" customHeight="1" x14ac:dyDescent="0.2">
      <c r="A566" s="479" t="str">
        <f>IF(J566&lt;&gt;"",1+MAX($A$18:A565),"")</f>
        <v/>
      </c>
      <c r="B566" s="480"/>
      <c r="C566" s="480"/>
      <c r="D566" s="485" t="s">
        <v>45</v>
      </c>
      <c r="E566" s="485"/>
      <c r="F566" s="486" t="s">
        <v>172</v>
      </c>
      <c r="G566" s="481"/>
      <c r="H566" s="482"/>
      <c r="I566" s="483"/>
      <c r="J566" s="483"/>
      <c r="K566" s="482"/>
      <c r="L566" s="482"/>
      <c r="M566" s="482"/>
      <c r="N566" s="482"/>
      <c r="O566" s="482"/>
      <c r="P566" s="482"/>
      <c r="Q566" s="482"/>
      <c r="R566" s="484">
        <f>SUM(Q567:Q574)</f>
        <v>2952.444961785</v>
      </c>
      <c r="X566" s="212"/>
    </row>
    <row r="567" spans="1:24" s="12" customFormat="1" x14ac:dyDescent="0.2">
      <c r="A567" s="298" t="str">
        <f>IF(J567&lt;&gt;"",1+MAX($A$18:A566),"")</f>
        <v/>
      </c>
      <c r="B567" s="346"/>
      <c r="C567" s="346"/>
      <c r="D567" s="347"/>
      <c r="E567" s="302"/>
      <c r="F567" s="314"/>
      <c r="G567" s="312"/>
      <c r="H567" s="336"/>
      <c r="I567" s="348"/>
      <c r="J567" s="349"/>
      <c r="K567" s="339"/>
      <c r="L567" s="340"/>
      <c r="M567" s="341"/>
      <c r="N567" s="342"/>
      <c r="O567" s="343"/>
      <c r="P567" s="344"/>
      <c r="Q567" s="345"/>
      <c r="R567" s="190"/>
      <c r="X567" s="212"/>
    </row>
    <row r="568" spans="1:24" s="12" customFormat="1" x14ac:dyDescent="0.2">
      <c r="A568" s="298" t="str">
        <f>IF(J568&lt;&gt;"",1+MAX($A$18:A567),"")</f>
        <v/>
      </c>
      <c r="B568" s="346"/>
      <c r="C568" s="346"/>
      <c r="D568" s="347"/>
      <c r="E568" s="302"/>
      <c r="F568" s="313" t="s">
        <v>472</v>
      </c>
      <c r="G568" s="312"/>
      <c r="H568" s="336"/>
      <c r="I568" s="348"/>
      <c r="J568" s="349"/>
      <c r="K568" s="397"/>
      <c r="L568" s="340"/>
      <c r="M568" s="341"/>
      <c r="N568" s="342"/>
      <c r="O568" s="398"/>
      <c r="P568" s="344"/>
      <c r="Q568" s="345"/>
      <c r="R568" s="190"/>
      <c r="X568" s="212"/>
    </row>
    <row r="569" spans="1:24" s="12" customFormat="1" x14ac:dyDescent="0.25">
      <c r="A569" s="298">
        <f>IF(J569&lt;&gt;"",1+MAX($A$18:A568),"")</f>
        <v>359</v>
      </c>
      <c r="B569" s="299" t="s">
        <v>427</v>
      </c>
      <c r="C569" s="299" t="s">
        <v>427</v>
      </c>
      <c r="D569" s="347" t="s">
        <v>45</v>
      </c>
      <c r="E569" s="302" t="s">
        <v>248</v>
      </c>
      <c r="F569" s="330" t="s">
        <v>473</v>
      </c>
      <c r="G569" s="312">
        <v>6</v>
      </c>
      <c r="H569" s="196">
        <f>IF(VLOOKUP(J569,'HOURLY RATES'!B$116:C$124,2,0)=0,$J$3,VLOOKUP(J569,'HOURLY RATES'!B$116:C$124,2,0))</f>
        <v>0</v>
      </c>
      <c r="I569" s="251">
        <f t="shared" ref="I569:I573" si="484">(G569*(1+H569))</f>
        <v>6</v>
      </c>
      <c r="J569" s="183" t="s">
        <v>16</v>
      </c>
      <c r="K569" s="368">
        <v>0.56499999999999995</v>
      </c>
      <c r="L569" s="369">
        <f t="shared" ref="L569:L573" si="485">K569*I569</f>
        <v>3.3899999999999997</v>
      </c>
      <c r="M569" s="185">
        <f>IF(VLOOKUP(E569,'HOURLY RATES'!C$6:D$105,2,0)=0,$E$3,VLOOKUP(E569,'HOURLY RATES'!C$6:D$105,2,0))</f>
        <v>29.5563775</v>
      </c>
      <c r="N569" s="197">
        <f t="shared" ref="N569:N573" si="486">M569*L569</f>
        <v>100.19611972499999</v>
      </c>
      <c r="O569" s="296">
        <v>39.5</v>
      </c>
      <c r="P569" s="188">
        <f t="shared" ref="P569:P573" si="487">O569*I569</f>
        <v>237</v>
      </c>
      <c r="Q569" s="189">
        <f t="shared" ref="Q569:Q573" si="488">P569+N569</f>
        <v>337.19611972500002</v>
      </c>
      <c r="R569" s="190"/>
      <c r="X569" s="212"/>
    </row>
    <row r="570" spans="1:24" s="12" customFormat="1" x14ac:dyDescent="0.25">
      <c r="A570" s="298">
        <f>IF(J570&lt;&gt;"",1+MAX($A$18:A569),"")</f>
        <v>360</v>
      </c>
      <c r="B570" s="299" t="s">
        <v>427</v>
      </c>
      <c r="C570" s="299" t="s">
        <v>427</v>
      </c>
      <c r="D570" s="347" t="s">
        <v>45</v>
      </c>
      <c r="E570" s="302" t="s">
        <v>248</v>
      </c>
      <c r="F570" s="330" t="s">
        <v>932</v>
      </c>
      <c r="G570" s="312">
        <v>6</v>
      </c>
      <c r="H570" s="196">
        <f>IF(VLOOKUP(J570,'HOURLY RATES'!B$116:C$124,2,0)=0,$J$3,VLOOKUP(J570,'HOURLY RATES'!B$116:C$124,2,0))</f>
        <v>0</v>
      </c>
      <c r="I570" s="251">
        <f t="shared" si="484"/>
        <v>6</v>
      </c>
      <c r="J570" s="183" t="s">
        <v>16</v>
      </c>
      <c r="K570" s="368">
        <v>0.498</v>
      </c>
      <c r="L570" s="369">
        <f t="shared" si="485"/>
        <v>2.988</v>
      </c>
      <c r="M570" s="185">
        <f>IF(VLOOKUP(E570,'HOURLY RATES'!C$6:D$105,2,0)=0,$E$3,VLOOKUP(E570,'HOURLY RATES'!C$6:D$105,2,0))</f>
        <v>29.5563775</v>
      </c>
      <c r="N570" s="197">
        <f t="shared" si="486"/>
        <v>88.314455969999997</v>
      </c>
      <c r="O570" s="296">
        <v>39.5</v>
      </c>
      <c r="P570" s="188">
        <f t="shared" si="487"/>
        <v>237</v>
      </c>
      <c r="Q570" s="189">
        <f t="shared" si="488"/>
        <v>325.31445596999998</v>
      </c>
      <c r="R570" s="190"/>
      <c r="X570" s="212"/>
    </row>
    <row r="571" spans="1:24" s="12" customFormat="1" x14ac:dyDescent="0.25">
      <c r="A571" s="298">
        <f>IF(J571&lt;&gt;"",1+MAX($A$18:A570),"")</f>
        <v>361</v>
      </c>
      <c r="B571" s="299" t="s">
        <v>427</v>
      </c>
      <c r="C571" s="299" t="s">
        <v>427</v>
      </c>
      <c r="D571" s="347" t="s">
        <v>45</v>
      </c>
      <c r="E571" s="302" t="s">
        <v>248</v>
      </c>
      <c r="F571" s="330" t="s">
        <v>474</v>
      </c>
      <c r="G571" s="312">
        <v>6</v>
      </c>
      <c r="H571" s="196">
        <f>IF(VLOOKUP(J571,'HOURLY RATES'!B$116:C$124,2,0)=0,$J$3,VLOOKUP(J571,'HOURLY RATES'!B$116:C$124,2,0))</f>
        <v>0</v>
      </c>
      <c r="I571" s="251">
        <f t="shared" si="484"/>
        <v>6</v>
      </c>
      <c r="J571" s="183" t="s">
        <v>16</v>
      </c>
      <c r="K571" s="368">
        <v>1.21</v>
      </c>
      <c r="L571" s="369">
        <f t="shared" si="485"/>
        <v>7.26</v>
      </c>
      <c r="M571" s="185">
        <f>IF(VLOOKUP(E571,'HOURLY RATES'!C$6:D$105,2,0)=0,$E$3,VLOOKUP(E571,'HOURLY RATES'!C$6:D$105,2,0))</f>
        <v>29.5563775</v>
      </c>
      <c r="N571" s="197">
        <f t="shared" si="486"/>
        <v>214.57930064999999</v>
      </c>
      <c r="O571" s="296">
        <v>198.84</v>
      </c>
      <c r="P571" s="188">
        <f t="shared" si="487"/>
        <v>1193.04</v>
      </c>
      <c r="Q571" s="189">
        <f t="shared" si="488"/>
        <v>1407.61930065</v>
      </c>
      <c r="R571" s="190"/>
      <c r="X571" s="212"/>
    </row>
    <row r="572" spans="1:24" s="12" customFormat="1" x14ac:dyDescent="0.25">
      <c r="A572" s="298">
        <f>IF(J572&lt;&gt;"",1+MAX($A$18:A571),"")</f>
        <v>362</v>
      </c>
      <c r="B572" s="299" t="s">
        <v>427</v>
      </c>
      <c r="C572" s="299" t="s">
        <v>427</v>
      </c>
      <c r="D572" s="347" t="s">
        <v>45</v>
      </c>
      <c r="E572" s="302" t="s">
        <v>248</v>
      </c>
      <c r="F572" s="330" t="s">
        <v>475</v>
      </c>
      <c r="G572" s="312">
        <v>6</v>
      </c>
      <c r="H572" s="196">
        <f>IF(VLOOKUP(J572,'HOURLY RATES'!B$116:C$124,2,0)=0,$J$3,VLOOKUP(J572,'HOURLY RATES'!B$116:C$124,2,0))</f>
        <v>0</v>
      </c>
      <c r="I572" s="251">
        <f t="shared" si="484"/>
        <v>6</v>
      </c>
      <c r="J572" s="183" t="s">
        <v>16</v>
      </c>
      <c r="K572" s="368">
        <v>0.42099999999999999</v>
      </c>
      <c r="L572" s="369">
        <f t="shared" si="485"/>
        <v>2.5259999999999998</v>
      </c>
      <c r="M572" s="185">
        <f>IF(VLOOKUP(E572,'HOURLY RATES'!C$6:D$105,2,0)=0,$E$3,VLOOKUP(E572,'HOURLY RATES'!C$6:D$105,2,0))</f>
        <v>29.5563775</v>
      </c>
      <c r="N572" s="197">
        <f t="shared" si="486"/>
        <v>74.65940956499999</v>
      </c>
      <c r="O572" s="296">
        <v>54.29</v>
      </c>
      <c r="P572" s="188">
        <f t="shared" si="487"/>
        <v>325.74</v>
      </c>
      <c r="Q572" s="189">
        <f t="shared" si="488"/>
        <v>400.39940956499998</v>
      </c>
      <c r="R572" s="190"/>
      <c r="X572" s="212"/>
    </row>
    <row r="573" spans="1:24" s="12" customFormat="1" x14ac:dyDescent="0.25">
      <c r="A573" s="298">
        <f>IF(J573&lt;&gt;"",1+MAX($A$18:A572),"")</f>
        <v>363</v>
      </c>
      <c r="B573" s="299" t="s">
        <v>427</v>
      </c>
      <c r="C573" s="299" t="s">
        <v>427</v>
      </c>
      <c r="D573" s="347" t="s">
        <v>45</v>
      </c>
      <c r="E573" s="302" t="s">
        <v>248</v>
      </c>
      <c r="F573" s="330" t="s">
        <v>476</v>
      </c>
      <c r="G573" s="312">
        <v>6</v>
      </c>
      <c r="H573" s="196">
        <f>IF(VLOOKUP(J573,'HOURLY RATES'!B$116:C$124,2,0)=0,$J$3,VLOOKUP(J573,'HOURLY RATES'!B$116:C$124,2,0))</f>
        <v>0</v>
      </c>
      <c r="I573" s="251">
        <f t="shared" si="484"/>
        <v>6</v>
      </c>
      <c r="J573" s="183" t="s">
        <v>16</v>
      </c>
      <c r="K573" s="368">
        <v>0.47499999999999998</v>
      </c>
      <c r="L573" s="369">
        <f t="shared" si="485"/>
        <v>2.8499999999999996</v>
      </c>
      <c r="M573" s="185">
        <f>IF(VLOOKUP(E573,'HOURLY RATES'!C$6:D$105,2,0)=0,$E$3,VLOOKUP(E573,'HOURLY RATES'!C$6:D$105,2,0))</f>
        <v>29.5563775</v>
      </c>
      <c r="N573" s="197">
        <f t="shared" si="486"/>
        <v>84.235675874999984</v>
      </c>
      <c r="O573" s="296">
        <v>66.28</v>
      </c>
      <c r="P573" s="188">
        <f t="shared" si="487"/>
        <v>397.68</v>
      </c>
      <c r="Q573" s="189">
        <f t="shared" si="488"/>
        <v>481.91567587499998</v>
      </c>
      <c r="R573" s="190"/>
      <c r="X573" s="212"/>
    </row>
    <row r="574" spans="1:24" s="12" customFormat="1" ht="16.5" thickBot="1" x14ac:dyDescent="0.25">
      <c r="A574" s="214" t="str">
        <f>IF(J574&lt;&gt;"",1+MAX($A$18:A573),"")</f>
        <v/>
      </c>
      <c r="B574" s="215"/>
      <c r="C574" s="215"/>
      <c r="D574" s="215"/>
      <c r="E574" s="215"/>
      <c r="F574" s="216"/>
      <c r="G574" s="217"/>
      <c r="H574" s="218"/>
      <c r="I574" s="219"/>
      <c r="J574" s="220"/>
      <c r="K574" s="221"/>
      <c r="L574" s="222"/>
      <c r="M574" s="223"/>
      <c r="N574" s="224"/>
      <c r="O574" s="225"/>
      <c r="P574" s="226"/>
      <c r="Q574" s="227"/>
      <c r="R574" s="228"/>
      <c r="X574" s="212"/>
    </row>
    <row r="575" spans="1:24" s="12" customFormat="1" ht="20.100000000000001" customHeight="1" x14ac:dyDescent="0.2">
      <c r="A575" s="479" t="str">
        <f>IF(J575&lt;&gt;"",1+MAX($A$18:A574),"")</f>
        <v/>
      </c>
      <c r="B575" s="480"/>
      <c r="C575" s="480"/>
      <c r="D575" s="485" t="s">
        <v>33</v>
      </c>
      <c r="E575" s="485"/>
      <c r="F575" s="486" t="s">
        <v>171</v>
      </c>
      <c r="G575" s="481"/>
      <c r="H575" s="482"/>
      <c r="I575" s="483"/>
      <c r="J575" s="483"/>
      <c r="K575" s="482"/>
      <c r="L575" s="482"/>
      <c r="M575" s="482"/>
      <c r="N575" s="482"/>
      <c r="O575" s="482"/>
      <c r="P575" s="482"/>
      <c r="Q575" s="482"/>
      <c r="R575" s="484">
        <f>SUM(Q576:Q583)</f>
        <v>8123.7648891199988</v>
      </c>
      <c r="X575" s="212"/>
    </row>
    <row r="576" spans="1:24" s="12" customFormat="1" x14ac:dyDescent="0.25">
      <c r="A576" s="298" t="str">
        <f>IF(J576&lt;&gt;"",1+MAX($A$18:A575),"")</f>
        <v/>
      </c>
      <c r="B576" s="346"/>
      <c r="C576" s="346"/>
      <c r="D576" s="347"/>
      <c r="E576" s="302"/>
      <c r="F576" s="330"/>
      <c r="G576" s="330"/>
      <c r="H576" s="196"/>
      <c r="I576" s="251"/>
      <c r="J576" s="183"/>
      <c r="K576" s="199"/>
      <c r="L576" s="210"/>
      <c r="M576" s="185"/>
      <c r="N576" s="197"/>
      <c r="O576" s="211"/>
      <c r="P576" s="188"/>
      <c r="Q576" s="189"/>
      <c r="R576" s="190"/>
      <c r="X576" s="212"/>
    </row>
    <row r="577" spans="1:24" s="12" customFormat="1" x14ac:dyDescent="0.25">
      <c r="A577" s="298">
        <f>IF(J577&lt;&gt;"",1+MAX($A$18:A576),"")</f>
        <v>364</v>
      </c>
      <c r="B577" s="346" t="s">
        <v>420</v>
      </c>
      <c r="C577" s="346" t="s">
        <v>420</v>
      </c>
      <c r="D577" s="347" t="s">
        <v>33</v>
      </c>
      <c r="E577" s="302" t="s">
        <v>171</v>
      </c>
      <c r="F577" s="330" t="s">
        <v>414</v>
      </c>
      <c r="G577" s="312">
        <v>1</v>
      </c>
      <c r="H577" s="196">
        <f>IF(VLOOKUP(J577,'HOURLY RATES'!B$116:C$124,2,0)=0,$J$3,VLOOKUP(J577,'HOURLY RATES'!B$116:C$124,2,0))</f>
        <v>0</v>
      </c>
      <c r="I577" s="251">
        <f t="shared" ref="I577:I582" si="489">(G577*(1+H577))</f>
        <v>1</v>
      </c>
      <c r="J577" s="183" t="s">
        <v>16</v>
      </c>
      <c r="K577" s="199">
        <f>2.351</f>
        <v>2.351</v>
      </c>
      <c r="L577" s="369">
        <f t="shared" ref="L577:L582" si="490">K577*I577</f>
        <v>2.351</v>
      </c>
      <c r="M577" s="185">
        <f>IF(VLOOKUP(E577,'HOURLY RATES'!C$6:D$105,2,0)=0,$E$3,VLOOKUP(E577,'HOURLY RATES'!C$6:D$105,2,0))</f>
        <v>21.16197</v>
      </c>
      <c r="N577" s="197">
        <f t="shared" ref="N577:N582" si="491">M577*L577</f>
        <v>49.751791470000001</v>
      </c>
      <c r="O577" s="211">
        <v>749.98</v>
      </c>
      <c r="P577" s="188">
        <f t="shared" ref="P577:P582" si="492">O577*I577</f>
        <v>749.98</v>
      </c>
      <c r="Q577" s="189">
        <f t="shared" ref="Q577:Q582" si="493">P577+N577</f>
        <v>799.73179146999996</v>
      </c>
      <c r="R577" s="190"/>
      <c r="X577" s="212"/>
    </row>
    <row r="578" spans="1:24" s="12" customFormat="1" x14ac:dyDescent="0.25">
      <c r="A578" s="298">
        <f>IF(J578&lt;&gt;"",1+MAX($A$18:A577),"")</f>
        <v>365</v>
      </c>
      <c r="B578" s="346" t="s">
        <v>420</v>
      </c>
      <c r="C578" s="346" t="s">
        <v>420</v>
      </c>
      <c r="D578" s="347" t="s">
        <v>33</v>
      </c>
      <c r="E578" s="302" t="s">
        <v>171</v>
      </c>
      <c r="F578" s="330" t="s">
        <v>415</v>
      </c>
      <c r="G578" s="312">
        <v>1</v>
      </c>
      <c r="H578" s="196">
        <f>IF(VLOOKUP(J578,'HOURLY RATES'!B$116:C$124,2,0)=0,$J$3,VLOOKUP(J578,'HOURLY RATES'!B$116:C$124,2,0))</f>
        <v>0</v>
      </c>
      <c r="I578" s="251">
        <f t="shared" si="489"/>
        <v>1</v>
      </c>
      <c r="J578" s="183" t="s">
        <v>16</v>
      </c>
      <c r="K578" s="199">
        <f>2.042</f>
        <v>2.0419999999999998</v>
      </c>
      <c r="L578" s="369">
        <f t="shared" si="490"/>
        <v>2.0419999999999998</v>
      </c>
      <c r="M578" s="185">
        <f>IF(VLOOKUP(E578,'HOURLY RATES'!C$6:D$105,2,0)=0,$E$3,VLOOKUP(E578,'HOURLY RATES'!C$6:D$105,2,0))</f>
        <v>21.16197</v>
      </c>
      <c r="N578" s="197">
        <f t="shared" si="491"/>
        <v>43.212742739999996</v>
      </c>
      <c r="O578" s="211">
        <v>499</v>
      </c>
      <c r="P578" s="188">
        <f t="shared" si="492"/>
        <v>499</v>
      </c>
      <c r="Q578" s="189">
        <f t="shared" si="493"/>
        <v>542.21274273999995</v>
      </c>
      <c r="R578" s="190"/>
      <c r="X578" s="212"/>
    </row>
    <row r="579" spans="1:24" s="12" customFormat="1" x14ac:dyDescent="0.25">
      <c r="A579" s="298">
        <f>IF(J579&lt;&gt;"",1+MAX($A$18:A578),"")</f>
        <v>366</v>
      </c>
      <c r="B579" s="346" t="s">
        <v>420</v>
      </c>
      <c r="C579" s="346" t="s">
        <v>420</v>
      </c>
      <c r="D579" s="347" t="s">
        <v>33</v>
      </c>
      <c r="E579" s="302" t="s">
        <v>171</v>
      </c>
      <c r="F579" s="330" t="s">
        <v>416</v>
      </c>
      <c r="G579" s="312">
        <v>1</v>
      </c>
      <c r="H579" s="196">
        <f>IF(VLOOKUP(J579,'HOURLY RATES'!B$116:C$124,2,0)=0,$J$3,VLOOKUP(J579,'HOURLY RATES'!B$116:C$124,2,0))</f>
        <v>0</v>
      </c>
      <c r="I579" s="251">
        <f t="shared" si="489"/>
        <v>1</v>
      </c>
      <c r="J579" s="183" t="s">
        <v>16</v>
      </c>
      <c r="K579" s="199">
        <f>2.042</f>
        <v>2.0419999999999998</v>
      </c>
      <c r="L579" s="369">
        <f t="shared" si="490"/>
        <v>2.0419999999999998</v>
      </c>
      <c r="M579" s="185">
        <f>IF(VLOOKUP(E579,'HOURLY RATES'!C$6:D$105,2,0)=0,$E$3,VLOOKUP(E579,'HOURLY RATES'!C$6:D$105,2,0))</f>
        <v>21.16197</v>
      </c>
      <c r="N579" s="197">
        <f t="shared" si="491"/>
        <v>43.212742739999996</v>
      </c>
      <c r="O579" s="211">
        <v>499</v>
      </c>
      <c r="P579" s="188">
        <f t="shared" si="492"/>
        <v>499</v>
      </c>
      <c r="Q579" s="189">
        <f t="shared" si="493"/>
        <v>542.21274273999995</v>
      </c>
      <c r="R579" s="190"/>
      <c r="X579" s="212"/>
    </row>
    <row r="580" spans="1:24" s="12" customFormat="1" x14ac:dyDescent="0.25">
      <c r="A580" s="298">
        <f>IF(J580&lt;&gt;"",1+MAX($A$18:A579),"")</f>
        <v>367</v>
      </c>
      <c r="B580" s="346" t="s">
        <v>420</v>
      </c>
      <c r="C580" s="346" t="s">
        <v>420</v>
      </c>
      <c r="D580" s="347" t="s">
        <v>33</v>
      </c>
      <c r="E580" s="302" t="s">
        <v>171</v>
      </c>
      <c r="F580" s="330" t="s">
        <v>417</v>
      </c>
      <c r="G580" s="312">
        <v>1</v>
      </c>
      <c r="H580" s="196">
        <f>IF(VLOOKUP(J580,'HOURLY RATES'!B$116:C$124,2,0)=0,$J$3,VLOOKUP(J580,'HOURLY RATES'!B$116:C$124,2,0))</f>
        <v>0</v>
      </c>
      <c r="I580" s="251">
        <f t="shared" si="489"/>
        <v>1</v>
      </c>
      <c r="J580" s="183" t="s">
        <v>16</v>
      </c>
      <c r="K580" s="199">
        <f>2.895</f>
        <v>2.895</v>
      </c>
      <c r="L580" s="369">
        <f t="shared" si="490"/>
        <v>2.895</v>
      </c>
      <c r="M580" s="185">
        <f>IF(VLOOKUP(E580,'HOURLY RATES'!C$6:D$105,2,0)=0,$E$3,VLOOKUP(E580,'HOURLY RATES'!C$6:D$105,2,0))</f>
        <v>21.16197</v>
      </c>
      <c r="N580" s="197">
        <f t="shared" si="491"/>
        <v>61.263903150000004</v>
      </c>
      <c r="O580" s="211">
        <v>791.99</v>
      </c>
      <c r="P580" s="188">
        <f t="shared" si="492"/>
        <v>791.99</v>
      </c>
      <c r="Q580" s="189">
        <f t="shared" si="493"/>
        <v>853.25390315000004</v>
      </c>
      <c r="R580" s="190"/>
      <c r="X580" s="212"/>
    </row>
    <row r="581" spans="1:24" s="12" customFormat="1" x14ac:dyDescent="0.25">
      <c r="A581" s="298">
        <f>IF(J581&lt;&gt;"",1+MAX($A$18:A580),"")</f>
        <v>368</v>
      </c>
      <c r="B581" s="346" t="s">
        <v>420</v>
      </c>
      <c r="C581" s="346" t="s">
        <v>420</v>
      </c>
      <c r="D581" s="347" t="s">
        <v>33</v>
      </c>
      <c r="E581" s="302" t="s">
        <v>171</v>
      </c>
      <c r="F581" s="330" t="s">
        <v>418</v>
      </c>
      <c r="G581" s="312">
        <v>2</v>
      </c>
      <c r="H581" s="196">
        <f>IF(VLOOKUP(J581,'HOURLY RATES'!B$116:C$124,2,0)=0,$J$3,VLOOKUP(J581,'HOURLY RATES'!B$116:C$124,2,0))</f>
        <v>0</v>
      </c>
      <c r="I581" s="251">
        <f t="shared" si="489"/>
        <v>2</v>
      </c>
      <c r="J581" s="183" t="s">
        <v>16</v>
      </c>
      <c r="K581" s="199">
        <f>3.124</f>
        <v>3.1240000000000001</v>
      </c>
      <c r="L581" s="369">
        <f t="shared" si="490"/>
        <v>6.2480000000000002</v>
      </c>
      <c r="M581" s="185">
        <f>IF(VLOOKUP(E581,'HOURLY RATES'!C$6:D$105,2,0)=0,$E$3,VLOOKUP(E581,'HOURLY RATES'!C$6:D$105,2,0))</f>
        <v>21.16197</v>
      </c>
      <c r="N581" s="197">
        <f t="shared" si="491"/>
        <v>132.21998856000002</v>
      </c>
      <c r="O581" s="211">
        <v>1259.0999999999999</v>
      </c>
      <c r="P581" s="188">
        <f t="shared" si="492"/>
        <v>2518.1999999999998</v>
      </c>
      <c r="Q581" s="189">
        <f t="shared" si="493"/>
        <v>2650.4199885599996</v>
      </c>
      <c r="R581" s="190"/>
      <c r="X581" s="212"/>
    </row>
    <row r="582" spans="1:24" s="12" customFormat="1" x14ac:dyDescent="0.25">
      <c r="A582" s="298">
        <f>IF(J582&lt;&gt;"",1+MAX($A$18:A581),"")</f>
        <v>369</v>
      </c>
      <c r="B582" s="346" t="s">
        <v>420</v>
      </c>
      <c r="C582" s="346" t="s">
        <v>420</v>
      </c>
      <c r="D582" s="347" t="s">
        <v>33</v>
      </c>
      <c r="E582" s="302" t="s">
        <v>171</v>
      </c>
      <c r="F582" s="330" t="s">
        <v>419</v>
      </c>
      <c r="G582" s="312">
        <v>2</v>
      </c>
      <c r="H582" s="196">
        <f>IF(VLOOKUP(J582,'HOURLY RATES'!B$116:C$124,2,0)=0,$J$3,VLOOKUP(J582,'HOURLY RATES'!B$116:C$124,2,0))</f>
        <v>0</v>
      </c>
      <c r="I582" s="251">
        <f t="shared" si="489"/>
        <v>2</v>
      </c>
      <c r="J582" s="183" t="s">
        <v>16</v>
      </c>
      <c r="K582" s="199">
        <f>3.259</f>
        <v>3.2589999999999999</v>
      </c>
      <c r="L582" s="369">
        <f t="shared" si="490"/>
        <v>6.5179999999999998</v>
      </c>
      <c r="M582" s="185">
        <f>IF(VLOOKUP(E582,'HOURLY RATES'!C$6:D$105,2,0)=0,$E$3,VLOOKUP(E582,'HOURLY RATES'!C$6:D$105,2,0))</f>
        <v>21.16197</v>
      </c>
      <c r="N582" s="197">
        <f t="shared" si="491"/>
        <v>137.93372045999999</v>
      </c>
      <c r="O582" s="211">
        <v>1299</v>
      </c>
      <c r="P582" s="188">
        <f t="shared" si="492"/>
        <v>2598</v>
      </c>
      <c r="Q582" s="189">
        <f t="shared" si="493"/>
        <v>2735.9337204600001</v>
      </c>
      <c r="R582" s="190"/>
      <c r="X582" s="212"/>
    </row>
    <row r="583" spans="1:24" s="12" customFormat="1" ht="16.5" thickBot="1" x14ac:dyDescent="0.25">
      <c r="A583" s="214" t="str">
        <f>IF(J583&lt;&gt;"",1+MAX($A$18:A582),"")</f>
        <v/>
      </c>
      <c r="B583" s="215"/>
      <c r="C583" s="215"/>
      <c r="D583" s="215"/>
      <c r="E583" s="215"/>
      <c r="F583" s="216"/>
      <c r="G583" s="217"/>
      <c r="H583" s="218"/>
      <c r="I583" s="219"/>
      <c r="J583" s="220"/>
      <c r="K583" s="221"/>
      <c r="L583" s="222"/>
      <c r="M583" s="223"/>
      <c r="N583" s="224"/>
      <c r="O583" s="225"/>
      <c r="P583" s="226"/>
      <c r="Q583" s="227"/>
      <c r="R583" s="228"/>
      <c r="X583" s="212"/>
    </row>
    <row r="584" spans="1:24" s="12" customFormat="1" ht="20.100000000000001" customHeight="1" x14ac:dyDescent="0.2">
      <c r="A584" s="479" t="str">
        <f>IF(J584&lt;&gt;"",1+MAX($A$18:A583),"")</f>
        <v/>
      </c>
      <c r="B584" s="480"/>
      <c r="C584" s="480"/>
      <c r="D584" s="485" t="s">
        <v>34</v>
      </c>
      <c r="E584" s="485"/>
      <c r="F584" s="486" t="s">
        <v>308</v>
      </c>
      <c r="G584" s="481"/>
      <c r="H584" s="482"/>
      <c r="I584" s="483"/>
      <c r="J584" s="483"/>
      <c r="K584" s="482"/>
      <c r="L584" s="482"/>
      <c r="M584" s="482"/>
      <c r="N584" s="482"/>
      <c r="O584" s="482"/>
      <c r="P584" s="482"/>
      <c r="Q584" s="482"/>
      <c r="R584" s="484">
        <f>SUM(Q585:Q598)</f>
        <v>22572.82878805745</v>
      </c>
      <c r="X584" s="212"/>
    </row>
    <row r="585" spans="1:24" s="12" customFormat="1" ht="20.100000000000001" customHeight="1" x14ac:dyDescent="0.2">
      <c r="A585" s="298" t="str">
        <f>IF(J585&lt;&gt;"",1+MAX($A$18:A584),"")</f>
        <v/>
      </c>
      <c r="B585" s="299"/>
      <c r="C585" s="299"/>
      <c r="D585" s="208"/>
      <c r="E585" s="302"/>
      <c r="F585" s="305"/>
      <c r="G585" s="249"/>
      <c r="H585" s="196"/>
      <c r="I585" s="251"/>
      <c r="J585" s="183"/>
      <c r="K585" s="199"/>
      <c r="L585" s="210"/>
      <c r="M585" s="185"/>
      <c r="N585" s="197"/>
      <c r="O585" s="211"/>
      <c r="P585" s="188"/>
      <c r="Q585" s="189"/>
      <c r="R585" s="190"/>
      <c r="X585" s="212"/>
    </row>
    <row r="586" spans="1:24" s="12" customFormat="1" x14ac:dyDescent="0.2">
      <c r="A586" s="200" t="str">
        <f>IF(J586&lt;&gt;"",1+MAX($A$18:A585),"")</f>
        <v/>
      </c>
      <c r="B586" s="299"/>
      <c r="C586" s="299"/>
      <c r="D586" s="208"/>
      <c r="E586" s="192"/>
      <c r="F586" s="313" t="s">
        <v>309</v>
      </c>
      <c r="G586" s="288"/>
      <c r="H586" s="196"/>
      <c r="I586" s="251"/>
      <c r="J586" s="183"/>
      <c r="K586" s="199"/>
      <c r="L586" s="210"/>
      <c r="M586" s="185"/>
      <c r="N586" s="197"/>
      <c r="O586" s="211"/>
      <c r="P586" s="188"/>
      <c r="Q586" s="189"/>
      <c r="R586" s="304"/>
      <c r="X586" s="212"/>
    </row>
    <row r="587" spans="1:24" s="12" customFormat="1" x14ac:dyDescent="0.25">
      <c r="A587" s="298">
        <f>IF(J587&lt;&gt;"",1+MAX($A$18:A586),"")</f>
        <v>370</v>
      </c>
      <c r="B587" s="346" t="s">
        <v>427</v>
      </c>
      <c r="C587" s="346" t="s">
        <v>427</v>
      </c>
      <c r="D587" s="347" t="s">
        <v>34</v>
      </c>
      <c r="E587" s="302" t="s">
        <v>143</v>
      </c>
      <c r="F587" s="330" t="s">
        <v>421</v>
      </c>
      <c r="G587" s="312">
        <f>2*20.86</f>
        <v>41.72</v>
      </c>
      <c r="H587" s="196">
        <f>IF(VLOOKUP(J587,'HOURLY RATES'!B$116:C$124,2,0)=0,$J$3,VLOOKUP(J587,'HOURLY RATES'!B$116:C$124,2,0))</f>
        <v>0.05</v>
      </c>
      <c r="I587" s="251">
        <f t="shared" ref="I587:I591" si="494">(G587*(1+H587))</f>
        <v>43.805999999999997</v>
      </c>
      <c r="J587" s="183" t="s">
        <v>17</v>
      </c>
      <c r="K587" s="199">
        <v>0.35899999999999999</v>
      </c>
      <c r="L587" s="369">
        <f t="shared" ref="L587:L589" si="495">K587*I587</f>
        <v>15.726353999999999</v>
      </c>
      <c r="M587" s="185">
        <f>IF(VLOOKUP(E587,'HOURLY RATES'!C$6:D$105,2,0)=0,$E$3,VLOOKUP(E587,'HOURLY RATES'!C$6:D$105,2,0))</f>
        <v>37.147110000000005</v>
      </c>
      <c r="N587" s="197">
        <f>M587*L587</f>
        <v>584.18860193694002</v>
      </c>
      <c r="O587" s="211">
        <v>85.5</v>
      </c>
      <c r="P587" s="188">
        <f>O587*I587</f>
        <v>3745.4129999999996</v>
      </c>
      <c r="Q587" s="189">
        <f>P587+N587</f>
        <v>4329.6016019369399</v>
      </c>
      <c r="R587" s="190"/>
      <c r="X587" s="212"/>
    </row>
    <row r="588" spans="1:24" s="12" customFormat="1" x14ac:dyDescent="0.25">
      <c r="A588" s="298">
        <f>IF(J588&lt;&gt;"",1+MAX($A$18:A587),"")</f>
        <v>371</v>
      </c>
      <c r="B588" s="346" t="s">
        <v>427</v>
      </c>
      <c r="C588" s="346" t="s">
        <v>427</v>
      </c>
      <c r="D588" s="347" t="s">
        <v>34</v>
      </c>
      <c r="E588" s="302" t="s">
        <v>143</v>
      </c>
      <c r="F588" s="330" t="s">
        <v>423</v>
      </c>
      <c r="G588" s="312">
        <f>1.83*20.86</f>
        <v>38.1738</v>
      </c>
      <c r="H588" s="196">
        <f>IF(VLOOKUP(J588,'HOURLY RATES'!B$116:C$124,2,0)=0,$J$3,VLOOKUP(J588,'HOURLY RATES'!B$116:C$124,2,0))</f>
        <v>0.05</v>
      </c>
      <c r="I588" s="251">
        <f t="shared" si="494"/>
        <v>40.08249</v>
      </c>
      <c r="J588" s="183" t="s">
        <v>17</v>
      </c>
      <c r="K588" s="199">
        <v>0.35899999999999999</v>
      </c>
      <c r="L588" s="369">
        <f t="shared" si="495"/>
        <v>14.38961391</v>
      </c>
      <c r="M588" s="185">
        <f>IF(VLOOKUP(E588,'HOURLY RATES'!C$6:D$105,2,0)=0,$E$3,VLOOKUP(E588,'HOURLY RATES'!C$6:D$105,2,0))</f>
        <v>37.147110000000005</v>
      </c>
      <c r="N588" s="197">
        <f>M588*L588</f>
        <v>534.53257077230012</v>
      </c>
      <c r="O588" s="211">
        <v>85.5</v>
      </c>
      <c r="P588" s="188">
        <f>O588*I588</f>
        <v>3427.0528949999998</v>
      </c>
      <c r="Q588" s="189">
        <f>P588+N588</f>
        <v>3961.5854657722998</v>
      </c>
      <c r="R588" s="190"/>
      <c r="X588" s="212"/>
    </row>
    <row r="589" spans="1:24" s="12" customFormat="1" x14ac:dyDescent="0.25">
      <c r="A589" s="298">
        <f>IF(J589&lt;&gt;"",1+MAX($A$18:A588),"")</f>
        <v>372</v>
      </c>
      <c r="B589" s="346" t="s">
        <v>427</v>
      </c>
      <c r="C589" s="346" t="s">
        <v>427</v>
      </c>
      <c r="D589" s="347" t="s">
        <v>34</v>
      </c>
      <c r="E589" s="302" t="s">
        <v>59</v>
      </c>
      <c r="F589" s="330" t="s">
        <v>422</v>
      </c>
      <c r="G589" s="312">
        <v>42</v>
      </c>
      <c r="H589" s="196">
        <f>IF(VLOOKUP(J589,'HOURLY RATES'!B$116:C$124,2,0)=0,$J$3,VLOOKUP(J589,'HOURLY RATES'!B$116:C$124,2,0))</f>
        <v>0.05</v>
      </c>
      <c r="I589" s="251">
        <f t="shared" si="494"/>
        <v>44.1</v>
      </c>
      <c r="J589" s="183" t="s">
        <v>19</v>
      </c>
      <c r="K589" s="199">
        <v>1.1000000000000001</v>
      </c>
      <c r="L589" s="369">
        <f t="shared" si="495"/>
        <v>48.510000000000005</v>
      </c>
      <c r="M589" s="185">
        <f>IF(VLOOKUP(E589,'HOURLY RATES'!C$6:D$105,2,0)=0,$E$3,VLOOKUP(E589,'HOURLY RATES'!C$6:D$105,2,0))</f>
        <v>29.5563775</v>
      </c>
      <c r="N589" s="197">
        <f>M589*L589</f>
        <v>1433.7798725250002</v>
      </c>
      <c r="O589" s="211">
        <v>125.5</v>
      </c>
      <c r="P589" s="188">
        <f>O589*I589</f>
        <v>5534.55</v>
      </c>
      <c r="Q589" s="189">
        <f>P589+N589</f>
        <v>6968.3298725250006</v>
      </c>
      <c r="R589" s="190"/>
      <c r="X589" s="212"/>
    </row>
    <row r="590" spans="1:24" s="12" customFormat="1" x14ac:dyDescent="0.25">
      <c r="A590" s="298">
        <f>IF(J590&lt;&gt;"",1+MAX($A$18:A589),"")</f>
        <v>373</v>
      </c>
      <c r="B590" s="346" t="s">
        <v>427</v>
      </c>
      <c r="C590" s="346" t="s">
        <v>427</v>
      </c>
      <c r="D590" s="347" t="s">
        <v>34</v>
      </c>
      <c r="E590" s="302" t="s">
        <v>59</v>
      </c>
      <c r="F590" s="330" t="s">
        <v>871</v>
      </c>
      <c r="G590" s="312">
        <v>20.86</v>
      </c>
      <c r="H590" s="196">
        <f>IF(VLOOKUP(J590,'HOURLY RATES'!B$116:C$124,2,0)=0,$J$3,VLOOKUP(J590,'HOURLY RATES'!B$116:C$124,2,0))</f>
        <v>0.05</v>
      </c>
      <c r="I590" s="251">
        <f t="shared" si="494"/>
        <v>21.902999999999999</v>
      </c>
      <c r="J590" s="183" t="s">
        <v>19</v>
      </c>
      <c r="K590" s="199">
        <v>1.2</v>
      </c>
      <c r="L590" s="369">
        <f t="shared" ref="L590" si="496">K590*I590</f>
        <v>26.283599999999996</v>
      </c>
      <c r="M590" s="185">
        <f>IF(VLOOKUP(E590,'HOURLY RATES'!C$6:D$105,2,0)=0,$E$3,VLOOKUP(E590,'HOURLY RATES'!C$6:D$105,2,0))</f>
        <v>29.5563775</v>
      </c>
      <c r="N590" s="197">
        <f>M590*L590</f>
        <v>776.84800365899991</v>
      </c>
      <c r="O590" s="211">
        <v>155.5</v>
      </c>
      <c r="P590" s="188">
        <f>O590*I590</f>
        <v>3405.9164999999998</v>
      </c>
      <c r="Q590" s="189">
        <f>P590+N590</f>
        <v>4182.7645036590002</v>
      </c>
      <c r="R590" s="190"/>
      <c r="X590" s="212"/>
    </row>
    <row r="591" spans="1:24" s="12" customFormat="1" x14ac:dyDescent="0.25">
      <c r="A591" s="298">
        <f>IF(J591&lt;&gt;"",1+MAX($A$18:A590),"")</f>
        <v>374</v>
      </c>
      <c r="B591" s="346" t="s">
        <v>427</v>
      </c>
      <c r="C591" s="346" t="s">
        <v>427</v>
      </c>
      <c r="D591" s="347" t="s">
        <v>34</v>
      </c>
      <c r="E591" s="302" t="s">
        <v>143</v>
      </c>
      <c r="F591" s="330" t="s">
        <v>872</v>
      </c>
      <c r="G591" s="312">
        <v>20.86</v>
      </c>
      <c r="H591" s="196">
        <f>IF(VLOOKUP(J591,'HOURLY RATES'!B$116:C$124,2,0)=0,$J$3,VLOOKUP(J591,'HOURLY RATES'!B$116:C$124,2,0))</f>
        <v>0.05</v>
      </c>
      <c r="I591" s="251">
        <f t="shared" si="494"/>
        <v>21.902999999999999</v>
      </c>
      <c r="J591" s="183" t="s">
        <v>19</v>
      </c>
      <c r="K591" s="199">
        <v>0.22</v>
      </c>
      <c r="L591" s="369">
        <f t="shared" ref="L591" si="497">K591*I591</f>
        <v>4.8186599999999995</v>
      </c>
      <c r="M591" s="185">
        <f>IF(VLOOKUP(E591,'HOURLY RATES'!C$6:D$105,2,0)=0,$E$3,VLOOKUP(E591,'HOURLY RATES'!C$6:D$105,2,0))</f>
        <v>37.147110000000005</v>
      </c>
      <c r="N591" s="197">
        <f>M591*L591</f>
        <v>178.99929307260001</v>
      </c>
      <c r="O591" s="211">
        <v>22.4</v>
      </c>
      <c r="P591" s="188">
        <f>O591*I591</f>
        <v>490.62719999999996</v>
      </c>
      <c r="Q591" s="189">
        <f>P591+N591</f>
        <v>669.62649307259994</v>
      </c>
      <c r="R591" s="190"/>
      <c r="X591" s="212"/>
    </row>
    <row r="592" spans="1:24" s="12" customFormat="1" x14ac:dyDescent="0.25">
      <c r="A592" s="298" t="str">
        <f>IF(J592&lt;&gt;"",1+MAX($A$18:A591),"")</f>
        <v/>
      </c>
      <c r="B592" s="346"/>
      <c r="C592" s="346"/>
      <c r="D592" s="347"/>
      <c r="E592" s="302"/>
      <c r="F592" s="330"/>
      <c r="G592" s="312"/>
      <c r="H592" s="196"/>
      <c r="I592" s="251"/>
      <c r="J592" s="183"/>
      <c r="K592" s="199"/>
      <c r="L592" s="369"/>
      <c r="M592" s="185"/>
      <c r="N592" s="197"/>
      <c r="O592" s="211"/>
      <c r="P592" s="188"/>
      <c r="Q592" s="189"/>
      <c r="R592" s="190"/>
      <c r="X592" s="212"/>
    </row>
    <row r="593" spans="1:24" s="12" customFormat="1" x14ac:dyDescent="0.25">
      <c r="A593" s="298">
        <f>IF(J593&lt;&gt;"",1+MAX($A$18:A592),"")</f>
        <v>375</v>
      </c>
      <c r="B593" s="346" t="s">
        <v>427</v>
      </c>
      <c r="C593" s="346" t="s">
        <v>427</v>
      </c>
      <c r="D593" s="347" t="s">
        <v>34</v>
      </c>
      <c r="E593" s="302" t="s">
        <v>59</v>
      </c>
      <c r="F593" s="330" t="s">
        <v>424</v>
      </c>
      <c r="G593" s="312">
        <v>1</v>
      </c>
      <c r="H593" s="196">
        <f>IF(VLOOKUP(J593,'HOURLY RATES'!B$116:C$124,2,0)=0,$J$3,VLOOKUP(J593,'HOURLY RATES'!B$116:C$124,2,0))</f>
        <v>0</v>
      </c>
      <c r="I593" s="251">
        <f t="shared" ref="I593:I594" si="498">(G593*(1+H593))</f>
        <v>1</v>
      </c>
      <c r="J593" s="183" t="s">
        <v>16</v>
      </c>
      <c r="K593" s="199">
        <v>4.056</v>
      </c>
      <c r="L593" s="369">
        <f t="shared" ref="L593:L597" si="499">K593*I593</f>
        <v>4.056</v>
      </c>
      <c r="M593" s="185">
        <f>IF(VLOOKUP(E593,'HOURLY RATES'!C$6:D$105,2,0)=0,$E$3,VLOOKUP(E593,'HOURLY RATES'!C$6:D$105,2,0))</f>
        <v>29.5563775</v>
      </c>
      <c r="N593" s="197">
        <f t="shared" ref="N593:N594" si="500">M593*L593</f>
        <v>119.88066714</v>
      </c>
      <c r="O593" s="211">
        <f>1286.99*56*42/(72*96.12)</f>
        <v>437.38736301844915</v>
      </c>
      <c r="P593" s="188">
        <f t="shared" ref="P593:P594" si="501">O593*I593</f>
        <v>437.38736301844915</v>
      </c>
      <c r="Q593" s="189">
        <f t="shared" ref="Q593:Q594" si="502">P593+N593</f>
        <v>557.26803015844916</v>
      </c>
      <c r="R593" s="190"/>
      <c r="X593" s="212"/>
    </row>
    <row r="594" spans="1:24" s="12" customFormat="1" x14ac:dyDescent="0.25">
      <c r="A594" s="298">
        <f>IF(J594&lt;&gt;"",1+MAX($A$18:A593),"")</f>
        <v>376</v>
      </c>
      <c r="B594" s="346" t="s">
        <v>427</v>
      </c>
      <c r="C594" s="346" t="s">
        <v>427</v>
      </c>
      <c r="D594" s="347" t="s">
        <v>34</v>
      </c>
      <c r="E594" s="302" t="s">
        <v>59</v>
      </c>
      <c r="F594" s="330" t="s">
        <v>425</v>
      </c>
      <c r="G594" s="312">
        <v>1</v>
      </c>
      <c r="H594" s="196">
        <f>IF(VLOOKUP(J594,'HOURLY RATES'!B$116:C$124,2,0)=0,$J$3,VLOOKUP(J594,'HOURLY RATES'!B$116:C$124,2,0))</f>
        <v>0</v>
      </c>
      <c r="I594" s="251">
        <f t="shared" si="498"/>
        <v>1</v>
      </c>
      <c r="J594" s="183" t="s">
        <v>16</v>
      </c>
      <c r="K594" s="199">
        <v>5.1239999999999997</v>
      </c>
      <c r="L594" s="369">
        <f t="shared" si="499"/>
        <v>5.1239999999999997</v>
      </c>
      <c r="M594" s="185">
        <f>IF(VLOOKUP(E594,'HOURLY RATES'!C$6:D$105,2,0)=0,$E$3,VLOOKUP(E594,'HOURLY RATES'!C$6:D$105,2,0))</f>
        <v>29.5563775</v>
      </c>
      <c r="N594" s="197">
        <f t="shared" si="500"/>
        <v>151.44687830999999</v>
      </c>
      <c r="O594" s="211">
        <f>1286.99*78*65/(72*96.12)</f>
        <v>942.83755548619774</v>
      </c>
      <c r="P594" s="188">
        <f t="shared" si="501"/>
        <v>942.83755548619774</v>
      </c>
      <c r="Q594" s="189">
        <f t="shared" si="502"/>
        <v>1094.2844337961978</v>
      </c>
      <c r="R594" s="190"/>
      <c r="X594" s="212"/>
    </row>
    <row r="595" spans="1:24" s="12" customFormat="1" x14ac:dyDescent="0.25">
      <c r="A595" s="298">
        <f>IF(J595&lt;&gt;"",1+MAX($A$18:A594),"")</f>
        <v>377</v>
      </c>
      <c r="B595" s="346" t="s">
        <v>427</v>
      </c>
      <c r="C595" s="346" t="s">
        <v>427</v>
      </c>
      <c r="D595" s="347" t="s">
        <v>34</v>
      </c>
      <c r="E595" s="302" t="s">
        <v>59</v>
      </c>
      <c r="F595" s="330" t="s">
        <v>426</v>
      </c>
      <c r="G595" s="312">
        <v>1</v>
      </c>
      <c r="H595" s="196">
        <f>IF(VLOOKUP(J595,'HOURLY RATES'!B$116:C$124,2,0)=0,$J$3,VLOOKUP(J595,'HOURLY RATES'!B$116:C$124,2,0))</f>
        <v>0</v>
      </c>
      <c r="I595" s="251">
        <f>(G595*(1+H595))</f>
        <v>1</v>
      </c>
      <c r="J595" s="183" t="s">
        <v>16</v>
      </c>
      <c r="K595" s="199">
        <v>4.3680000000000003</v>
      </c>
      <c r="L595" s="369">
        <f t="shared" si="499"/>
        <v>4.3680000000000003</v>
      </c>
      <c r="M595" s="185">
        <f>IF(VLOOKUP(E595,'HOURLY RATES'!C$6:D$105,2,0)=0,$E$3,VLOOKUP(E595,'HOURLY RATES'!C$6:D$105,2,0))</f>
        <v>29.5563775</v>
      </c>
      <c r="N595" s="197">
        <f>M595*L595</f>
        <v>129.10225692</v>
      </c>
      <c r="O595" s="211">
        <f>1286.99*86*36/(72*96.12)</f>
        <v>575.74459009571365</v>
      </c>
      <c r="P595" s="188">
        <f>O595*I595</f>
        <v>575.74459009571365</v>
      </c>
      <c r="Q595" s="189">
        <f>P595+N595</f>
        <v>704.84684701571359</v>
      </c>
      <c r="R595" s="190"/>
      <c r="X595" s="212"/>
    </row>
    <row r="596" spans="1:24" s="12" customFormat="1" x14ac:dyDescent="0.25">
      <c r="A596" s="298">
        <f>IF(J596&lt;&gt;"",1+MAX($A$18:A595),"")</f>
        <v>378</v>
      </c>
      <c r="B596" s="346" t="s">
        <v>427</v>
      </c>
      <c r="C596" s="346" t="s">
        <v>427</v>
      </c>
      <c r="D596" s="347" t="s">
        <v>34</v>
      </c>
      <c r="E596" s="302" t="s">
        <v>59</v>
      </c>
      <c r="F596" s="330" t="s">
        <v>896</v>
      </c>
      <c r="G596" s="312">
        <v>4.46</v>
      </c>
      <c r="H596" s="196">
        <f>IF(VLOOKUP(J596,'HOURLY RATES'!B$116:C$124,2,0)=0,$J$3,VLOOKUP(J596,'HOURLY RATES'!B$116:C$124,2,0))</f>
        <v>0.05</v>
      </c>
      <c r="I596" s="251">
        <f t="shared" ref="I596:I597" si="503">(G596*(1+H596))</f>
        <v>4.6829999999999998</v>
      </c>
      <c r="J596" s="183" t="s">
        <v>19</v>
      </c>
      <c r="K596" s="199">
        <v>0.1</v>
      </c>
      <c r="L596" s="369">
        <f t="shared" si="499"/>
        <v>0.46829999999999999</v>
      </c>
      <c r="M596" s="185">
        <f>IF(VLOOKUP(E596,'HOURLY RATES'!C$6:D$105,2,0)=0,$E$3,VLOOKUP(E596,'HOURLY RATES'!C$6:D$105,2,0))</f>
        <v>29.5563775</v>
      </c>
      <c r="N596" s="197">
        <f t="shared" ref="N596:N597" si="504">M596*L596</f>
        <v>13.841251583249999</v>
      </c>
      <c r="O596" s="211">
        <v>7.65</v>
      </c>
      <c r="P596" s="188">
        <f t="shared" ref="P596:P597" si="505">O596*I596</f>
        <v>35.824950000000001</v>
      </c>
      <c r="Q596" s="189">
        <f t="shared" ref="Q596:Q597" si="506">P596+N596</f>
        <v>49.66620158325</v>
      </c>
      <c r="R596" s="190"/>
      <c r="X596" s="212"/>
    </row>
    <row r="597" spans="1:24" s="12" customFormat="1" x14ac:dyDescent="0.25">
      <c r="A597" s="298">
        <f>IF(J597&lt;&gt;"",1+MAX($A$18:A596),"")</f>
        <v>379</v>
      </c>
      <c r="B597" s="346" t="s">
        <v>427</v>
      </c>
      <c r="C597" s="346" t="s">
        <v>427</v>
      </c>
      <c r="D597" s="347" t="s">
        <v>34</v>
      </c>
      <c r="E597" s="302" t="s">
        <v>59</v>
      </c>
      <c r="F597" s="330" t="s">
        <v>897</v>
      </c>
      <c r="G597" s="312">
        <v>5.2</v>
      </c>
      <c r="H597" s="196">
        <f>IF(VLOOKUP(J597,'HOURLY RATES'!B$116:C$124,2,0)=0,$J$3,VLOOKUP(J597,'HOURLY RATES'!B$116:C$124,2,0))</f>
        <v>0.05</v>
      </c>
      <c r="I597" s="251">
        <f t="shared" si="503"/>
        <v>5.4600000000000009</v>
      </c>
      <c r="J597" s="183" t="s">
        <v>19</v>
      </c>
      <c r="K597" s="199">
        <v>0.12</v>
      </c>
      <c r="L597" s="369">
        <f t="shared" si="499"/>
        <v>0.65520000000000012</v>
      </c>
      <c r="M597" s="185">
        <f>IF(VLOOKUP(E597,'HOURLY RATES'!C$6:D$105,2,0)=0,$E$3,VLOOKUP(E597,'HOURLY RATES'!C$6:D$105,2,0))</f>
        <v>29.5563775</v>
      </c>
      <c r="N597" s="197">
        <f t="shared" si="504"/>
        <v>19.365338538000003</v>
      </c>
      <c r="O597" s="211">
        <v>6.5</v>
      </c>
      <c r="P597" s="188">
        <f t="shared" si="505"/>
        <v>35.490000000000009</v>
      </c>
      <c r="Q597" s="189">
        <f t="shared" si="506"/>
        <v>54.855338538000012</v>
      </c>
      <c r="R597" s="190"/>
      <c r="X597" s="212"/>
    </row>
    <row r="598" spans="1:24" s="12" customFormat="1" ht="16.5" thickBot="1" x14ac:dyDescent="0.25">
      <c r="A598" s="214" t="str">
        <f>IF(J598&lt;&gt;"",1+MAX($A$18:A597),"")</f>
        <v/>
      </c>
      <c r="B598" s="215"/>
      <c r="C598" s="215"/>
      <c r="D598" s="215"/>
      <c r="E598" s="215"/>
      <c r="F598" s="216"/>
      <c r="G598" s="217"/>
      <c r="H598" s="218"/>
      <c r="I598" s="219"/>
      <c r="J598" s="220"/>
      <c r="K598" s="221"/>
      <c r="L598" s="222"/>
      <c r="M598" s="223"/>
      <c r="N598" s="224"/>
      <c r="O598" s="225"/>
      <c r="P598" s="226"/>
      <c r="Q598" s="227"/>
      <c r="R598" s="228"/>
      <c r="X598" s="212"/>
    </row>
    <row r="599" spans="1:24" s="12" customFormat="1" ht="20.100000000000001" customHeight="1" x14ac:dyDescent="0.2">
      <c r="A599" s="479" t="str">
        <f>IF(J599&lt;&gt;"",1+MAX($A$18:A598),"")</f>
        <v/>
      </c>
      <c r="B599" s="480"/>
      <c r="C599" s="480"/>
      <c r="D599" s="485" t="s">
        <v>117</v>
      </c>
      <c r="E599" s="485"/>
      <c r="F599" s="486" t="s">
        <v>118</v>
      </c>
      <c r="G599" s="481"/>
      <c r="H599" s="482"/>
      <c r="I599" s="483"/>
      <c r="J599" s="483"/>
      <c r="K599" s="482"/>
      <c r="L599" s="482"/>
      <c r="M599" s="482"/>
      <c r="N599" s="482"/>
      <c r="O599" s="482"/>
      <c r="P599" s="482"/>
      <c r="Q599" s="482"/>
      <c r="R599" s="484">
        <f>SUM(Q600:Q602)</f>
        <v>48454.364875810003</v>
      </c>
      <c r="X599" s="212"/>
    </row>
    <row r="600" spans="1:24" s="12" customFormat="1" x14ac:dyDescent="0.25">
      <c r="A600" s="298" t="str">
        <f>IF(J600&lt;&gt;"",1+MAX($A$18:A599),"")</f>
        <v/>
      </c>
      <c r="B600" s="299"/>
      <c r="C600" s="299"/>
      <c r="D600" s="208"/>
      <c r="E600" s="302"/>
      <c r="F600" s="330"/>
      <c r="G600" s="330"/>
      <c r="H600" s="196"/>
      <c r="I600" s="251"/>
      <c r="J600" s="183"/>
      <c r="K600" s="199"/>
      <c r="L600" s="210"/>
      <c r="M600" s="185"/>
      <c r="N600" s="197"/>
      <c r="O600" s="211"/>
      <c r="P600" s="188"/>
      <c r="Q600" s="189"/>
      <c r="R600" s="190"/>
      <c r="X600" s="212"/>
    </row>
    <row r="601" spans="1:24" s="12" customFormat="1" ht="47.25" x14ac:dyDescent="0.25">
      <c r="A601" s="298">
        <f>IF(J601&lt;&gt;"",1+MAX($A$18:A600),"")</f>
        <v>380</v>
      </c>
      <c r="B601" s="299" t="s">
        <v>427</v>
      </c>
      <c r="C601" s="299" t="s">
        <v>427</v>
      </c>
      <c r="D601" s="347" t="s">
        <v>117</v>
      </c>
      <c r="E601" s="302" t="s">
        <v>250</v>
      </c>
      <c r="F601" s="351" t="s">
        <v>428</v>
      </c>
      <c r="G601" s="288">
        <v>1</v>
      </c>
      <c r="H601" s="196">
        <f>IF(VLOOKUP(J601,'HOURLY RATES'!B$116:C$124,2,0)=0,$J$3,VLOOKUP(J601,'HOURLY RATES'!B$116:C$124,2,0))</f>
        <v>0</v>
      </c>
      <c r="I601" s="251">
        <f>(G601*(1+H601))</f>
        <v>1</v>
      </c>
      <c r="J601" s="183" t="s">
        <v>16</v>
      </c>
      <c r="K601" s="199">
        <f>36*4</f>
        <v>144</v>
      </c>
      <c r="L601" s="369">
        <f t="shared" ref="L601" si="507">K601*I601</f>
        <v>144</v>
      </c>
      <c r="M601" s="185">
        <f>IF(VLOOKUP(E601,'HOURLY RATES'!C$6:D$105,2,0)=0,$E$3,VLOOKUP(E601,'HOURLY RATES'!C$6:D$105,2,0))</f>
        <v>58.710867193125011</v>
      </c>
      <c r="N601" s="197">
        <f>M601*L601</f>
        <v>8454.3648758100026</v>
      </c>
      <c r="O601" s="296">
        <v>40000</v>
      </c>
      <c r="P601" s="188">
        <f>O601*I601</f>
        <v>40000</v>
      </c>
      <c r="Q601" s="396">
        <f>P601+N601</f>
        <v>48454.364875810003</v>
      </c>
      <c r="R601" s="190"/>
      <c r="X601" s="212"/>
    </row>
    <row r="602" spans="1:24" s="12" customFormat="1" ht="16.5" thickBot="1" x14ac:dyDescent="0.25">
      <c r="A602" s="214" t="str">
        <f>IF(J602&lt;&gt;"",1+MAX($A$18:A601),"")</f>
        <v/>
      </c>
      <c r="B602" s="215"/>
      <c r="C602" s="215"/>
      <c r="D602" s="215"/>
      <c r="E602" s="215"/>
      <c r="F602" s="216"/>
      <c r="G602" s="217"/>
      <c r="H602" s="218"/>
      <c r="I602" s="219"/>
      <c r="J602" s="220"/>
      <c r="K602" s="221"/>
      <c r="L602" s="222"/>
      <c r="M602" s="223"/>
      <c r="N602" s="224"/>
      <c r="O602" s="225"/>
      <c r="P602" s="226"/>
      <c r="Q602" s="227"/>
      <c r="R602" s="228"/>
      <c r="X602" s="212"/>
    </row>
    <row r="603" spans="1:24" s="12" customFormat="1" ht="20.100000000000001" customHeight="1" x14ac:dyDescent="0.2">
      <c r="A603" s="479" t="str">
        <f>IF(J603&lt;&gt;"",1+MAX($A$18:A602),"")</f>
        <v/>
      </c>
      <c r="B603" s="480"/>
      <c r="C603" s="480"/>
      <c r="D603" s="485" t="s">
        <v>119</v>
      </c>
      <c r="E603" s="485"/>
      <c r="F603" s="486" t="s">
        <v>120</v>
      </c>
      <c r="G603" s="481"/>
      <c r="H603" s="482"/>
      <c r="I603" s="483"/>
      <c r="J603" s="483"/>
      <c r="K603" s="482"/>
      <c r="L603" s="482"/>
      <c r="M603" s="482"/>
      <c r="N603" s="482"/>
      <c r="O603" s="482"/>
      <c r="P603" s="482"/>
      <c r="Q603" s="482"/>
      <c r="R603" s="484">
        <f>SUM(Q604:Q606)</f>
        <v>22641.521386612796</v>
      </c>
      <c r="X603" s="212"/>
    </row>
    <row r="604" spans="1:24" s="12" customFormat="1" x14ac:dyDescent="0.25">
      <c r="A604" s="298" t="str">
        <f>IF(J604&lt;&gt;"",1+MAX($A$18:A603),"")</f>
        <v/>
      </c>
      <c r="B604" s="299"/>
      <c r="C604" s="299"/>
      <c r="D604" s="208"/>
      <c r="E604" s="302"/>
      <c r="F604" s="330"/>
      <c r="G604" s="330"/>
      <c r="H604" s="196"/>
      <c r="I604" s="251"/>
      <c r="J604" s="183"/>
      <c r="K604" s="199"/>
      <c r="L604" s="210"/>
      <c r="M604" s="185"/>
      <c r="N604" s="197"/>
      <c r="O604" s="211"/>
      <c r="P604" s="188"/>
      <c r="Q604" s="189"/>
      <c r="R604" s="190"/>
      <c r="X604" s="212"/>
    </row>
    <row r="605" spans="1:24" s="12" customFormat="1" x14ac:dyDescent="0.25">
      <c r="A605" s="298">
        <f>IF(J605&lt;&gt;"",1+MAX($A$18:A604),"")</f>
        <v>381</v>
      </c>
      <c r="B605" s="299"/>
      <c r="C605" s="299"/>
      <c r="D605" s="347" t="s">
        <v>119</v>
      </c>
      <c r="E605" s="302" t="s">
        <v>120</v>
      </c>
      <c r="F605" s="351" t="s">
        <v>898</v>
      </c>
      <c r="G605" s="288">
        <v>1</v>
      </c>
      <c r="H605" s="196">
        <f>IF(VLOOKUP(J605,'HOURLY RATES'!B$116:C$124,2,0)=0,$J$3,VLOOKUP(J605,'HOURLY RATES'!B$116:C$124,2,0))</f>
        <v>0</v>
      </c>
      <c r="I605" s="251">
        <f>(G605*(1+H605))</f>
        <v>1</v>
      </c>
      <c r="J605" s="183" t="s">
        <v>18</v>
      </c>
      <c r="K605" s="199">
        <f>0.176*4480*0.35</f>
        <v>275.96799999999996</v>
      </c>
      <c r="L605" s="369">
        <f>K605*I605</f>
        <v>275.96799999999996</v>
      </c>
      <c r="M605" s="185">
        <f>IF(VLOOKUP(E605,'HOURLY RATES'!C$6:D$105,2,0)=0,$E$3,VLOOKUP(E605,'HOURLY RATES'!C$6:D$105,2,0))</f>
        <v>46.126802334374993</v>
      </c>
      <c r="N605" s="197">
        <f>M605*L605</f>
        <v>12729.521386612796</v>
      </c>
      <c r="O605" s="296">
        <f>2.95*4480*0.75</f>
        <v>9912</v>
      </c>
      <c r="P605" s="188">
        <f>O605*I605</f>
        <v>9912</v>
      </c>
      <c r="Q605" s="396">
        <f>P605+N605</f>
        <v>22641.521386612796</v>
      </c>
      <c r="R605" s="190"/>
      <c r="X605" s="212"/>
    </row>
    <row r="606" spans="1:24" s="12" customFormat="1" ht="16.5" thickBot="1" x14ac:dyDescent="0.25">
      <c r="A606" s="214" t="str">
        <f>IF(J606&lt;&gt;"",1+MAX($A$18:A605),"")</f>
        <v/>
      </c>
      <c r="B606" s="215"/>
      <c r="C606" s="215"/>
      <c r="D606" s="215"/>
      <c r="E606" s="215"/>
      <c r="F606" s="216"/>
      <c r="G606" s="217"/>
      <c r="H606" s="218"/>
      <c r="I606" s="219"/>
      <c r="J606" s="220"/>
      <c r="K606" s="221"/>
      <c r="L606" s="222"/>
      <c r="M606" s="223"/>
      <c r="N606" s="224"/>
      <c r="O606" s="225"/>
      <c r="P606" s="226"/>
      <c r="Q606" s="227"/>
      <c r="R606" s="228"/>
      <c r="X606" s="212"/>
    </row>
    <row r="607" spans="1:24" s="12" customFormat="1" ht="20.100000000000001" customHeight="1" x14ac:dyDescent="0.2">
      <c r="A607" s="479" t="str">
        <f>IF(J607&lt;&gt;"",1+MAX($A$18:A606),"")</f>
        <v/>
      </c>
      <c r="B607" s="480"/>
      <c r="C607" s="480"/>
      <c r="D607" s="474" t="s">
        <v>36</v>
      </c>
      <c r="E607" s="474"/>
      <c r="F607" s="475" t="s">
        <v>163</v>
      </c>
      <c r="G607" s="481"/>
      <c r="H607" s="482"/>
      <c r="I607" s="483"/>
      <c r="J607" s="483"/>
      <c r="K607" s="482"/>
      <c r="L607" s="482"/>
      <c r="M607" s="482"/>
      <c r="N607" s="482"/>
      <c r="O607" s="482"/>
      <c r="P607" s="482"/>
      <c r="Q607" s="482"/>
      <c r="R607" s="484">
        <f>SUM(Q608:Q682)</f>
        <v>66641.800500341109</v>
      </c>
      <c r="X607" s="212"/>
    </row>
    <row r="608" spans="1:24" s="12" customFormat="1" x14ac:dyDescent="0.2">
      <c r="A608" s="298" t="str">
        <f>IF(J608&lt;&gt;"",1+MAX($A$18:A607),"")</f>
        <v/>
      </c>
      <c r="B608" s="299"/>
      <c r="C608" s="299"/>
      <c r="D608" s="208"/>
      <c r="E608" s="302"/>
      <c r="F608" s="305"/>
      <c r="G608" s="249"/>
      <c r="H608" s="196"/>
      <c r="I608" s="251"/>
      <c r="J608" s="183"/>
      <c r="K608" s="199"/>
      <c r="L608" s="210"/>
      <c r="M608" s="185"/>
      <c r="N608" s="197"/>
      <c r="O608" s="211"/>
      <c r="P608" s="188"/>
      <c r="Q608" s="189"/>
      <c r="R608" s="190"/>
      <c r="X608" s="212"/>
    </row>
    <row r="609" spans="1:24" s="12" customFormat="1" x14ac:dyDescent="0.2">
      <c r="A609" s="298" t="str">
        <f>IF(J609&lt;&gt;"",1+MAX($A$18:A608),"")</f>
        <v/>
      </c>
      <c r="B609" s="299"/>
      <c r="C609" s="299"/>
      <c r="D609" s="208"/>
      <c r="E609" s="302"/>
      <c r="F609" s="331" t="s">
        <v>386</v>
      </c>
      <c r="H609" s="196"/>
      <c r="I609" s="251"/>
      <c r="J609" s="183"/>
      <c r="K609" s="199"/>
      <c r="L609" s="210"/>
      <c r="M609" s="185"/>
      <c r="N609" s="197"/>
      <c r="O609" s="211"/>
      <c r="P609" s="188"/>
      <c r="Q609" s="189"/>
      <c r="R609" s="190"/>
      <c r="X609" s="212"/>
    </row>
    <row r="610" spans="1:24" s="12" customFormat="1" x14ac:dyDescent="0.2">
      <c r="A610" s="298" t="str">
        <f>IF(J610&lt;&gt;"",1+MAX($A$18:A609),"")</f>
        <v/>
      </c>
      <c r="B610" s="299"/>
      <c r="C610" s="299"/>
      <c r="D610" s="208"/>
      <c r="E610" s="302"/>
      <c r="F610" s="332" t="s">
        <v>366</v>
      </c>
      <c r="H610" s="196"/>
      <c r="I610" s="251"/>
      <c r="J610" s="183"/>
      <c r="K610" s="199"/>
      <c r="L610" s="210"/>
      <c r="M610" s="185"/>
      <c r="N610" s="197"/>
      <c r="O610" s="211"/>
      <c r="P610" s="188"/>
      <c r="Q610" s="189"/>
      <c r="R610" s="190"/>
      <c r="X610" s="212"/>
    </row>
    <row r="611" spans="1:24" s="12" customFormat="1" x14ac:dyDescent="0.25">
      <c r="A611" s="298">
        <f>IF(J611&lt;&gt;"",1+MAX($A$18:A610),"")</f>
        <v>382</v>
      </c>
      <c r="B611" s="299" t="s">
        <v>393</v>
      </c>
      <c r="C611" s="299" t="s">
        <v>394</v>
      </c>
      <c r="D611" s="208" t="s">
        <v>36</v>
      </c>
      <c r="E611" s="302" t="s">
        <v>123</v>
      </c>
      <c r="F611" s="330" t="s">
        <v>373</v>
      </c>
      <c r="G611" s="288">
        <f>21.5+3*10</f>
        <v>51.5</v>
      </c>
      <c r="H611" s="196">
        <f>IF(VLOOKUP(J611,'HOURLY RATES'!B$116:C$124,2,0)=0,$J$3,VLOOKUP(J611,'HOURLY RATES'!B$116:C$124,2,0))</f>
        <v>0.05</v>
      </c>
      <c r="I611" s="251">
        <f>(G611*(1+H611))</f>
        <v>54.075000000000003</v>
      </c>
      <c r="J611" s="183" t="s">
        <v>19</v>
      </c>
      <c r="K611" s="368">
        <v>0.16200000000000001</v>
      </c>
      <c r="L611" s="369">
        <f t="shared" ref="L611:L615" si="508">K611*I611</f>
        <v>8.7601500000000012</v>
      </c>
      <c r="M611" s="185">
        <f>IF(VLOOKUP(E611,'HOURLY RATES'!C$6:D$105,2,0)=0,$E$3,VLOOKUP(E611,'HOURLY RATES'!C$6:D$105,2,0))</f>
        <v>38.487750000000005</v>
      </c>
      <c r="N611" s="197">
        <f>M611*L611</f>
        <v>337.15846316250008</v>
      </c>
      <c r="O611" s="296">
        <v>15.9</v>
      </c>
      <c r="P611" s="188">
        <f>O611*I611</f>
        <v>859.79250000000002</v>
      </c>
      <c r="Q611" s="189">
        <f>P611+N611</f>
        <v>1196.9509631625001</v>
      </c>
      <c r="R611" s="190"/>
      <c r="X611" s="212"/>
    </row>
    <row r="612" spans="1:24" s="12" customFormat="1" x14ac:dyDescent="0.25">
      <c r="A612" s="298">
        <f>IF(J612&lt;&gt;"",1+MAX($A$18:A611),"")</f>
        <v>383</v>
      </c>
      <c r="B612" s="299" t="s">
        <v>393</v>
      </c>
      <c r="C612" s="299" t="s">
        <v>394</v>
      </c>
      <c r="D612" s="208" t="s">
        <v>36</v>
      </c>
      <c r="E612" s="302" t="s">
        <v>123</v>
      </c>
      <c r="F612" s="330" t="s">
        <v>374</v>
      </c>
      <c r="G612" s="288">
        <f>179.19+3*7+5*8+15*7+3*10+8*1</f>
        <v>383.19</v>
      </c>
      <c r="H612" s="196">
        <f>IF(VLOOKUP(J612,'HOURLY RATES'!B$116:C$124,2,0)=0,$J$3,VLOOKUP(J612,'HOURLY RATES'!B$116:C$124,2,0))</f>
        <v>0.05</v>
      </c>
      <c r="I612" s="251">
        <f t="shared" ref="I612:I614" si="509">(G612*(1+H612))</f>
        <v>402.34950000000003</v>
      </c>
      <c r="J612" s="183" t="s">
        <v>19</v>
      </c>
      <c r="K612" s="368">
        <v>0.104</v>
      </c>
      <c r="L612" s="369">
        <f t="shared" si="508"/>
        <v>41.844348000000004</v>
      </c>
      <c r="M612" s="185">
        <f>IF(VLOOKUP(E612,'HOURLY RATES'!C$6:D$105,2,0)=0,$E$3,VLOOKUP(E612,'HOURLY RATES'!C$6:D$105,2,0))</f>
        <v>38.487750000000005</v>
      </c>
      <c r="N612" s="197">
        <f t="shared" ref="N612:N614" si="510">M612*L612</f>
        <v>1610.4948047370003</v>
      </c>
      <c r="O612" s="296">
        <v>4.5</v>
      </c>
      <c r="P612" s="188">
        <f t="shared" ref="P612:P614" si="511">O612*I612</f>
        <v>1810.5727500000003</v>
      </c>
      <c r="Q612" s="189">
        <f t="shared" ref="Q612:Q614" si="512">P612+N612</f>
        <v>3421.0675547370006</v>
      </c>
      <c r="R612" s="190"/>
      <c r="X612" s="212"/>
    </row>
    <row r="613" spans="1:24" s="12" customFormat="1" x14ac:dyDescent="0.25">
      <c r="A613" s="298">
        <f>IF(J613&lt;&gt;"",1+MAX($A$18:A612),"")</f>
        <v>384</v>
      </c>
      <c r="B613" s="299" t="s">
        <v>393</v>
      </c>
      <c r="C613" s="299" t="s">
        <v>394</v>
      </c>
      <c r="D613" s="208" t="s">
        <v>36</v>
      </c>
      <c r="E613" s="302" t="s">
        <v>123</v>
      </c>
      <c r="F613" s="330" t="s">
        <v>375</v>
      </c>
      <c r="G613" s="288">
        <f>6.43+2*9+103.13+6</f>
        <v>133.56</v>
      </c>
      <c r="H613" s="196">
        <f>IF(VLOOKUP(J613,'HOURLY RATES'!B$116:C$124,2,0)=0,$J$3,VLOOKUP(J613,'HOURLY RATES'!B$116:C$124,2,0))</f>
        <v>0.05</v>
      </c>
      <c r="I613" s="251">
        <f t="shared" si="509"/>
        <v>140.238</v>
      </c>
      <c r="J613" s="183" t="s">
        <v>19</v>
      </c>
      <c r="K613" s="368">
        <v>0.124</v>
      </c>
      <c r="L613" s="369">
        <f t="shared" si="508"/>
        <v>17.389512</v>
      </c>
      <c r="M613" s="185">
        <f>IF(VLOOKUP(E613,'HOURLY RATES'!C$6:D$105,2,0)=0,$E$3,VLOOKUP(E613,'HOURLY RATES'!C$6:D$105,2,0))</f>
        <v>38.487750000000005</v>
      </c>
      <c r="N613" s="197">
        <f t="shared" si="510"/>
        <v>669.28319047800005</v>
      </c>
      <c r="O613" s="296">
        <v>9.1</v>
      </c>
      <c r="P613" s="188">
        <f t="shared" si="511"/>
        <v>1276.1658</v>
      </c>
      <c r="Q613" s="189">
        <f t="shared" si="512"/>
        <v>1945.448990478</v>
      </c>
      <c r="R613" s="190"/>
      <c r="X613" s="212"/>
    </row>
    <row r="614" spans="1:24" s="12" customFormat="1" x14ac:dyDescent="0.25">
      <c r="A614" s="298">
        <f>IF(J614&lt;&gt;"",1+MAX($A$18:A613),"")</f>
        <v>385</v>
      </c>
      <c r="B614" s="299" t="s">
        <v>393</v>
      </c>
      <c r="C614" s="299" t="s">
        <v>394</v>
      </c>
      <c r="D614" s="208" t="s">
        <v>36</v>
      </c>
      <c r="E614" s="302" t="s">
        <v>123</v>
      </c>
      <c r="F614" s="330" t="s">
        <v>376</v>
      </c>
      <c r="G614" s="288">
        <f>2*10+6</f>
        <v>26</v>
      </c>
      <c r="H614" s="196">
        <f>IF(VLOOKUP(J614,'HOURLY RATES'!B$116:C$124,2,0)=0,$J$3,VLOOKUP(J614,'HOURLY RATES'!B$116:C$124,2,0))</f>
        <v>0.05</v>
      </c>
      <c r="I614" s="251">
        <f t="shared" si="509"/>
        <v>27.3</v>
      </c>
      <c r="J614" s="183" t="s">
        <v>19</v>
      </c>
      <c r="K614" s="368">
        <v>0.11</v>
      </c>
      <c r="L614" s="369">
        <f t="shared" si="508"/>
        <v>3.0030000000000001</v>
      </c>
      <c r="M614" s="185">
        <f>IF(VLOOKUP(E614,'HOURLY RATES'!C$6:D$105,2,0)=0,$E$3,VLOOKUP(E614,'HOURLY RATES'!C$6:D$105,2,0))</f>
        <v>38.487750000000005</v>
      </c>
      <c r="N614" s="197">
        <f t="shared" si="510"/>
        <v>115.57871325000002</v>
      </c>
      <c r="O614" s="296">
        <v>7.3</v>
      </c>
      <c r="P614" s="188">
        <f t="shared" si="511"/>
        <v>199.29</v>
      </c>
      <c r="Q614" s="189">
        <f t="shared" si="512"/>
        <v>314.86871325000004</v>
      </c>
      <c r="R614" s="190"/>
      <c r="X614" s="212"/>
    </row>
    <row r="615" spans="1:24" s="12" customFormat="1" x14ac:dyDescent="0.25">
      <c r="A615" s="298">
        <f>IF(J615&lt;&gt;"",1+MAX($A$18:A614),"")</f>
        <v>386</v>
      </c>
      <c r="B615" s="299"/>
      <c r="C615" s="299"/>
      <c r="D615" s="208" t="s">
        <v>36</v>
      </c>
      <c r="E615" s="302" t="s">
        <v>123</v>
      </c>
      <c r="F615" s="330" t="s">
        <v>953</v>
      </c>
      <c r="G615" s="288">
        <v>594</v>
      </c>
      <c r="H615" s="196">
        <f>IF(VLOOKUP(J615,'HOURLY RATES'!B$116:C$124,2,0)=0,$J$3,VLOOKUP(J615,'HOURLY RATES'!B$116:C$124,2,0))</f>
        <v>0.05</v>
      </c>
      <c r="I615" s="251">
        <f t="shared" ref="I615" si="513">(G615*(1+H615))</f>
        <v>623.70000000000005</v>
      </c>
      <c r="J615" s="183" t="s">
        <v>19</v>
      </c>
      <c r="K615" s="368">
        <v>0.125</v>
      </c>
      <c r="L615" s="369">
        <f t="shared" si="508"/>
        <v>77.962500000000006</v>
      </c>
      <c r="M615" s="185">
        <f>IF(VLOOKUP(E615,'HOURLY RATES'!C$6:D$105,2,0)=0,$E$3,VLOOKUP(E615,'HOURLY RATES'!C$6:D$105,2,0))</f>
        <v>38.487750000000005</v>
      </c>
      <c r="N615" s="197">
        <f t="shared" ref="N615" si="514">M615*L615</f>
        <v>3000.6012093750005</v>
      </c>
      <c r="O615" s="296">
        <f>9.81/3</f>
        <v>3.27</v>
      </c>
      <c r="P615" s="188">
        <f t="shared" ref="P615" si="515">O615*I615</f>
        <v>2039.4990000000003</v>
      </c>
      <c r="Q615" s="189">
        <f t="shared" ref="Q615" si="516">P615+N615</f>
        <v>5040.1002093750012</v>
      </c>
      <c r="R615" s="190"/>
      <c r="X615" s="212"/>
    </row>
    <row r="616" spans="1:24" s="12" customFormat="1" x14ac:dyDescent="0.2">
      <c r="A616" s="298" t="str">
        <f>IF(J616&lt;&gt;"",1+MAX($A$18:A615),"")</f>
        <v/>
      </c>
      <c r="B616" s="299"/>
      <c r="C616" s="299"/>
      <c r="D616" s="208"/>
      <c r="E616" s="302"/>
      <c r="F616" s="305"/>
      <c r="G616" s="288"/>
      <c r="H616" s="196"/>
      <c r="I616" s="251"/>
      <c r="J616" s="183"/>
      <c r="K616" s="368"/>
      <c r="L616" s="210"/>
      <c r="M616" s="185"/>
      <c r="N616" s="197"/>
      <c r="O616" s="296"/>
      <c r="P616" s="188"/>
      <c r="Q616" s="189"/>
      <c r="R616" s="190"/>
      <c r="X616" s="212"/>
    </row>
    <row r="617" spans="1:24" s="12" customFormat="1" x14ac:dyDescent="0.2">
      <c r="A617" s="298" t="str">
        <f>IF(J617&lt;&gt;"",1+MAX($A$18:A616),"")</f>
        <v/>
      </c>
      <c r="B617" s="299"/>
      <c r="C617" s="299"/>
      <c r="D617" s="208"/>
      <c r="E617" s="302"/>
      <c r="F617" s="332" t="s">
        <v>367</v>
      </c>
      <c r="G617" s="288"/>
      <c r="H617" s="196"/>
      <c r="I617" s="251"/>
      <c r="J617" s="183"/>
      <c r="K617" s="368"/>
      <c r="L617" s="210"/>
      <c r="M617" s="185"/>
      <c r="N617" s="197"/>
      <c r="O617" s="296"/>
      <c r="P617" s="188"/>
      <c r="Q617" s="189"/>
      <c r="R617" s="190"/>
      <c r="X617" s="212"/>
    </row>
    <row r="618" spans="1:24" s="12" customFormat="1" x14ac:dyDescent="0.2">
      <c r="A618" s="298">
        <f>IF(J618&lt;&gt;"",1+MAX($A$18:A617),"")</f>
        <v>387</v>
      </c>
      <c r="B618" s="299" t="s">
        <v>393</v>
      </c>
      <c r="C618" s="299" t="s">
        <v>394</v>
      </c>
      <c r="D618" s="208" t="s">
        <v>36</v>
      </c>
      <c r="E618" s="302" t="s">
        <v>123</v>
      </c>
      <c r="F618" s="305" t="s">
        <v>372</v>
      </c>
      <c r="G618" s="288">
        <f>9.33+6</f>
        <v>15.33</v>
      </c>
      <c r="H618" s="196">
        <f>IF(VLOOKUP(J618,'HOURLY RATES'!B$116:C$124,2,0)=0,$J$3,VLOOKUP(J618,'HOURLY RATES'!B$116:C$124,2,0))</f>
        <v>0.05</v>
      </c>
      <c r="I618" s="251">
        <f t="shared" ref="I618:I620" si="517">(G618*(1+H618))</f>
        <v>16.096500000000002</v>
      </c>
      <c r="J618" s="183" t="s">
        <v>19</v>
      </c>
      <c r="K618" s="368">
        <v>0.124</v>
      </c>
      <c r="L618" s="369">
        <f t="shared" ref="L618:L620" si="518">K618*I618</f>
        <v>1.9959660000000004</v>
      </c>
      <c r="M618" s="185">
        <f>IF(VLOOKUP(E618,'HOURLY RATES'!C$6:D$105,2,0)=0,$E$3,VLOOKUP(E618,'HOURLY RATES'!C$6:D$105,2,0))</f>
        <v>38.487750000000005</v>
      </c>
      <c r="N618" s="197">
        <f t="shared" ref="N618:N620" si="519">M618*L618</f>
        <v>76.820240416500027</v>
      </c>
      <c r="O618" s="296">
        <v>9.1</v>
      </c>
      <c r="P618" s="188">
        <f t="shared" ref="P618:P620" si="520">O618*I618</f>
        <v>146.47815000000003</v>
      </c>
      <c r="Q618" s="189">
        <f t="shared" ref="Q618:Q620" si="521">P618+N618</f>
        <v>223.29839041650007</v>
      </c>
      <c r="R618" s="190"/>
      <c r="X618" s="212"/>
    </row>
    <row r="619" spans="1:24" s="12" customFormat="1" x14ac:dyDescent="0.2">
      <c r="A619" s="298">
        <f>IF(J619&lt;&gt;"",1+MAX($A$18:A618),"")</f>
        <v>388</v>
      </c>
      <c r="B619" s="299" t="s">
        <v>393</v>
      </c>
      <c r="C619" s="299" t="s">
        <v>394</v>
      </c>
      <c r="D619" s="208" t="s">
        <v>36</v>
      </c>
      <c r="E619" s="302" t="s">
        <v>123</v>
      </c>
      <c r="F619" s="305" t="s">
        <v>368</v>
      </c>
      <c r="G619" s="288">
        <f>142.22+2*10+15*7+8*1</f>
        <v>275.22000000000003</v>
      </c>
      <c r="H619" s="196">
        <f>IF(VLOOKUP(J619,'HOURLY RATES'!B$116:C$124,2,0)=0,$J$3,VLOOKUP(J619,'HOURLY RATES'!B$116:C$124,2,0))</f>
        <v>0.05</v>
      </c>
      <c r="I619" s="251">
        <f t="shared" si="517"/>
        <v>288.98100000000005</v>
      </c>
      <c r="J619" s="183" t="s">
        <v>19</v>
      </c>
      <c r="K619" s="368">
        <v>0.104</v>
      </c>
      <c r="L619" s="369">
        <f t="shared" si="518"/>
        <v>30.054024000000005</v>
      </c>
      <c r="M619" s="185">
        <f>IF(VLOOKUP(E619,'HOURLY RATES'!C$6:D$105,2,0)=0,$E$3,VLOOKUP(E619,'HOURLY RATES'!C$6:D$105,2,0))</f>
        <v>38.487750000000005</v>
      </c>
      <c r="N619" s="197">
        <f t="shared" si="519"/>
        <v>1156.7117622060005</v>
      </c>
      <c r="O619" s="296">
        <v>4.5</v>
      </c>
      <c r="P619" s="188">
        <f t="shared" si="520"/>
        <v>1300.4145000000003</v>
      </c>
      <c r="Q619" s="189">
        <f t="shared" si="521"/>
        <v>2457.1262622060008</v>
      </c>
      <c r="R619" s="190"/>
      <c r="X619" s="212"/>
    </row>
    <row r="620" spans="1:24" s="12" customFormat="1" x14ac:dyDescent="0.2">
      <c r="A620" s="298">
        <f>IF(J620&lt;&gt;"",1+MAX($A$18:A619),"")</f>
        <v>389</v>
      </c>
      <c r="B620" s="299" t="s">
        <v>393</v>
      </c>
      <c r="C620" s="299" t="s">
        <v>394</v>
      </c>
      <c r="D620" s="208" t="s">
        <v>36</v>
      </c>
      <c r="E620" s="302" t="s">
        <v>123</v>
      </c>
      <c r="F620" s="305" t="s">
        <v>369</v>
      </c>
      <c r="G620" s="288">
        <f>13.02+10+6</f>
        <v>29.02</v>
      </c>
      <c r="H620" s="196">
        <f>IF(VLOOKUP(J620,'HOURLY RATES'!B$116:C$124,2,0)=0,$J$3,VLOOKUP(J620,'HOURLY RATES'!B$116:C$124,2,0))</f>
        <v>0.05</v>
      </c>
      <c r="I620" s="251">
        <f t="shared" si="517"/>
        <v>30.471</v>
      </c>
      <c r="J620" s="183" t="s">
        <v>19</v>
      </c>
      <c r="K620" s="368">
        <v>0.11</v>
      </c>
      <c r="L620" s="369">
        <f t="shared" si="518"/>
        <v>3.35181</v>
      </c>
      <c r="M620" s="185">
        <f>IF(VLOOKUP(E620,'HOURLY RATES'!C$6:D$105,2,0)=0,$E$3,VLOOKUP(E620,'HOURLY RATES'!C$6:D$105,2,0))</f>
        <v>38.487750000000005</v>
      </c>
      <c r="N620" s="197">
        <f t="shared" si="519"/>
        <v>129.0036253275</v>
      </c>
      <c r="O620" s="296">
        <v>7.3</v>
      </c>
      <c r="P620" s="188">
        <f t="shared" si="520"/>
        <v>222.4383</v>
      </c>
      <c r="Q620" s="189">
        <f t="shared" si="521"/>
        <v>351.44192532750003</v>
      </c>
      <c r="R620" s="190"/>
      <c r="X620" s="212"/>
    </row>
    <row r="621" spans="1:24" s="12" customFormat="1" x14ac:dyDescent="0.25">
      <c r="A621" s="298">
        <f>IF(J621&lt;&gt;"",1+MAX($A$18:A620),"")</f>
        <v>390</v>
      </c>
      <c r="B621" s="299" t="s">
        <v>393</v>
      </c>
      <c r="C621" s="299" t="s">
        <v>394</v>
      </c>
      <c r="D621" s="208" t="s">
        <v>36</v>
      </c>
      <c r="E621" s="302" t="s">
        <v>123</v>
      </c>
      <c r="F621" s="330" t="s">
        <v>370</v>
      </c>
      <c r="G621" s="288">
        <f>114.31+6+10*4+10</f>
        <v>170.31</v>
      </c>
      <c r="H621" s="196">
        <f>IF(VLOOKUP(J621,'HOURLY RATES'!B$116:C$124,2,0)=0,$J$3,VLOOKUP(J621,'HOURLY RATES'!B$116:C$124,2,0))</f>
        <v>0.05</v>
      </c>
      <c r="I621" s="251">
        <f t="shared" ref="I621:I622" si="522">(G621*(1+H621))</f>
        <v>178.82550000000001</v>
      </c>
      <c r="J621" s="183" t="s">
        <v>19</v>
      </c>
      <c r="K621" s="368">
        <v>0.104</v>
      </c>
      <c r="L621" s="369">
        <f t="shared" ref="L621:L623" si="523">K621*I621</f>
        <v>18.597852</v>
      </c>
      <c r="M621" s="185">
        <f>IF(VLOOKUP(E621,'HOURLY RATES'!C$6:D$105,2,0)=0,$E$3,VLOOKUP(E621,'HOURLY RATES'!C$6:D$105,2,0))</f>
        <v>38.487750000000005</v>
      </c>
      <c r="N621" s="197">
        <f t="shared" ref="N621:N622" si="524">M621*L621</f>
        <v>715.78947831300013</v>
      </c>
      <c r="O621" s="296">
        <v>4.5</v>
      </c>
      <c r="P621" s="188">
        <f t="shared" ref="P621:P622" si="525">O621*I621</f>
        <v>804.71474999999998</v>
      </c>
      <c r="Q621" s="189">
        <f t="shared" ref="Q621:Q622" si="526">P621+N621</f>
        <v>1520.5042283130001</v>
      </c>
      <c r="R621" s="190"/>
      <c r="X621" s="212"/>
    </row>
    <row r="622" spans="1:24" s="12" customFormat="1" x14ac:dyDescent="0.25">
      <c r="A622" s="298">
        <f>IF(J622&lt;&gt;"",1+MAX($A$18:A621),"")</f>
        <v>391</v>
      </c>
      <c r="B622" s="299" t="s">
        <v>393</v>
      </c>
      <c r="C622" s="299" t="s">
        <v>394</v>
      </c>
      <c r="D622" s="208" t="s">
        <v>36</v>
      </c>
      <c r="E622" s="302" t="s">
        <v>123</v>
      </c>
      <c r="F622" s="330" t="s">
        <v>371</v>
      </c>
      <c r="G622" s="288">
        <v>6</v>
      </c>
      <c r="H622" s="196">
        <f>IF(VLOOKUP(J622,'HOURLY RATES'!B$116:C$124,2,0)=0,$J$3,VLOOKUP(J622,'HOURLY RATES'!B$116:C$124,2,0))</f>
        <v>0.05</v>
      </c>
      <c r="I622" s="251">
        <f t="shared" si="522"/>
        <v>6.3000000000000007</v>
      </c>
      <c r="J622" s="183" t="s">
        <v>19</v>
      </c>
      <c r="K622" s="368">
        <v>0.11</v>
      </c>
      <c r="L622" s="369">
        <f t="shared" si="523"/>
        <v>0.69300000000000006</v>
      </c>
      <c r="M622" s="185">
        <f>IF(VLOOKUP(E622,'HOURLY RATES'!C$6:D$105,2,0)=0,$E$3,VLOOKUP(E622,'HOURLY RATES'!C$6:D$105,2,0))</f>
        <v>38.487750000000005</v>
      </c>
      <c r="N622" s="197">
        <f t="shared" si="524"/>
        <v>26.672010750000005</v>
      </c>
      <c r="O622" s="296">
        <v>7.3</v>
      </c>
      <c r="P622" s="188">
        <f t="shared" si="525"/>
        <v>45.99</v>
      </c>
      <c r="Q622" s="189">
        <f t="shared" si="526"/>
        <v>72.662010750000007</v>
      </c>
      <c r="R622" s="190"/>
      <c r="X622" s="212"/>
    </row>
    <row r="623" spans="1:24" s="12" customFormat="1" x14ac:dyDescent="0.25">
      <c r="A623" s="298">
        <f>IF(J623&lt;&gt;"",1+MAX($A$18:A622),"")</f>
        <v>392</v>
      </c>
      <c r="B623" s="299"/>
      <c r="C623" s="299"/>
      <c r="D623" s="208" t="s">
        <v>36</v>
      </c>
      <c r="E623" s="302" t="s">
        <v>123</v>
      </c>
      <c r="F623" s="330" t="s">
        <v>870</v>
      </c>
      <c r="G623" s="288">
        <v>496</v>
      </c>
      <c r="H623" s="196">
        <f>IF(VLOOKUP(J623,'HOURLY RATES'!B$116:C$124,2,0)=0,$J$3,VLOOKUP(J623,'HOURLY RATES'!B$116:C$124,2,0))</f>
        <v>0.05</v>
      </c>
      <c r="I623" s="251">
        <f>(G623*(1+H623))</f>
        <v>520.80000000000007</v>
      </c>
      <c r="J623" s="183" t="s">
        <v>19</v>
      </c>
      <c r="K623" s="368">
        <v>0.125</v>
      </c>
      <c r="L623" s="369">
        <f t="shared" si="523"/>
        <v>65.100000000000009</v>
      </c>
      <c r="M623" s="185">
        <f>IF(VLOOKUP(E623,'HOURLY RATES'!C$6:D$105,2,0)=0,$E$3,VLOOKUP(E623,'HOURLY RATES'!C$6:D$105,2,0))</f>
        <v>38.487750000000005</v>
      </c>
      <c r="N623" s="197">
        <f>M623*L623</f>
        <v>2505.5525250000005</v>
      </c>
      <c r="O623" s="296">
        <v>2.12</v>
      </c>
      <c r="P623" s="188">
        <f>O623*I623</f>
        <v>1104.0960000000002</v>
      </c>
      <c r="Q623" s="189">
        <f>P623+N623</f>
        <v>3609.6485250000005</v>
      </c>
      <c r="R623" s="190"/>
      <c r="X623" s="212"/>
    </row>
    <row r="624" spans="1:24" s="12" customFormat="1" x14ac:dyDescent="0.2">
      <c r="A624" s="298" t="str">
        <f>IF(J624&lt;&gt;"",1+MAX($A$18:A623),"")</f>
        <v/>
      </c>
      <c r="B624" s="299"/>
      <c r="C624" s="299"/>
      <c r="D624" s="208"/>
      <c r="E624" s="302"/>
      <c r="F624" s="305"/>
      <c r="G624" s="288"/>
      <c r="H624" s="196"/>
      <c r="I624" s="251"/>
      <c r="J624" s="183"/>
      <c r="K624" s="368"/>
      <c r="L624" s="210"/>
      <c r="M624" s="185"/>
      <c r="N624" s="197"/>
      <c r="O624" s="296"/>
      <c r="P624" s="188"/>
      <c r="Q624" s="189"/>
      <c r="R624" s="190"/>
      <c r="X624" s="212"/>
    </row>
    <row r="625" spans="1:24" s="12" customFormat="1" x14ac:dyDescent="0.2">
      <c r="A625" s="298" t="str">
        <f>IF(J625&lt;&gt;"",1+MAX($A$18:A624),"")</f>
        <v/>
      </c>
      <c r="B625" s="299"/>
      <c r="C625" s="299"/>
      <c r="D625" s="208"/>
      <c r="E625" s="302"/>
      <c r="F625" s="332" t="s">
        <v>409</v>
      </c>
      <c r="G625" s="288"/>
      <c r="H625" s="196"/>
      <c r="I625" s="251"/>
      <c r="J625" s="183"/>
      <c r="K625" s="368"/>
      <c r="L625" s="210"/>
      <c r="M625" s="185"/>
      <c r="N625" s="197"/>
      <c r="O625" s="296"/>
      <c r="P625" s="188"/>
      <c r="Q625" s="189"/>
      <c r="R625" s="190"/>
      <c r="X625" s="212"/>
    </row>
    <row r="626" spans="1:24" s="12" customFormat="1" x14ac:dyDescent="0.25">
      <c r="A626" s="298">
        <f>IF(J626&lt;&gt;"",1+MAX($A$18:A625),"")</f>
        <v>393</v>
      </c>
      <c r="B626" s="299" t="s">
        <v>393</v>
      </c>
      <c r="C626" s="299" t="s">
        <v>394</v>
      </c>
      <c r="D626" s="208" t="s">
        <v>36</v>
      </c>
      <c r="E626" s="302" t="s">
        <v>123</v>
      </c>
      <c r="F626" s="330" t="s">
        <v>403</v>
      </c>
      <c r="G626" s="288">
        <v>18</v>
      </c>
      <c r="H626" s="196">
        <f>IF(VLOOKUP(J626,'HOURLY RATES'!B$116:C$124,2,0)=0,$J$3,VLOOKUP(J626,'HOURLY RATES'!B$116:C$124,2,0))</f>
        <v>0</v>
      </c>
      <c r="I626" s="251">
        <f t="shared" ref="I626:I628" si="527">(G626*(1+H626))</f>
        <v>18</v>
      </c>
      <c r="J626" s="183" t="s">
        <v>16</v>
      </c>
      <c r="K626" s="368">
        <f>0.524*(2.5)</f>
        <v>1.31</v>
      </c>
      <c r="L626" s="369">
        <f t="shared" ref="L626:L629" si="528">K626*I626</f>
        <v>23.580000000000002</v>
      </c>
      <c r="M626" s="185">
        <f>IF(VLOOKUP(E626,'HOURLY RATES'!C$6:D$105,2,0)=0,$E$3,VLOOKUP(E626,'HOURLY RATES'!C$6:D$105,2,0))</f>
        <v>38.487750000000005</v>
      </c>
      <c r="N626" s="197">
        <f t="shared" ref="N626:N628" si="529">M626*L626</f>
        <v>907.54114500000026</v>
      </c>
      <c r="O626" s="296">
        <v>48.64</v>
      </c>
      <c r="P626" s="188">
        <f t="shared" ref="P626:P628" si="530">O626*I626</f>
        <v>875.52</v>
      </c>
      <c r="Q626" s="189">
        <f t="shared" ref="Q626:Q628" si="531">P626+N626</f>
        <v>1783.0611450000001</v>
      </c>
      <c r="R626" s="190"/>
      <c r="X626" s="212"/>
    </row>
    <row r="627" spans="1:24" s="12" customFormat="1" x14ac:dyDescent="0.25">
      <c r="A627" s="298">
        <f>IF(J627&lt;&gt;"",1+MAX($A$18:A626),"")</f>
        <v>394</v>
      </c>
      <c r="B627" s="299" t="s">
        <v>393</v>
      </c>
      <c r="C627" s="299" t="s">
        <v>394</v>
      </c>
      <c r="D627" s="208" t="s">
        <v>36</v>
      </c>
      <c r="E627" s="302" t="s">
        <v>123</v>
      </c>
      <c r="F627" s="330" t="s">
        <v>404</v>
      </c>
      <c r="G627" s="288">
        <v>10</v>
      </c>
      <c r="H627" s="196">
        <f>IF(VLOOKUP(J627,'HOURLY RATES'!B$116:C$124,2,0)=0,$J$3,VLOOKUP(J627,'HOURLY RATES'!B$116:C$124,2,0))</f>
        <v>0</v>
      </c>
      <c r="I627" s="251">
        <f t="shared" si="527"/>
        <v>10</v>
      </c>
      <c r="J627" s="183" t="s">
        <v>16</v>
      </c>
      <c r="K627" s="368">
        <f>0.348*(2.5)</f>
        <v>0.86999999999999988</v>
      </c>
      <c r="L627" s="369">
        <f t="shared" si="528"/>
        <v>8.6999999999999993</v>
      </c>
      <c r="M627" s="185">
        <f>IF(VLOOKUP(E627,'HOURLY RATES'!C$6:D$105,2,0)=0,$E$3,VLOOKUP(E627,'HOURLY RATES'!C$6:D$105,2,0))</f>
        <v>38.487750000000005</v>
      </c>
      <c r="N627" s="197">
        <f t="shared" si="529"/>
        <v>334.84342500000002</v>
      </c>
      <c r="O627" s="296">
        <v>22.75</v>
      </c>
      <c r="P627" s="188">
        <f t="shared" si="530"/>
        <v>227.5</v>
      </c>
      <c r="Q627" s="189">
        <f t="shared" si="531"/>
        <v>562.34342500000002</v>
      </c>
      <c r="R627" s="190"/>
      <c r="X627" s="212"/>
    </row>
    <row r="628" spans="1:24" s="12" customFormat="1" x14ac:dyDescent="0.25">
      <c r="A628" s="298">
        <f>IF(J628&lt;&gt;"",1+MAX($A$18:A627),"")</f>
        <v>395</v>
      </c>
      <c r="B628" s="299" t="s">
        <v>393</v>
      </c>
      <c r="C628" s="299" t="s">
        <v>394</v>
      </c>
      <c r="D628" s="208" t="s">
        <v>36</v>
      </c>
      <c r="E628" s="302" t="s">
        <v>123</v>
      </c>
      <c r="F628" s="330" t="s">
        <v>405</v>
      </c>
      <c r="G628" s="288">
        <v>2</v>
      </c>
      <c r="H628" s="196">
        <f>IF(VLOOKUP(J628,'HOURLY RATES'!B$116:C$124,2,0)=0,$J$3,VLOOKUP(J628,'HOURLY RATES'!B$116:C$124,2,0))</f>
        <v>0</v>
      </c>
      <c r="I628" s="251">
        <f t="shared" si="527"/>
        <v>2</v>
      </c>
      <c r="J628" s="183" t="s">
        <v>16</v>
      </c>
      <c r="K628" s="368">
        <f>1.317*(2.5)</f>
        <v>3.2925</v>
      </c>
      <c r="L628" s="369">
        <f t="shared" si="528"/>
        <v>6.585</v>
      </c>
      <c r="M628" s="185">
        <f>IF(VLOOKUP(E628,'HOURLY RATES'!C$6:D$105,2,0)=0,$E$3,VLOOKUP(E628,'HOURLY RATES'!C$6:D$105,2,0))</f>
        <v>38.487750000000005</v>
      </c>
      <c r="N628" s="197">
        <f t="shared" si="529"/>
        <v>253.44183375000003</v>
      </c>
      <c r="O628" s="296">
        <v>256.51</v>
      </c>
      <c r="P628" s="188">
        <f t="shared" si="530"/>
        <v>513.02</v>
      </c>
      <c r="Q628" s="189">
        <f t="shared" si="531"/>
        <v>766.46183374999998</v>
      </c>
      <c r="R628" s="190"/>
      <c r="X628" s="212"/>
    </row>
    <row r="629" spans="1:24" s="12" customFormat="1" x14ac:dyDescent="0.25">
      <c r="A629" s="298">
        <f>IF(J629&lt;&gt;"",1+MAX($A$18:A628),"")</f>
        <v>396</v>
      </c>
      <c r="B629" s="299" t="s">
        <v>393</v>
      </c>
      <c r="C629" s="299" t="s">
        <v>394</v>
      </c>
      <c r="D629" s="208" t="s">
        <v>36</v>
      </c>
      <c r="E629" s="302" t="s">
        <v>123</v>
      </c>
      <c r="F629" s="330" t="s">
        <v>364</v>
      </c>
      <c r="G629" s="288">
        <v>3</v>
      </c>
      <c r="H629" s="196">
        <f>IF(VLOOKUP(J629,'HOURLY RATES'!B$116:C$124,2,0)=0,$J$3,VLOOKUP(J629,'HOURLY RATES'!B$116:C$124,2,0))</f>
        <v>0</v>
      </c>
      <c r="I629" s="251">
        <f>(G629*(1+H629))</f>
        <v>3</v>
      </c>
      <c r="J629" s="183" t="s">
        <v>16</v>
      </c>
      <c r="K629" s="368">
        <v>0.98699999999999999</v>
      </c>
      <c r="L629" s="369">
        <f t="shared" si="528"/>
        <v>2.9609999999999999</v>
      </c>
      <c r="M629" s="185">
        <f>IF(VLOOKUP(E629,'HOURLY RATES'!C$6:D$105,2,0)=0,$E$3,VLOOKUP(E629,'HOURLY RATES'!C$6:D$105,2,0))</f>
        <v>38.487750000000005</v>
      </c>
      <c r="N629" s="197">
        <f>M629*L629</f>
        <v>113.96222775000001</v>
      </c>
      <c r="O629" s="296">
        <v>18.05</v>
      </c>
      <c r="P629" s="188">
        <f>O629*I629</f>
        <v>54.150000000000006</v>
      </c>
      <c r="Q629" s="189">
        <f>P629+N629</f>
        <v>168.11222775000002</v>
      </c>
      <c r="R629" s="190"/>
      <c r="X629" s="212"/>
    </row>
    <row r="630" spans="1:24" s="12" customFormat="1" x14ac:dyDescent="0.2">
      <c r="A630" s="298" t="str">
        <f>IF(J630&lt;&gt;"",1+MAX($A$18:A629),"")</f>
        <v/>
      </c>
      <c r="B630" s="299"/>
      <c r="C630" s="299"/>
      <c r="D630" s="208"/>
      <c r="E630" s="302"/>
      <c r="F630" s="353" t="s">
        <v>527</v>
      </c>
      <c r="G630" s="288"/>
      <c r="H630" s="196"/>
      <c r="I630" s="251"/>
      <c r="J630" s="183"/>
      <c r="K630" s="368"/>
      <c r="L630" s="210"/>
      <c r="M630" s="185"/>
      <c r="N630" s="197"/>
      <c r="O630" s="296"/>
      <c r="P630" s="188"/>
      <c r="Q630" s="189"/>
      <c r="R630" s="190"/>
      <c r="X630" s="212"/>
    </row>
    <row r="631" spans="1:24" s="12" customFormat="1" x14ac:dyDescent="0.2">
      <c r="A631" s="298" t="str">
        <f>IF(J631&lt;&gt;"",1+MAX($A$18:A630),"")</f>
        <v/>
      </c>
      <c r="B631" s="299"/>
      <c r="C631" s="299"/>
      <c r="D631" s="208"/>
      <c r="E631" s="302"/>
      <c r="F631" s="353"/>
      <c r="G631" s="288"/>
      <c r="H631" s="196"/>
      <c r="I631" s="251"/>
      <c r="J631" s="183"/>
      <c r="K631" s="368"/>
      <c r="L631" s="210"/>
      <c r="M631" s="185"/>
      <c r="N631" s="197"/>
      <c r="O631" s="296"/>
      <c r="P631" s="188"/>
      <c r="Q631" s="189"/>
      <c r="R631" s="190"/>
      <c r="X631" s="212"/>
    </row>
    <row r="632" spans="1:24" s="12" customFormat="1" x14ac:dyDescent="0.2">
      <c r="A632" s="298" t="str">
        <f>IF(J632&lt;&gt;"",1+MAX($A$18:A631),"")</f>
        <v/>
      </c>
      <c r="B632" s="299"/>
      <c r="C632" s="299"/>
      <c r="D632" s="208"/>
      <c r="E632" s="302"/>
      <c r="F632" s="331" t="s">
        <v>381</v>
      </c>
      <c r="G632" s="288"/>
      <c r="H632" s="196"/>
      <c r="I632" s="251"/>
      <c r="J632" s="183"/>
      <c r="K632" s="368"/>
      <c r="L632" s="210"/>
      <c r="M632" s="185"/>
      <c r="N632" s="197"/>
      <c r="O632" s="296"/>
      <c r="P632" s="188"/>
      <c r="Q632" s="189"/>
      <c r="R632" s="190"/>
      <c r="X632" s="212"/>
    </row>
    <row r="633" spans="1:24" s="12" customFormat="1" x14ac:dyDescent="0.2">
      <c r="A633" s="298" t="str">
        <f>IF(J633&lt;&gt;"",1+MAX($A$18:A632),"")</f>
        <v/>
      </c>
      <c r="B633" s="299"/>
      <c r="C633" s="299"/>
      <c r="D633" s="208"/>
      <c r="E633" s="302"/>
      <c r="F633" s="332" t="s">
        <v>377</v>
      </c>
      <c r="G633" s="288"/>
      <c r="H633" s="196"/>
      <c r="I633" s="251"/>
      <c r="J633" s="183"/>
      <c r="K633" s="368"/>
      <c r="L633" s="210"/>
      <c r="M633" s="185"/>
      <c r="N633" s="197"/>
      <c r="O633" s="296"/>
      <c r="P633" s="188"/>
      <c r="Q633" s="189"/>
      <c r="R633" s="190"/>
      <c r="X633" s="212"/>
    </row>
    <row r="634" spans="1:24" s="12" customFormat="1" x14ac:dyDescent="0.25">
      <c r="A634" s="298">
        <f>IF(J634&lt;&gt;"",1+MAX($A$18:A633),"")</f>
        <v>397</v>
      </c>
      <c r="B634" s="299" t="s">
        <v>393</v>
      </c>
      <c r="C634" s="299" t="s">
        <v>395</v>
      </c>
      <c r="D634" s="208" t="s">
        <v>36</v>
      </c>
      <c r="E634" s="302" t="s">
        <v>123</v>
      </c>
      <c r="F634" s="330" t="s">
        <v>378</v>
      </c>
      <c r="G634" s="288">
        <v>6.25</v>
      </c>
      <c r="H634" s="196">
        <f>IF(VLOOKUP(J634,'HOURLY RATES'!B$116:C$124,2,0)=0,$J$3,VLOOKUP(J634,'HOURLY RATES'!B$116:C$124,2,0))</f>
        <v>0.05</v>
      </c>
      <c r="I634" s="251">
        <f t="shared" ref="I634:I637" si="532">(G634*(1+H634))</f>
        <v>6.5625</v>
      </c>
      <c r="J634" s="183" t="s">
        <v>19</v>
      </c>
      <c r="K634" s="368">
        <v>0.29099999999999998</v>
      </c>
      <c r="L634" s="369">
        <f t="shared" ref="L634:L637" si="533">K634*I634</f>
        <v>1.9096875</v>
      </c>
      <c r="M634" s="185">
        <f>IF(VLOOKUP(E634,'HOURLY RATES'!C$6:D$105,2,0)=0,$E$3,VLOOKUP(E634,'HOURLY RATES'!C$6:D$105,2,0))</f>
        <v>38.487750000000005</v>
      </c>
      <c r="N634" s="197">
        <f t="shared" ref="N634:N637" si="534">M634*L634</f>
        <v>73.499575078125005</v>
      </c>
      <c r="O634" s="296">
        <v>5.96</v>
      </c>
      <c r="P634" s="188">
        <f t="shared" ref="P634:P637" si="535">O634*I634</f>
        <v>39.112499999999997</v>
      </c>
      <c r="Q634" s="189">
        <f t="shared" ref="Q634:Q637" si="536">P634+N634</f>
        <v>112.612075078125</v>
      </c>
      <c r="R634" s="190"/>
      <c r="X634" s="212"/>
    </row>
    <row r="635" spans="1:24" s="12" customFormat="1" x14ac:dyDescent="0.25">
      <c r="A635" s="298">
        <f>IF(J635&lt;&gt;"",1+MAX($A$18:A634),"")</f>
        <v>398</v>
      </c>
      <c r="B635" s="299" t="s">
        <v>393</v>
      </c>
      <c r="C635" s="299" t="s">
        <v>395</v>
      </c>
      <c r="D635" s="208" t="s">
        <v>36</v>
      </c>
      <c r="E635" s="302" t="s">
        <v>123</v>
      </c>
      <c r="F635" s="330" t="s">
        <v>379</v>
      </c>
      <c r="G635" s="288">
        <f>291.21+3+10*5+2*6</f>
        <v>356.21</v>
      </c>
      <c r="H635" s="196">
        <f>IF(VLOOKUP(J635,'HOURLY RATES'!B$116:C$124,2,0)=0,$J$3,VLOOKUP(J635,'HOURLY RATES'!B$116:C$124,2,0))</f>
        <v>0.05</v>
      </c>
      <c r="I635" s="251">
        <f t="shared" si="532"/>
        <v>374.02049999999997</v>
      </c>
      <c r="J635" s="183" t="s">
        <v>19</v>
      </c>
      <c r="K635" s="368">
        <v>0.26400000000000001</v>
      </c>
      <c r="L635" s="369">
        <f t="shared" si="533"/>
        <v>98.741411999999997</v>
      </c>
      <c r="M635" s="185">
        <f>IF(VLOOKUP(E635,'HOURLY RATES'!C$6:D$105,2,0)=0,$E$3,VLOOKUP(E635,'HOURLY RATES'!C$6:D$105,2,0))</f>
        <v>38.487750000000005</v>
      </c>
      <c r="N635" s="197">
        <f t="shared" si="534"/>
        <v>3800.3347797030005</v>
      </c>
      <c r="O635" s="296">
        <v>4.4000000000000004</v>
      </c>
      <c r="P635" s="188">
        <f t="shared" si="535"/>
        <v>1645.6902</v>
      </c>
      <c r="Q635" s="189">
        <f t="shared" si="536"/>
        <v>5446.024979703001</v>
      </c>
      <c r="R635" s="190"/>
      <c r="X635" s="212"/>
    </row>
    <row r="636" spans="1:24" s="12" customFormat="1" x14ac:dyDescent="0.25">
      <c r="A636" s="298">
        <f>IF(J636&lt;&gt;"",1+MAX($A$18:A635),"")</f>
        <v>399</v>
      </c>
      <c r="B636" s="299" t="s">
        <v>393</v>
      </c>
      <c r="C636" s="299" t="s">
        <v>395</v>
      </c>
      <c r="D636" s="208" t="s">
        <v>36</v>
      </c>
      <c r="E636" s="302" t="s">
        <v>123</v>
      </c>
      <c r="F636" s="330" t="s">
        <v>380</v>
      </c>
      <c r="G636" s="288">
        <f>38.55+3+0.84+1</f>
        <v>43.39</v>
      </c>
      <c r="H636" s="196">
        <f>IF(VLOOKUP(J636,'HOURLY RATES'!B$116:C$124,2,0)=0,$J$3,VLOOKUP(J636,'HOURLY RATES'!B$116:C$124,2,0))</f>
        <v>0.05</v>
      </c>
      <c r="I636" s="251">
        <f t="shared" si="532"/>
        <v>45.5595</v>
      </c>
      <c r="J636" s="183" t="s">
        <v>19</v>
      </c>
      <c r="K636" s="368">
        <v>0.23699999999999999</v>
      </c>
      <c r="L636" s="369">
        <f t="shared" si="533"/>
        <v>10.797601499999999</v>
      </c>
      <c r="M636" s="185">
        <f>IF(VLOOKUP(E636,'HOURLY RATES'!C$6:D$105,2,0)=0,$E$3,VLOOKUP(E636,'HOURLY RATES'!C$6:D$105,2,0))</f>
        <v>38.487750000000005</v>
      </c>
      <c r="N636" s="197">
        <f t="shared" si="534"/>
        <v>415.57538713162501</v>
      </c>
      <c r="O636" s="296">
        <v>2.19</v>
      </c>
      <c r="P636" s="188">
        <f t="shared" si="535"/>
        <v>99.775305000000003</v>
      </c>
      <c r="Q636" s="189">
        <f t="shared" si="536"/>
        <v>515.35069213162501</v>
      </c>
      <c r="R636" s="190"/>
      <c r="X636" s="212"/>
    </row>
    <row r="637" spans="1:24" s="12" customFormat="1" x14ac:dyDescent="0.25">
      <c r="A637" s="298">
        <f>IF(J637&lt;&gt;"",1+MAX($A$18:A636),"")</f>
        <v>400</v>
      </c>
      <c r="B637" s="299" t="s">
        <v>393</v>
      </c>
      <c r="C637" s="299" t="s">
        <v>395</v>
      </c>
      <c r="D637" s="208" t="s">
        <v>36</v>
      </c>
      <c r="E637" s="302" t="s">
        <v>123</v>
      </c>
      <c r="F637" s="330" t="s">
        <v>933</v>
      </c>
      <c r="G637" s="288">
        <f>3*11</f>
        <v>33</v>
      </c>
      <c r="H637" s="196">
        <f>IF(VLOOKUP(J637,'HOURLY RATES'!B$116:C$124,2,0)=0,$J$3,VLOOKUP(J637,'HOURLY RATES'!B$116:C$124,2,0))</f>
        <v>0.05</v>
      </c>
      <c r="I637" s="251">
        <f t="shared" si="532"/>
        <v>34.65</v>
      </c>
      <c r="J637" s="183" t="s">
        <v>19</v>
      </c>
      <c r="K637" s="368">
        <v>0.19400000000000001</v>
      </c>
      <c r="L637" s="369">
        <f t="shared" si="533"/>
        <v>6.7221000000000002</v>
      </c>
      <c r="M637" s="185">
        <f>IF(VLOOKUP(E637,'HOURLY RATES'!C$6:D$105,2,0)=0,$E$3,VLOOKUP(E637,'HOURLY RATES'!C$6:D$105,2,0))</f>
        <v>38.487750000000005</v>
      </c>
      <c r="N637" s="197">
        <f t="shared" si="534"/>
        <v>258.71850427500004</v>
      </c>
      <c r="O637" s="296">
        <v>1.7</v>
      </c>
      <c r="P637" s="188">
        <f t="shared" si="535"/>
        <v>58.904999999999994</v>
      </c>
      <c r="Q637" s="189">
        <f t="shared" si="536"/>
        <v>317.62350427500002</v>
      </c>
      <c r="R637" s="190"/>
      <c r="X637" s="212"/>
    </row>
    <row r="638" spans="1:24" s="12" customFormat="1" x14ac:dyDescent="0.25">
      <c r="A638" s="298" t="str">
        <f>IF(J638&lt;&gt;"",1+MAX($A$18:A637),"")</f>
        <v/>
      </c>
      <c r="B638" s="299"/>
      <c r="C638" s="299"/>
      <c r="D638" s="208"/>
      <c r="E638" s="302"/>
      <c r="F638" s="330"/>
      <c r="G638" s="288"/>
      <c r="H638" s="196"/>
      <c r="I638" s="251"/>
      <c r="J638" s="183"/>
      <c r="K638" s="368"/>
      <c r="L638" s="210"/>
      <c r="M638" s="185"/>
      <c r="N638" s="197"/>
      <c r="O638" s="296"/>
      <c r="P638" s="188"/>
      <c r="Q638" s="189"/>
      <c r="R638" s="190"/>
      <c r="X638" s="212"/>
    </row>
    <row r="639" spans="1:24" s="12" customFormat="1" x14ac:dyDescent="0.2">
      <c r="A639" s="298" t="str">
        <f>IF(J639&lt;&gt;"",1+MAX($A$18:A638),"")</f>
        <v/>
      </c>
      <c r="B639" s="299"/>
      <c r="C639" s="299"/>
      <c r="D639" s="208"/>
      <c r="E639" s="302"/>
      <c r="F639" s="332" t="s">
        <v>102</v>
      </c>
      <c r="G639" s="288"/>
      <c r="H639" s="196"/>
      <c r="I639" s="251"/>
      <c r="J639" s="183"/>
      <c r="K639" s="368"/>
      <c r="L639" s="210"/>
      <c r="M639" s="185"/>
      <c r="N639" s="197"/>
      <c r="O639" s="296"/>
      <c r="P639" s="188"/>
      <c r="Q639" s="189"/>
      <c r="R639" s="190"/>
      <c r="X639" s="212"/>
    </row>
    <row r="640" spans="1:24" s="12" customFormat="1" x14ac:dyDescent="0.2">
      <c r="A640" s="298">
        <f>IF(J640&lt;&gt;"",1+MAX($A$18:A639),"")</f>
        <v>401</v>
      </c>
      <c r="B640" s="299" t="s">
        <v>393</v>
      </c>
      <c r="C640" s="299" t="s">
        <v>395</v>
      </c>
      <c r="D640" s="208" t="s">
        <v>36</v>
      </c>
      <c r="E640" s="302" t="s">
        <v>123</v>
      </c>
      <c r="F640" s="305" t="s">
        <v>406</v>
      </c>
      <c r="G640" s="288">
        <v>9</v>
      </c>
      <c r="H640" s="196">
        <f>IF(VLOOKUP(J640,'HOURLY RATES'!B$116:C$124,2,0)=0,$J$3,VLOOKUP(J640,'HOURLY RATES'!B$116:C$124,2,0))</f>
        <v>0</v>
      </c>
      <c r="I640" s="251">
        <f>(G640*(1+H640))</f>
        <v>9</v>
      </c>
      <c r="J640" s="183" t="s">
        <v>16</v>
      </c>
      <c r="K640" s="368">
        <f>0.539*(2.5)</f>
        <v>1.3475000000000001</v>
      </c>
      <c r="L640" s="369">
        <f t="shared" ref="L640:L641" si="537">K640*I640</f>
        <v>12.127500000000001</v>
      </c>
      <c r="M640" s="185">
        <f>IF(VLOOKUP(E640,'HOURLY RATES'!C$6:D$105,2,0)=0,$E$3,VLOOKUP(E640,'HOURLY RATES'!C$6:D$105,2,0))</f>
        <v>38.487750000000005</v>
      </c>
      <c r="N640" s="197">
        <f>M640*L640</f>
        <v>466.76018812500013</v>
      </c>
      <c r="O640" s="296">
        <v>54.25</v>
      </c>
      <c r="P640" s="188">
        <f>O640*I640</f>
        <v>488.25</v>
      </c>
      <c r="Q640" s="189">
        <f>P640+N640</f>
        <v>955.01018812500013</v>
      </c>
      <c r="R640" s="190"/>
      <c r="X640" s="212"/>
    </row>
    <row r="641" spans="1:24" s="12" customFormat="1" x14ac:dyDescent="0.2">
      <c r="A641" s="298">
        <f>IF(J641&lt;&gt;"",1+MAX($A$18:A640),"")</f>
        <v>402</v>
      </c>
      <c r="B641" s="299" t="s">
        <v>393</v>
      </c>
      <c r="C641" s="299" t="s">
        <v>395</v>
      </c>
      <c r="D641" s="208" t="s">
        <v>36</v>
      </c>
      <c r="E641" s="302" t="s">
        <v>123</v>
      </c>
      <c r="F641" s="305" t="s">
        <v>408</v>
      </c>
      <c r="G641" s="288">
        <v>1</v>
      </c>
      <c r="H641" s="196">
        <f>IF(VLOOKUP(J641,'HOURLY RATES'!B$116:C$124,2,0)=0,$J$3,VLOOKUP(J641,'HOURLY RATES'!B$116:C$124,2,0))</f>
        <v>0</v>
      </c>
      <c r="I641" s="251">
        <f>(G641*(1+H641))</f>
        <v>1</v>
      </c>
      <c r="J641" s="183" t="s">
        <v>16</v>
      </c>
      <c r="K641" s="368">
        <f>1.317*(2.5)</f>
        <v>3.2925</v>
      </c>
      <c r="L641" s="369">
        <f t="shared" si="537"/>
        <v>3.2925</v>
      </c>
      <c r="M641" s="185">
        <f>IF(VLOOKUP(E641,'HOURLY RATES'!C$6:D$105,2,0)=0,$E$3,VLOOKUP(E641,'HOURLY RATES'!C$6:D$105,2,0))</f>
        <v>38.487750000000005</v>
      </c>
      <c r="N641" s="197">
        <f>M641*L641</f>
        <v>126.72091687500001</v>
      </c>
      <c r="O641" s="296">
        <v>256.51</v>
      </c>
      <c r="P641" s="188">
        <f>O641*I641</f>
        <v>256.51</v>
      </c>
      <c r="Q641" s="189">
        <f>P641+N641</f>
        <v>383.23091687499999</v>
      </c>
      <c r="R641" s="190"/>
      <c r="X641" s="212"/>
    </row>
    <row r="642" spans="1:24" s="12" customFormat="1" x14ac:dyDescent="0.2">
      <c r="A642" s="298" t="str">
        <f>IF(J642&lt;&gt;"",1+MAX($A$18:A641),"")</f>
        <v/>
      </c>
      <c r="B642" s="299"/>
      <c r="C642" s="299"/>
      <c r="D642" s="208"/>
      <c r="E642" s="302"/>
      <c r="F642" s="305"/>
      <c r="G642" s="288"/>
      <c r="H642" s="196"/>
      <c r="I642" s="251"/>
      <c r="J642" s="183"/>
      <c r="K642" s="368"/>
      <c r="L642" s="210"/>
      <c r="M642" s="185"/>
      <c r="N642" s="197"/>
      <c r="O642" s="296"/>
      <c r="P642" s="188"/>
      <c r="Q642" s="189"/>
      <c r="R642" s="190"/>
      <c r="X642" s="212"/>
    </row>
    <row r="643" spans="1:24" s="12" customFormat="1" x14ac:dyDescent="0.2">
      <c r="A643" s="298" t="str">
        <f>IF(J643&lt;&gt;"",1+MAX($A$18:A642),"")</f>
        <v/>
      </c>
      <c r="B643" s="299"/>
      <c r="C643" s="299"/>
      <c r="D643" s="208"/>
      <c r="E643" s="302"/>
      <c r="F643" s="332" t="s">
        <v>387</v>
      </c>
      <c r="G643" s="288"/>
      <c r="H643" s="196"/>
      <c r="I643" s="251"/>
      <c r="J643" s="183"/>
      <c r="K643" s="368"/>
      <c r="L643" s="210"/>
      <c r="M643" s="185"/>
      <c r="N643" s="197"/>
      <c r="O643" s="296"/>
      <c r="P643" s="188"/>
      <c r="Q643" s="189"/>
      <c r="R643" s="190"/>
      <c r="X643" s="212"/>
    </row>
    <row r="644" spans="1:24" s="12" customFormat="1" x14ac:dyDescent="0.25">
      <c r="A644" s="298">
        <f>IF(J644&lt;&gt;"",1+MAX($A$18:A643),"")</f>
        <v>403</v>
      </c>
      <c r="B644" s="299" t="s">
        <v>393</v>
      </c>
      <c r="C644" s="299" t="s">
        <v>395</v>
      </c>
      <c r="D644" s="208" t="s">
        <v>36</v>
      </c>
      <c r="E644" s="302" t="s">
        <v>123</v>
      </c>
      <c r="F644" s="330" t="s">
        <v>382</v>
      </c>
      <c r="G644" s="288">
        <f>6.53+7*13+9</f>
        <v>106.53</v>
      </c>
      <c r="H644" s="196">
        <f>IF(VLOOKUP(J644,'HOURLY RATES'!B$116:C$124,2,0)=0,$J$3,VLOOKUP(J644,'HOURLY RATES'!B$116:C$124,2,0))</f>
        <v>0.05</v>
      </c>
      <c r="I644" s="251">
        <f t="shared" ref="I644:I646" si="538">(G644*(1+H644))</f>
        <v>111.85650000000001</v>
      </c>
      <c r="J644" s="183" t="s">
        <v>19</v>
      </c>
      <c r="K644" s="368">
        <f>0.267*1.5/2</f>
        <v>0.20025000000000001</v>
      </c>
      <c r="L644" s="369">
        <f t="shared" ref="L644:L646" si="539">K644*I644</f>
        <v>22.399264125000002</v>
      </c>
      <c r="M644" s="185">
        <f>IF(VLOOKUP(E644,'HOURLY RATES'!C$6:D$105,2,0)=0,$E$3,VLOOKUP(E644,'HOURLY RATES'!C$6:D$105,2,0))</f>
        <v>38.487750000000005</v>
      </c>
      <c r="N644" s="197">
        <f t="shared" ref="N644:N646" si="540">M644*L644</f>
        <v>862.09727782696893</v>
      </c>
      <c r="O644" s="296">
        <f>13.2*1.5/2</f>
        <v>9.8999999999999986</v>
      </c>
      <c r="P644" s="188">
        <f t="shared" ref="P644:P646" si="541">O644*I644</f>
        <v>1107.3793499999999</v>
      </c>
      <c r="Q644" s="189">
        <f t="shared" ref="Q644:Q646" si="542">P644+N644</f>
        <v>1969.476627826969</v>
      </c>
      <c r="R644" s="190"/>
      <c r="X644" s="212"/>
    </row>
    <row r="645" spans="1:24" s="12" customFormat="1" x14ac:dyDescent="0.25">
      <c r="A645" s="298">
        <f>IF(J645&lt;&gt;"",1+MAX($A$18:A644),"")</f>
        <v>404</v>
      </c>
      <c r="B645" s="299" t="s">
        <v>393</v>
      </c>
      <c r="C645" s="299" t="s">
        <v>395</v>
      </c>
      <c r="D645" s="208" t="s">
        <v>36</v>
      </c>
      <c r="E645" s="302" t="s">
        <v>123</v>
      </c>
      <c r="F645" s="330" t="s">
        <v>383</v>
      </c>
      <c r="G645" s="288">
        <f>123.02+6*8</f>
        <v>171.01999999999998</v>
      </c>
      <c r="H645" s="196">
        <f>IF(VLOOKUP(J645,'HOURLY RATES'!B$116:C$124,2,0)=0,$J$3,VLOOKUP(J645,'HOURLY RATES'!B$116:C$124,2,0))</f>
        <v>0.05</v>
      </c>
      <c r="I645" s="251">
        <f t="shared" si="538"/>
        <v>179.571</v>
      </c>
      <c r="J645" s="183" t="s">
        <v>19</v>
      </c>
      <c r="K645" s="368">
        <v>0.26700000000000002</v>
      </c>
      <c r="L645" s="369">
        <f t="shared" si="539"/>
        <v>47.945457000000005</v>
      </c>
      <c r="M645" s="185">
        <f>IF(VLOOKUP(E645,'HOURLY RATES'!C$6:D$105,2,0)=0,$E$3,VLOOKUP(E645,'HOURLY RATES'!C$6:D$105,2,0))</f>
        <v>38.487750000000005</v>
      </c>
      <c r="N645" s="197">
        <f t="shared" si="540"/>
        <v>1845.3127626517505</v>
      </c>
      <c r="O645" s="296">
        <v>13.2</v>
      </c>
      <c r="P645" s="188">
        <f t="shared" si="541"/>
        <v>2370.3371999999999</v>
      </c>
      <c r="Q645" s="189">
        <f t="shared" si="542"/>
        <v>4215.6499626517507</v>
      </c>
      <c r="R645" s="190"/>
      <c r="X645" s="212"/>
    </row>
    <row r="646" spans="1:24" s="12" customFormat="1" x14ac:dyDescent="0.25">
      <c r="A646" s="298">
        <f>IF(J646&lt;&gt;"",1+MAX($A$18:A645),"")</f>
        <v>405</v>
      </c>
      <c r="B646" s="299" t="s">
        <v>393</v>
      </c>
      <c r="C646" s="299" t="s">
        <v>395</v>
      </c>
      <c r="D646" s="208" t="s">
        <v>36</v>
      </c>
      <c r="E646" s="302" t="s">
        <v>123</v>
      </c>
      <c r="F646" s="330" t="s">
        <v>384</v>
      </c>
      <c r="G646" s="288">
        <v>60</v>
      </c>
      <c r="H646" s="196">
        <f>IF(VLOOKUP(J646,'HOURLY RATES'!B$116:C$124,2,0)=0,$J$3,VLOOKUP(J646,'HOURLY RATES'!B$116:C$124,2,0))</f>
        <v>0.05</v>
      </c>
      <c r="I646" s="251">
        <f t="shared" si="538"/>
        <v>63</v>
      </c>
      <c r="J646" s="183" t="s">
        <v>19</v>
      </c>
      <c r="K646" s="368">
        <v>0.28000000000000003</v>
      </c>
      <c r="L646" s="369">
        <f t="shared" si="539"/>
        <v>17.64</v>
      </c>
      <c r="M646" s="185">
        <f>IF(VLOOKUP(E646,'HOURLY RATES'!C$6:D$105,2,0)=0,$E$3,VLOOKUP(E646,'HOURLY RATES'!C$6:D$105,2,0))</f>
        <v>38.487750000000005</v>
      </c>
      <c r="N646" s="197">
        <f t="shared" si="540"/>
        <v>678.92391000000009</v>
      </c>
      <c r="O646" s="296">
        <v>18.3</v>
      </c>
      <c r="P646" s="188">
        <f t="shared" si="541"/>
        <v>1152.9000000000001</v>
      </c>
      <c r="Q646" s="189">
        <f t="shared" si="542"/>
        <v>1831.8239100000001</v>
      </c>
      <c r="R646" s="190"/>
      <c r="X646" s="212"/>
    </row>
    <row r="647" spans="1:24" s="12" customFormat="1" x14ac:dyDescent="0.2">
      <c r="A647" s="298" t="str">
        <f>IF(J647&lt;&gt;"",1+MAX($A$18:A646),"")</f>
        <v/>
      </c>
      <c r="B647" s="299"/>
      <c r="C647" s="299"/>
      <c r="D647" s="208"/>
      <c r="E647" s="302"/>
      <c r="F647" s="305"/>
      <c r="G647" s="288"/>
      <c r="H647" s="196"/>
      <c r="I647" s="251"/>
      <c r="J647" s="183"/>
      <c r="K647" s="368"/>
      <c r="L647" s="210"/>
      <c r="M647" s="185"/>
      <c r="N647" s="197"/>
      <c r="O647" s="296"/>
      <c r="P647" s="188"/>
      <c r="Q647" s="189"/>
      <c r="R647" s="190"/>
      <c r="X647" s="212"/>
    </row>
    <row r="648" spans="1:24" s="12" customFormat="1" x14ac:dyDescent="0.2">
      <c r="A648" s="298" t="str">
        <f>IF(J648&lt;&gt;"",1+MAX($A$18:A647),"")</f>
        <v/>
      </c>
      <c r="B648" s="299"/>
      <c r="C648" s="299"/>
      <c r="D648" s="208"/>
      <c r="E648" s="302"/>
      <c r="F648" s="331" t="s">
        <v>396</v>
      </c>
      <c r="G648" s="288"/>
      <c r="H648" s="196"/>
      <c r="I648" s="251"/>
      <c r="J648" s="183"/>
      <c r="K648" s="368"/>
      <c r="L648" s="210"/>
      <c r="M648" s="185"/>
      <c r="N648" s="197"/>
      <c r="O648" s="296"/>
      <c r="P648" s="188"/>
      <c r="Q648" s="189"/>
      <c r="R648" s="190"/>
      <c r="X648" s="212"/>
    </row>
    <row r="649" spans="1:24" s="12" customFormat="1" x14ac:dyDescent="0.2">
      <c r="A649" s="298" t="str">
        <f>IF(J649&lt;&gt;"",1+MAX($A$18:A648),"")</f>
        <v/>
      </c>
      <c r="B649" s="299"/>
      <c r="C649" s="299"/>
      <c r="D649" s="208"/>
      <c r="E649" s="302"/>
      <c r="F649" s="332" t="s">
        <v>397</v>
      </c>
      <c r="G649" s="288"/>
      <c r="H649" s="196"/>
      <c r="I649" s="251"/>
      <c r="J649" s="183"/>
      <c r="K649" s="368"/>
      <c r="L649" s="210"/>
      <c r="M649" s="185"/>
      <c r="N649" s="197"/>
      <c r="O649" s="296"/>
      <c r="P649" s="188"/>
      <c r="Q649" s="189"/>
      <c r="R649" s="190"/>
      <c r="X649" s="212"/>
    </row>
    <row r="650" spans="1:24" s="12" customFormat="1" x14ac:dyDescent="0.25">
      <c r="A650" s="298">
        <f>IF(J650&lt;&gt;"",1+MAX($A$18:A649),"")</f>
        <v>406</v>
      </c>
      <c r="B650" s="299" t="s">
        <v>393</v>
      </c>
      <c r="C650" s="299" t="s">
        <v>395</v>
      </c>
      <c r="D650" s="208" t="s">
        <v>36</v>
      </c>
      <c r="E650" s="302" t="s">
        <v>123</v>
      </c>
      <c r="F650" s="330" t="s">
        <v>398</v>
      </c>
      <c r="G650" s="288">
        <f>116.62+10*8</f>
        <v>196.62</v>
      </c>
      <c r="H650" s="196">
        <f>IF(VLOOKUP(J650,'HOURLY RATES'!B$116:C$124,2,0)=0,$J$3,VLOOKUP(J650,'HOURLY RATES'!B$116:C$124,2,0))</f>
        <v>0.05</v>
      </c>
      <c r="I650" s="251">
        <f t="shared" ref="I650:I651" si="543">(G650*(1+H650))</f>
        <v>206.45100000000002</v>
      </c>
      <c r="J650" s="183" t="s">
        <v>19</v>
      </c>
      <c r="K650" s="368">
        <v>0.28000000000000003</v>
      </c>
      <c r="L650" s="369">
        <f t="shared" ref="L650:L651" si="544">K650*I650</f>
        <v>57.806280000000008</v>
      </c>
      <c r="M650" s="185">
        <f>IF(VLOOKUP(E650,'HOURLY RATES'!C$6:D$105,2,0)=0,$E$3,VLOOKUP(E650,'HOURLY RATES'!C$6:D$105,2,0))</f>
        <v>38.487750000000005</v>
      </c>
      <c r="N650" s="197">
        <f t="shared" ref="N650:N651" si="545">M650*L650</f>
        <v>2224.8336530700008</v>
      </c>
      <c r="O650" s="296">
        <v>18.3</v>
      </c>
      <c r="P650" s="188">
        <f t="shared" ref="P650:P651" si="546">O650*I650</f>
        <v>3778.0533000000005</v>
      </c>
      <c r="Q650" s="189">
        <f t="shared" ref="Q650:Q651" si="547">P650+N650</f>
        <v>6002.8869530700013</v>
      </c>
      <c r="R650" s="190"/>
      <c r="X650" s="212"/>
    </row>
    <row r="651" spans="1:24" s="12" customFormat="1" x14ac:dyDescent="0.25">
      <c r="A651" s="298">
        <f>IF(J651&lt;&gt;"",1+MAX($A$18:A650),"")</f>
        <v>407</v>
      </c>
      <c r="B651" s="299" t="s">
        <v>393</v>
      </c>
      <c r="C651" s="299" t="s">
        <v>395</v>
      </c>
      <c r="D651" s="208" t="s">
        <v>36</v>
      </c>
      <c r="E651" s="302" t="s">
        <v>123</v>
      </c>
      <c r="F651" s="330" t="s">
        <v>399</v>
      </c>
      <c r="G651" s="288">
        <v>6.09</v>
      </c>
      <c r="H651" s="196">
        <f>IF(VLOOKUP(J651,'HOURLY RATES'!B$116:C$124,2,0)=0,$J$3,VLOOKUP(J651,'HOURLY RATES'!B$116:C$124,2,0))</f>
        <v>0.05</v>
      </c>
      <c r="I651" s="251">
        <f t="shared" si="543"/>
        <v>6.3944999999999999</v>
      </c>
      <c r="J651" s="183" t="s">
        <v>19</v>
      </c>
      <c r="K651" s="368">
        <v>0.30599999999999999</v>
      </c>
      <c r="L651" s="369">
        <f t="shared" si="544"/>
        <v>1.9567169999999998</v>
      </c>
      <c r="M651" s="185">
        <f>IF(VLOOKUP(E651,'HOURLY RATES'!C$6:D$105,2,0)=0,$E$3,VLOOKUP(E651,'HOURLY RATES'!C$6:D$105,2,0))</f>
        <v>38.487750000000005</v>
      </c>
      <c r="N651" s="197">
        <f t="shared" si="545"/>
        <v>75.309634716749997</v>
      </c>
      <c r="O651" s="296">
        <v>23.7</v>
      </c>
      <c r="P651" s="188">
        <f t="shared" si="546"/>
        <v>151.54964999999999</v>
      </c>
      <c r="Q651" s="189">
        <f t="shared" si="547"/>
        <v>226.85928471674998</v>
      </c>
      <c r="R651" s="190"/>
      <c r="X651" s="212"/>
    </row>
    <row r="652" spans="1:24" s="12" customFormat="1" x14ac:dyDescent="0.25">
      <c r="A652" s="298" t="str">
        <f>IF(J652&lt;&gt;"",1+MAX($A$18:A651),"")</f>
        <v/>
      </c>
      <c r="B652" s="299"/>
      <c r="C652" s="299"/>
      <c r="D652" s="208"/>
      <c r="E652" s="302"/>
      <c r="F652" s="330"/>
      <c r="G652" s="288"/>
      <c r="H652" s="196"/>
      <c r="I652" s="251"/>
      <c r="J652" s="183"/>
      <c r="K652" s="368"/>
      <c r="L652" s="210"/>
      <c r="M652" s="185"/>
      <c r="N652" s="197"/>
      <c r="O652" s="296"/>
      <c r="P652" s="188"/>
      <c r="Q652" s="189"/>
      <c r="R652" s="190"/>
      <c r="X652" s="212"/>
    </row>
    <row r="653" spans="1:24" s="12" customFormat="1" x14ac:dyDescent="0.25">
      <c r="A653" s="298">
        <f>IF(J653&lt;&gt;"",1+MAX($A$18:A652),"")</f>
        <v>408</v>
      </c>
      <c r="B653" s="299" t="s">
        <v>393</v>
      </c>
      <c r="C653" s="299" t="s">
        <v>394</v>
      </c>
      <c r="D653" s="208" t="s">
        <v>36</v>
      </c>
      <c r="E653" s="302" t="s">
        <v>123</v>
      </c>
      <c r="F653" s="330" t="s">
        <v>400</v>
      </c>
      <c r="G653" s="288">
        <v>14.78</v>
      </c>
      <c r="H653" s="196">
        <f>IF(VLOOKUP(J653,'HOURLY RATES'!B$116:C$124,2,0)=0,$J$3,VLOOKUP(J653,'HOURLY RATES'!B$116:C$124,2,0))</f>
        <v>0.05</v>
      </c>
      <c r="I653" s="251">
        <f t="shared" ref="I653:I655" si="548">(G653*(1+H653))</f>
        <v>15.519</v>
      </c>
      <c r="J653" s="183" t="s">
        <v>19</v>
      </c>
      <c r="K653" s="368">
        <f>0.267*1.5/2</f>
        <v>0.20025000000000001</v>
      </c>
      <c r="L653" s="369">
        <f t="shared" ref="L653:L655" si="549">K653*I653</f>
        <v>3.1076797500000004</v>
      </c>
      <c r="M653" s="185">
        <f>IF(VLOOKUP(E653,'HOURLY RATES'!C$6:D$105,2,0)=0,$E$3,VLOOKUP(E653,'HOURLY RATES'!C$6:D$105,2,0))</f>
        <v>38.487750000000005</v>
      </c>
      <c r="N653" s="197">
        <f t="shared" ref="N653:N655" si="550">M653*L653</f>
        <v>119.60760129806253</v>
      </c>
      <c r="O653" s="296">
        <f>13.2*1.5/2</f>
        <v>9.8999999999999986</v>
      </c>
      <c r="P653" s="188">
        <f t="shared" ref="P653:P655" si="551">O653*I653</f>
        <v>153.63809999999998</v>
      </c>
      <c r="Q653" s="189">
        <f t="shared" ref="Q653:Q655" si="552">P653+N653</f>
        <v>273.2457012980625</v>
      </c>
      <c r="R653" s="190"/>
      <c r="X653" s="212"/>
    </row>
    <row r="654" spans="1:24" s="12" customFormat="1" x14ac:dyDescent="0.25">
      <c r="A654" s="298">
        <f>IF(J654&lt;&gt;"",1+MAX($A$18:A653),"")</f>
        <v>409</v>
      </c>
      <c r="B654" s="299" t="s">
        <v>393</v>
      </c>
      <c r="C654" s="299" t="s">
        <v>394</v>
      </c>
      <c r="D654" s="208" t="s">
        <v>36</v>
      </c>
      <c r="E654" s="302" t="s">
        <v>123</v>
      </c>
      <c r="F654" s="330" t="s">
        <v>401</v>
      </c>
      <c r="G654" s="288">
        <f>8.78</f>
        <v>8.7799999999999994</v>
      </c>
      <c r="H654" s="196">
        <f>IF(VLOOKUP(J654,'HOURLY RATES'!B$116:C$124,2,0)=0,$J$3,VLOOKUP(J654,'HOURLY RATES'!B$116:C$124,2,0))</f>
        <v>0.05</v>
      </c>
      <c r="I654" s="251">
        <f t="shared" si="548"/>
        <v>9.2189999999999994</v>
      </c>
      <c r="J654" s="183" t="s">
        <v>19</v>
      </c>
      <c r="K654" s="368">
        <f>0.267*1.5/2</f>
        <v>0.20025000000000001</v>
      </c>
      <c r="L654" s="369">
        <f t="shared" si="549"/>
        <v>1.8461047500000001</v>
      </c>
      <c r="M654" s="185">
        <f>IF(VLOOKUP(E654,'HOURLY RATES'!C$6:D$105,2,0)=0,$E$3,VLOOKUP(E654,'HOURLY RATES'!C$6:D$105,2,0))</f>
        <v>38.487750000000005</v>
      </c>
      <c r="N654" s="197">
        <f t="shared" si="550"/>
        <v>71.052418091812513</v>
      </c>
      <c r="O654" s="296">
        <f>13.2*1.5/2</f>
        <v>9.8999999999999986</v>
      </c>
      <c r="P654" s="188">
        <f t="shared" si="551"/>
        <v>91.268099999999976</v>
      </c>
      <c r="Q654" s="189">
        <f t="shared" si="552"/>
        <v>162.32051809181249</v>
      </c>
      <c r="R654" s="190"/>
      <c r="X654" s="212"/>
    </row>
    <row r="655" spans="1:24" s="12" customFormat="1" x14ac:dyDescent="0.2">
      <c r="A655" s="298">
        <f>IF(J655&lt;&gt;"",1+MAX($A$18:A654),"")</f>
        <v>410</v>
      </c>
      <c r="B655" s="299" t="s">
        <v>393</v>
      </c>
      <c r="C655" s="299" t="s">
        <v>394</v>
      </c>
      <c r="D655" s="208" t="s">
        <v>36</v>
      </c>
      <c r="E655" s="302" t="s">
        <v>123</v>
      </c>
      <c r="F655" s="305" t="s">
        <v>402</v>
      </c>
      <c r="G655" s="288">
        <f>10+10*2+10+10+10*3</f>
        <v>80</v>
      </c>
      <c r="H655" s="196">
        <f>IF(VLOOKUP(J655,'HOURLY RATES'!B$116:C$124,2,0)=0,$J$3,VLOOKUP(J655,'HOURLY RATES'!B$116:C$124,2,0))</f>
        <v>0.05</v>
      </c>
      <c r="I655" s="251">
        <f t="shared" si="548"/>
        <v>84</v>
      </c>
      <c r="J655" s="183" t="s">
        <v>19</v>
      </c>
      <c r="K655" s="368">
        <f>0.2*1.25/1.5</f>
        <v>0.16666666666666666</v>
      </c>
      <c r="L655" s="369">
        <f t="shared" si="549"/>
        <v>14</v>
      </c>
      <c r="M655" s="185">
        <f>IF(VLOOKUP(E655,'HOURLY RATES'!C$6:D$105,2,0)=0,$E$3,VLOOKUP(E655,'HOURLY RATES'!C$6:D$105,2,0))</f>
        <v>38.487750000000005</v>
      </c>
      <c r="N655" s="197">
        <f t="shared" si="550"/>
        <v>538.82850000000008</v>
      </c>
      <c r="O655" s="296">
        <f>9.9*1.25/1.5</f>
        <v>8.25</v>
      </c>
      <c r="P655" s="188">
        <f t="shared" si="551"/>
        <v>693</v>
      </c>
      <c r="Q655" s="189">
        <f t="shared" si="552"/>
        <v>1231.8285000000001</v>
      </c>
      <c r="R655" s="190"/>
      <c r="X655" s="212"/>
    </row>
    <row r="656" spans="1:24" s="12" customFormat="1" x14ac:dyDescent="0.2">
      <c r="A656" s="298" t="str">
        <f>IF(J656&lt;&gt;"",1+MAX($A$18:A655),"")</f>
        <v/>
      </c>
      <c r="B656" s="299"/>
      <c r="C656" s="299"/>
      <c r="D656" s="208"/>
      <c r="E656" s="302"/>
      <c r="F656" s="353" t="s">
        <v>954</v>
      </c>
      <c r="G656" s="288"/>
      <c r="H656" s="196"/>
      <c r="I656" s="251"/>
      <c r="J656" s="183"/>
      <c r="K656" s="368"/>
      <c r="L656" s="210"/>
      <c r="M656" s="185"/>
      <c r="N656" s="197"/>
      <c r="O656" s="296"/>
      <c r="P656" s="188"/>
      <c r="Q656" s="189"/>
      <c r="R656" s="190"/>
      <c r="X656" s="212"/>
    </row>
    <row r="657" spans="1:24" s="12" customFormat="1" x14ac:dyDescent="0.2">
      <c r="A657" s="298" t="str">
        <f>IF(J657&lt;&gt;"",1+MAX($A$18:A656),"")</f>
        <v/>
      </c>
      <c r="B657" s="299"/>
      <c r="C657" s="299"/>
      <c r="D657" s="208"/>
      <c r="E657" s="302"/>
      <c r="F657" s="353"/>
      <c r="G657" s="288"/>
      <c r="H657" s="196"/>
      <c r="I657" s="251"/>
      <c r="J657" s="183"/>
      <c r="K657" s="368"/>
      <c r="L657" s="210"/>
      <c r="M657" s="185"/>
      <c r="N657" s="197"/>
      <c r="O657" s="296"/>
      <c r="P657" s="188"/>
      <c r="Q657" s="189"/>
      <c r="R657" s="190"/>
      <c r="X657" s="212"/>
    </row>
    <row r="658" spans="1:24" s="12" customFormat="1" x14ac:dyDescent="0.2">
      <c r="A658" s="298" t="str">
        <f>IF(J658&lt;&gt;"",1+MAX($A$18:A657),"")</f>
        <v/>
      </c>
      <c r="B658" s="299"/>
      <c r="C658" s="299"/>
      <c r="D658" s="208"/>
      <c r="E658" s="302"/>
      <c r="F658" s="331" t="s">
        <v>385</v>
      </c>
      <c r="G658" s="288"/>
      <c r="H658" s="196"/>
      <c r="I658" s="251"/>
      <c r="J658" s="183"/>
      <c r="K658" s="368"/>
      <c r="L658" s="210"/>
      <c r="M658" s="185"/>
      <c r="N658" s="197"/>
      <c r="O658" s="296"/>
      <c r="P658" s="188"/>
      <c r="Q658" s="189"/>
      <c r="R658" s="190"/>
      <c r="X658" s="212"/>
    </row>
    <row r="659" spans="1:24" s="12" customFormat="1" x14ac:dyDescent="0.2">
      <c r="A659" s="298" t="str">
        <f>IF(J659&lt;&gt;"",1+MAX($A$18:A658),"")</f>
        <v/>
      </c>
      <c r="B659" s="299"/>
      <c r="C659" s="299"/>
      <c r="D659" s="208"/>
      <c r="E659" s="302"/>
      <c r="F659" s="332" t="s">
        <v>388</v>
      </c>
      <c r="G659" s="288"/>
      <c r="H659" s="196"/>
      <c r="I659" s="251"/>
      <c r="J659" s="183"/>
      <c r="K659" s="368"/>
      <c r="L659" s="210"/>
      <c r="M659" s="185"/>
      <c r="N659" s="197"/>
      <c r="O659" s="296"/>
      <c r="P659" s="188"/>
      <c r="Q659" s="189"/>
      <c r="R659" s="190"/>
      <c r="X659" s="212"/>
    </row>
    <row r="660" spans="1:24" s="12" customFormat="1" x14ac:dyDescent="0.25">
      <c r="A660" s="298">
        <f>IF(J660&lt;&gt;"",1+MAX($A$18:A659),"")</f>
        <v>411</v>
      </c>
      <c r="B660" s="299" t="s">
        <v>393</v>
      </c>
      <c r="C660" s="299" t="s">
        <v>395</v>
      </c>
      <c r="D660" s="208" t="s">
        <v>36</v>
      </c>
      <c r="E660" s="302" t="s">
        <v>123</v>
      </c>
      <c r="F660" s="330" t="s">
        <v>389</v>
      </c>
      <c r="G660" s="288">
        <f>76.4+10*2+6</f>
        <v>102.4</v>
      </c>
      <c r="H660" s="196">
        <f>IF(VLOOKUP(J660,'HOURLY RATES'!B$116:C$124,2,0)=0,$J$3,VLOOKUP(J660,'HOURLY RATES'!B$116:C$124,2,0))</f>
        <v>0.05</v>
      </c>
      <c r="I660" s="251">
        <f t="shared" ref="I660:I663" si="553">(G660*(1+H660))</f>
        <v>107.52000000000001</v>
      </c>
      <c r="J660" s="183" t="s">
        <v>19</v>
      </c>
      <c r="K660" s="368">
        <v>0.189</v>
      </c>
      <c r="L660" s="369">
        <f t="shared" ref="L660:L663" si="554">K660*I660</f>
        <v>20.321280000000002</v>
      </c>
      <c r="M660" s="185">
        <f>IF(VLOOKUP(E660,'HOURLY RATES'!C$6:D$105,2,0)=0,$E$3,VLOOKUP(E660,'HOURLY RATES'!C$6:D$105,2,0))</f>
        <v>38.487750000000005</v>
      </c>
      <c r="N660" s="197">
        <f t="shared" ref="N660:N663" si="555">M660*L660</f>
        <v>782.12034432000019</v>
      </c>
      <c r="O660" s="296">
        <v>7.7</v>
      </c>
      <c r="P660" s="188">
        <f t="shared" ref="P660:P663" si="556">O660*I660</f>
        <v>827.90400000000011</v>
      </c>
      <c r="Q660" s="189">
        <f t="shared" ref="Q660:Q663" si="557">P660+N660</f>
        <v>1610.0243443200002</v>
      </c>
      <c r="R660" s="190"/>
      <c r="X660" s="212"/>
    </row>
    <row r="661" spans="1:24" s="12" customFormat="1" x14ac:dyDescent="0.25">
      <c r="A661" s="298">
        <f>IF(J661&lt;&gt;"",1+MAX($A$18:A660),"")</f>
        <v>412</v>
      </c>
      <c r="B661" s="299" t="s">
        <v>393</v>
      </c>
      <c r="C661" s="299" t="s">
        <v>395</v>
      </c>
      <c r="D661" s="208" t="s">
        <v>36</v>
      </c>
      <c r="E661" s="302" t="s">
        <v>123</v>
      </c>
      <c r="F661" s="330" t="s">
        <v>390</v>
      </c>
      <c r="G661" s="288">
        <v>5.0999999999999996</v>
      </c>
      <c r="H661" s="196">
        <f>IF(VLOOKUP(J661,'HOURLY RATES'!B$116:C$124,2,0)=0,$J$3,VLOOKUP(J661,'HOURLY RATES'!B$116:C$124,2,0))</f>
        <v>0.05</v>
      </c>
      <c r="I661" s="251">
        <f t="shared" si="553"/>
        <v>5.3549999999999995</v>
      </c>
      <c r="J661" s="183" t="s">
        <v>19</v>
      </c>
      <c r="K661" s="368">
        <v>0.21</v>
      </c>
      <c r="L661" s="369">
        <f t="shared" si="554"/>
        <v>1.1245499999999999</v>
      </c>
      <c r="M661" s="185">
        <f>IF(VLOOKUP(E661,'HOURLY RATES'!C$6:D$105,2,0)=0,$E$3,VLOOKUP(E661,'HOURLY RATES'!C$6:D$105,2,0))</f>
        <v>38.487750000000005</v>
      </c>
      <c r="N661" s="197">
        <f t="shared" si="555"/>
        <v>43.281399262500003</v>
      </c>
      <c r="O661" s="296">
        <v>9.1999999999999993</v>
      </c>
      <c r="P661" s="188">
        <f t="shared" si="556"/>
        <v>49.265999999999991</v>
      </c>
      <c r="Q661" s="189">
        <f t="shared" si="557"/>
        <v>92.547399262499994</v>
      </c>
      <c r="R661" s="190"/>
      <c r="X661" s="212"/>
    </row>
    <row r="662" spans="1:24" s="12" customFormat="1" x14ac:dyDescent="0.25">
      <c r="A662" s="298">
        <f>IF(J662&lt;&gt;"",1+MAX($A$18:A661),"")</f>
        <v>413</v>
      </c>
      <c r="B662" s="299" t="s">
        <v>393</v>
      </c>
      <c r="C662" s="299" t="s">
        <v>395</v>
      </c>
      <c r="D662" s="208" t="s">
        <v>36</v>
      </c>
      <c r="E662" s="302" t="s">
        <v>123</v>
      </c>
      <c r="F662" s="330" t="s">
        <v>391</v>
      </c>
      <c r="G662" s="288">
        <v>12</v>
      </c>
      <c r="H662" s="196">
        <f>IF(VLOOKUP(J662,'HOURLY RATES'!B$116:C$124,2,0)=0,$J$3,VLOOKUP(J662,'HOURLY RATES'!B$116:C$124,2,0))</f>
        <v>0.05</v>
      </c>
      <c r="I662" s="251">
        <f t="shared" si="553"/>
        <v>12.600000000000001</v>
      </c>
      <c r="J662" s="183" t="s">
        <v>19</v>
      </c>
      <c r="K662" s="368">
        <v>0.13800000000000001</v>
      </c>
      <c r="L662" s="369">
        <f t="shared" si="554"/>
        <v>1.7388000000000003</v>
      </c>
      <c r="M662" s="185">
        <f>IF(VLOOKUP(E662,'HOURLY RATES'!C$6:D$105,2,0)=0,$E$3,VLOOKUP(E662,'HOURLY RATES'!C$6:D$105,2,0))</f>
        <v>38.487750000000005</v>
      </c>
      <c r="N662" s="197">
        <f t="shared" si="555"/>
        <v>66.922499700000017</v>
      </c>
      <c r="O662" s="296">
        <v>4.9800000000000004</v>
      </c>
      <c r="P662" s="188">
        <f t="shared" si="556"/>
        <v>62.748000000000012</v>
      </c>
      <c r="Q662" s="189">
        <f t="shared" si="557"/>
        <v>129.67049970000002</v>
      </c>
      <c r="R662" s="190"/>
      <c r="X662" s="212"/>
    </row>
    <row r="663" spans="1:24" s="12" customFormat="1" x14ac:dyDescent="0.25">
      <c r="A663" s="298">
        <f>IF(J663&lt;&gt;"",1+MAX($A$18:A662),"")</f>
        <v>414</v>
      </c>
      <c r="B663" s="299" t="s">
        <v>393</v>
      </c>
      <c r="C663" s="299" t="s">
        <v>395</v>
      </c>
      <c r="D663" s="208" t="s">
        <v>36</v>
      </c>
      <c r="E663" s="302" t="s">
        <v>123</v>
      </c>
      <c r="F663" s="330" t="s">
        <v>392</v>
      </c>
      <c r="G663" s="288">
        <v>6</v>
      </c>
      <c r="H663" s="196">
        <f>IF(VLOOKUP(J663,'HOURLY RATES'!B$116:C$124,2,0)=0,$J$3,VLOOKUP(J663,'HOURLY RATES'!B$116:C$124,2,0))</f>
        <v>0.05</v>
      </c>
      <c r="I663" s="251">
        <f t="shared" si="553"/>
        <v>6.3000000000000007</v>
      </c>
      <c r="J663" s="183" t="s">
        <v>19</v>
      </c>
      <c r="K663" s="368">
        <v>0.159</v>
      </c>
      <c r="L663" s="369">
        <f t="shared" si="554"/>
        <v>1.0017</v>
      </c>
      <c r="M663" s="185">
        <f>IF(VLOOKUP(E663,'HOURLY RATES'!C$6:D$105,2,0)=0,$E$3,VLOOKUP(E663,'HOURLY RATES'!C$6:D$105,2,0))</f>
        <v>38.487750000000005</v>
      </c>
      <c r="N663" s="197">
        <f t="shared" si="555"/>
        <v>38.553179175000004</v>
      </c>
      <c r="O663" s="296">
        <v>6.1</v>
      </c>
      <c r="P663" s="188">
        <f t="shared" si="556"/>
        <v>38.43</v>
      </c>
      <c r="Q663" s="189">
        <f t="shared" si="557"/>
        <v>76.983179175000004</v>
      </c>
      <c r="R663" s="190"/>
      <c r="X663" s="212"/>
    </row>
    <row r="664" spans="1:24" s="12" customFormat="1" x14ac:dyDescent="0.25">
      <c r="A664" s="298" t="str">
        <f>IF(J664&lt;&gt;"",1+MAX($A$18:A663),"")</f>
        <v/>
      </c>
      <c r="B664" s="299"/>
      <c r="C664" s="299"/>
      <c r="D664" s="208"/>
      <c r="E664" s="302"/>
      <c r="F664" s="330"/>
      <c r="G664" s="288"/>
      <c r="H664" s="196"/>
      <c r="I664" s="251"/>
      <c r="J664" s="183"/>
      <c r="K664" s="368"/>
      <c r="L664" s="210"/>
      <c r="M664" s="185"/>
      <c r="N664" s="197"/>
      <c r="O664" s="296"/>
      <c r="P664" s="188"/>
      <c r="Q664" s="189"/>
      <c r="R664" s="190"/>
      <c r="X664" s="212"/>
    </row>
    <row r="665" spans="1:24" s="12" customFormat="1" x14ac:dyDescent="0.25">
      <c r="A665" s="298">
        <f>IF(J665&lt;&gt;"",1+MAX($A$18:A664),"")</f>
        <v>415</v>
      </c>
      <c r="B665" s="299" t="s">
        <v>393</v>
      </c>
      <c r="C665" s="299" t="s">
        <v>395</v>
      </c>
      <c r="D665" s="208" t="s">
        <v>36</v>
      </c>
      <c r="E665" s="302" t="s">
        <v>123</v>
      </c>
      <c r="F665" s="330" t="s">
        <v>407</v>
      </c>
      <c r="G665" s="288">
        <v>6</v>
      </c>
      <c r="H665" s="196">
        <f>IF(VLOOKUP(J665,'HOURLY RATES'!B$116:C$124,2,0)=0,$J$3,VLOOKUP(J665,'HOURLY RATES'!B$116:C$124,2,0))</f>
        <v>0</v>
      </c>
      <c r="I665" s="251">
        <f t="shared" ref="I665" si="558">(G665*(1+H665))</f>
        <v>6</v>
      </c>
      <c r="J665" s="183" t="s">
        <v>16</v>
      </c>
      <c r="K665" s="368">
        <f>0.324*(2.5)</f>
        <v>0.81</v>
      </c>
      <c r="L665" s="369">
        <f>K665*I665</f>
        <v>4.8600000000000003</v>
      </c>
      <c r="M665" s="185">
        <f>IF(VLOOKUP(E665,'HOURLY RATES'!C$6:D$105,2,0)=0,$E$3,VLOOKUP(E665,'HOURLY RATES'!C$6:D$105,2,0))</f>
        <v>38.487750000000005</v>
      </c>
      <c r="N665" s="197">
        <f t="shared" ref="N665" si="559">M665*L665</f>
        <v>187.05046500000003</v>
      </c>
      <c r="O665" s="296">
        <v>17.22</v>
      </c>
      <c r="P665" s="188">
        <f t="shared" ref="P665" si="560">O665*I665</f>
        <v>103.32</v>
      </c>
      <c r="Q665" s="189">
        <f t="shared" ref="Q665" si="561">P665+N665</f>
        <v>290.37046500000002</v>
      </c>
      <c r="R665" s="190"/>
      <c r="X665" s="212"/>
    </row>
    <row r="666" spans="1:24" s="12" customFormat="1" x14ac:dyDescent="0.2">
      <c r="A666" s="298" t="str">
        <f>IF(J666&lt;&gt;"",1+MAX($A$18:A665),"")</f>
        <v/>
      </c>
      <c r="B666" s="299"/>
      <c r="C666" s="299"/>
      <c r="D666" s="208"/>
      <c r="E666" s="302"/>
      <c r="F666" s="305"/>
      <c r="G666" s="288"/>
      <c r="H666" s="196"/>
      <c r="I666" s="251"/>
      <c r="J666" s="183"/>
      <c r="K666" s="368"/>
      <c r="L666" s="210"/>
      <c r="M666" s="185"/>
      <c r="N666" s="197"/>
      <c r="O666" s="296"/>
      <c r="P666" s="188"/>
      <c r="Q666" s="189"/>
      <c r="R666" s="190"/>
      <c r="X666" s="212"/>
    </row>
    <row r="667" spans="1:24" s="12" customFormat="1" x14ac:dyDescent="0.2">
      <c r="A667" s="298" t="str">
        <f>IF(J667&lt;&gt;"",1+MAX($A$18:A666),"")</f>
        <v/>
      </c>
      <c r="B667" s="299"/>
      <c r="C667" s="299"/>
      <c r="D667" s="208"/>
      <c r="E667" s="302"/>
      <c r="F667" s="350" t="s">
        <v>410</v>
      </c>
      <c r="G667" s="288"/>
      <c r="H667" s="196"/>
      <c r="I667" s="251"/>
      <c r="J667" s="183"/>
      <c r="K667" s="368"/>
      <c r="L667" s="210"/>
      <c r="M667" s="185"/>
      <c r="N667" s="197"/>
      <c r="O667" s="296"/>
      <c r="P667" s="188"/>
      <c r="Q667" s="189"/>
      <c r="R667" s="190"/>
      <c r="X667" s="212"/>
    </row>
    <row r="668" spans="1:24" s="12" customFormat="1" x14ac:dyDescent="0.25">
      <c r="A668" s="298">
        <f>IF(J668&lt;&gt;"",1+MAX($A$18:A667),"")</f>
        <v>416</v>
      </c>
      <c r="B668" s="299" t="s">
        <v>393</v>
      </c>
      <c r="C668" s="299" t="s">
        <v>394</v>
      </c>
      <c r="D668" s="208" t="s">
        <v>36</v>
      </c>
      <c r="E668" s="302" t="s">
        <v>123</v>
      </c>
      <c r="F668" s="330" t="s">
        <v>358</v>
      </c>
      <c r="G668" s="288">
        <v>2</v>
      </c>
      <c r="H668" s="196">
        <f>IF(VLOOKUP(J668,'HOURLY RATES'!B$116:C$124,2,0)=0,$J$3,VLOOKUP(J668,'HOURLY RATES'!B$116:C$124,2,0))</f>
        <v>0</v>
      </c>
      <c r="I668" s="251">
        <f t="shared" ref="I668:I674" si="562">(G668*(1+H668))</f>
        <v>2</v>
      </c>
      <c r="J668" s="183" t="s">
        <v>16</v>
      </c>
      <c r="K668" s="368">
        <f>1.316*(2.5)</f>
        <v>3.29</v>
      </c>
      <c r="L668" s="369">
        <f t="shared" ref="L668:L675" si="563">K668*I668</f>
        <v>6.58</v>
      </c>
      <c r="M668" s="185">
        <f>IF(VLOOKUP(E668,'HOURLY RATES'!C$6:D$105,2,0)=0,$E$3,VLOOKUP(E668,'HOURLY RATES'!C$6:D$105,2,0))</f>
        <v>38.487750000000005</v>
      </c>
      <c r="N668" s="197">
        <f t="shared" ref="N668:N674" si="564">M668*L668</f>
        <v>253.24939500000005</v>
      </c>
      <c r="O668" s="296">
        <v>199</v>
      </c>
      <c r="P668" s="188">
        <f t="shared" ref="P668:P674" si="565">O668*I668</f>
        <v>398</v>
      </c>
      <c r="Q668" s="189">
        <f t="shared" ref="Q668:Q674" si="566">P668+N668</f>
        <v>651.24939500000005</v>
      </c>
      <c r="R668" s="190"/>
      <c r="X668" s="212"/>
    </row>
    <row r="669" spans="1:24" s="12" customFormat="1" x14ac:dyDescent="0.25">
      <c r="A669" s="298">
        <f>IF(J669&lt;&gt;"",1+MAX($A$18:A668),"")</f>
        <v>417</v>
      </c>
      <c r="B669" s="299" t="s">
        <v>393</v>
      </c>
      <c r="C669" s="299" t="s">
        <v>394</v>
      </c>
      <c r="D669" s="208" t="s">
        <v>36</v>
      </c>
      <c r="E669" s="302" t="s">
        <v>123</v>
      </c>
      <c r="F669" s="330" t="s">
        <v>359</v>
      </c>
      <c r="G669" s="288">
        <v>6</v>
      </c>
      <c r="H669" s="196">
        <f>IF(VLOOKUP(J669,'HOURLY RATES'!B$116:C$124,2,0)=0,$J$3,VLOOKUP(J669,'HOURLY RATES'!B$116:C$124,2,0))</f>
        <v>0</v>
      </c>
      <c r="I669" s="251">
        <f t="shared" si="562"/>
        <v>6</v>
      </c>
      <c r="J669" s="183" t="s">
        <v>16</v>
      </c>
      <c r="K669" s="368">
        <f>1.397*(2.5)</f>
        <v>3.4925000000000002</v>
      </c>
      <c r="L669" s="369">
        <f t="shared" si="563"/>
        <v>20.955000000000002</v>
      </c>
      <c r="M669" s="185">
        <f>IF(VLOOKUP(E669,'HOURLY RATES'!C$6:D$105,2,0)=0,$E$3,VLOOKUP(E669,'HOURLY RATES'!C$6:D$105,2,0))</f>
        <v>38.487750000000005</v>
      </c>
      <c r="N669" s="197">
        <f t="shared" si="564"/>
        <v>806.51080125000021</v>
      </c>
      <c r="O669" s="296">
        <v>225.21</v>
      </c>
      <c r="P669" s="188">
        <f t="shared" si="565"/>
        <v>1351.26</v>
      </c>
      <c r="Q669" s="189">
        <f t="shared" si="566"/>
        <v>2157.7708012500002</v>
      </c>
      <c r="R669" s="190"/>
      <c r="X669" s="212"/>
    </row>
    <row r="670" spans="1:24" s="12" customFormat="1" x14ac:dyDescent="0.25">
      <c r="A670" s="298">
        <f>IF(J670&lt;&gt;"",1+MAX($A$18:A669),"")</f>
        <v>418</v>
      </c>
      <c r="B670" s="299" t="s">
        <v>393</v>
      </c>
      <c r="C670" s="299" t="s">
        <v>394</v>
      </c>
      <c r="D670" s="208" t="s">
        <v>36</v>
      </c>
      <c r="E670" s="302" t="s">
        <v>123</v>
      </c>
      <c r="F670" s="330" t="s">
        <v>360</v>
      </c>
      <c r="G670" s="288">
        <v>7</v>
      </c>
      <c r="H670" s="196">
        <f>IF(VLOOKUP(J670,'HOURLY RATES'!B$116:C$124,2,0)=0,$J$3,VLOOKUP(J670,'HOURLY RATES'!B$116:C$124,2,0))</f>
        <v>0</v>
      </c>
      <c r="I670" s="251">
        <f t="shared" si="562"/>
        <v>7</v>
      </c>
      <c r="J670" s="183" t="s">
        <v>16</v>
      </c>
      <c r="K670" s="368">
        <f>1.294*(2.5)</f>
        <v>3.2350000000000003</v>
      </c>
      <c r="L670" s="369">
        <f t="shared" si="563"/>
        <v>22.645000000000003</v>
      </c>
      <c r="M670" s="185">
        <f>IF(VLOOKUP(E670,'HOURLY RATES'!C$6:D$105,2,0)=0,$E$3,VLOOKUP(E670,'HOURLY RATES'!C$6:D$105,2,0))</f>
        <v>38.487750000000005</v>
      </c>
      <c r="N670" s="197">
        <f t="shared" si="564"/>
        <v>871.5550987500003</v>
      </c>
      <c r="O670" s="296">
        <v>185.24</v>
      </c>
      <c r="P670" s="188">
        <f t="shared" si="565"/>
        <v>1296.68</v>
      </c>
      <c r="Q670" s="189">
        <f t="shared" si="566"/>
        <v>2168.2350987500004</v>
      </c>
      <c r="R670" s="190"/>
      <c r="X670" s="212"/>
    </row>
    <row r="671" spans="1:24" s="12" customFormat="1" x14ac:dyDescent="0.25">
      <c r="A671" s="298">
        <f>IF(J671&lt;&gt;"",1+MAX($A$18:A670),"")</f>
        <v>419</v>
      </c>
      <c r="B671" s="299" t="s">
        <v>393</v>
      </c>
      <c r="C671" s="299" t="s">
        <v>394</v>
      </c>
      <c r="D671" s="208" t="s">
        <v>36</v>
      </c>
      <c r="E671" s="302" t="s">
        <v>123</v>
      </c>
      <c r="F671" s="330" t="s">
        <v>361</v>
      </c>
      <c r="G671" s="288">
        <v>4</v>
      </c>
      <c r="H671" s="196">
        <f>IF(VLOOKUP(J671,'HOURLY RATES'!B$116:C$124,2,0)=0,$J$3,VLOOKUP(J671,'HOURLY RATES'!B$116:C$124,2,0))</f>
        <v>0</v>
      </c>
      <c r="I671" s="251">
        <f t="shared" si="562"/>
        <v>4</v>
      </c>
      <c r="J671" s="183" t="s">
        <v>16</v>
      </c>
      <c r="K671" s="368">
        <f>1.286*(2.5)</f>
        <v>3.2149999999999999</v>
      </c>
      <c r="L671" s="369">
        <f t="shared" si="563"/>
        <v>12.86</v>
      </c>
      <c r="M671" s="185">
        <f>IF(VLOOKUP(E671,'HOURLY RATES'!C$6:D$105,2,0)=0,$E$3,VLOOKUP(E671,'HOURLY RATES'!C$6:D$105,2,0))</f>
        <v>38.487750000000005</v>
      </c>
      <c r="N671" s="197">
        <f t="shared" si="564"/>
        <v>494.95246500000007</v>
      </c>
      <c r="O671" s="296">
        <v>181.1</v>
      </c>
      <c r="P671" s="188">
        <f t="shared" si="565"/>
        <v>724.4</v>
      </c>
      <c r="Q671" s="189">
        <f t="shared" si="566"/>
        <v>1219.3524649999999</v>
      </c>
      <c r="R671" s="190"/>
      <c r="X671" s="212"/>
    </row>
    <row r="672" spans="1:24" s="12" customFormat="1" x14ac:dyDescent="0.25">
      <c r="A672" s="298">
        <f>IF(J672&lt;&gt;"",1+MAX($A$18:A671),"")</f>
        <v>420</v>
      </c>
      <c r="B672" s="299" t="s">
        <v>393</v>
      </c>
      <c r="C672" s="299" t="s">
        <v>394</v>
      </c>
      <c r="D672" s="208" t="s">
        <v>36</v>
      </c>
      <c r="E672" s="302" t="s">
        <v>123</v>
      </c>
      <c r="F672" s="330" t="s">
        <v>362</v>
      </c>
      <c r="G672" s="288">
        <v>1</v>
      </c>
      <c r="H672" s="196">
        <f>IF(VLOOKUP(J672,'HOURLY RATES'!B$116:C$124,2,0)=0,$J$3,VLOOKUP(J672,'HOURLY RATES'!B$116:C$124,2,0))</f>
        <v>0</v>
      </c>
      <c r="I672" s="251">
        <f t="shared" si="562"/>
        <v>1</v>
      </c>
      <c r="J672" s="183" t="s">
        <v>16</v>
      </c>
      <c r="K672" s="368">
        <f>1.386*(2.5)</f>
        <v>3.4649999999999999</v>
      </c>
      <c r="L672" s="369">
        <f t="shared" si="563"/>
        <v>3.4649999999999999</v>
      </c>
      <c r="M672" s="185">
        <f>IF(VLOOKUP(E672,'HOURLY RATES'!C$6:D$105,2,0)=0,$E$3,VLOOKUP(E672,'HOURLY RATES'!C$6:D$105,2,0))</f>
        <v>38.487750000000005</v>
      </c>
      <c r="N672" s="197">
        <f t="shared" si="564"/>
        <v>133.36005375000002</v>
      </c>
      <c r="O672" s="296">
        <v>209</v>
      </c>
      <c r="P672" s="188">
        <f t="shared" si="565"/>
        <v>209</v>
      </c>
      <c r="Q672" s="189">
        <f t="shared" si="566"/>
        <v>342.36005375000002</v>
      </c>
      <c r="R672" s="190"/>
      <c r="X672" s="212"/>
    </row>
    <row r="673" spans="1:24" s="12" customFormat="1" x14ac:dyDescent="0.25">
      <c r="A673" s="298">
        <f>IF(J673&lt;&gt;"",1+MAX($A$18:A672),"")</f>
        <v>421</v>
      </c>
      <c r="B673" s="299" t="s">
        <v>393</v>
      </c>
      <c r="C673" s="299" t="s">
        <v>394</v>
      </c>
      <c r="D673" s="208" t="s">
        <v>36</v>
      </c>
      <c r="E673" s="302" t="s">
        <v>123</v>
      </c>
      <c r="F673" s="330" t="s">
        <v>363</v>
      </c>
      <c r="G673" s="288">
        <v>4</v>
      </c>
      <c r="H673" s="196">
        <f>IF(VLOOKUP(J673,'HOURLY RATES'!B$116:C$124,2,0)=0,$J$3,VLOOKUP(J673,'HOURLY RATES'!B$116:C$124,2,0))</f>
        <v>0</v>
      </c>
      <c r="I673" s="251">
        <f t="shared" si="562"/>
        <v>4</v>
      </c>
      <c r="J673" s="183" t="s">
        <v>16</v>
      </c>
      <c r="K673" s="368">
        <f>1.126*(2.5)</f>
        <v>2.8149999999999995</v>
      </c>
      <c r="L673" s="369">
        <f t="shared" si="563"/>
        <v>11.259999999999998</v>
      </c>
      <c r="M673" s="185">
        <f>IF(VLOOKUP(E673,'HOURLY RATES'!C$6:D$105,2,0)=0,$E$3,VLOOKUP(E673,'HOURLY RATES'!C$6:D$105,2,0))</f>
        <v>38.487750000000005</v>
      </c>
      <c r="N673" s="197">
        <f t="shared" si="564"/>
        <v>433.37206499999996</v>
      </c>
      <c r="O673" s="296">
        <v>79.989999999999995</v>
      </c>
      <c r="P673" s="188">
        <f t="shared" si="565"/>
        <v>319.95999999999998</v>
      </c>
      <c r="Q673" s="189">
        <f t="shared" si="566"/>
        <v>753.33206499999994</v>
      </c>
      <c r="R673" s="190"/>
      <c r="X673" s="212"/>
    </row>
    <row r="674" spans="1:24" s="12" customFormat="1" ht="63" x14ac:dyDescent="0.25">
      <c r="A674" s="298">
        <f>IF(J674&lt;&gt;"",1+MAX($A$18:A673),"")</f>
        <v>422</v>
      </c>
      <c r="B674" s="299" t="s">
        <v>393</v>
      </c>
      <c r="C674" s="299" t="s">
        <v>394</v>
      </c>
      <c r="D674" s="208" t="s">
        <v>36</v>
      </c>
      <c r="E674" s="302" t="s">
        <v>123</v>
      </c>
      <c r="F674" s="351" t="s">
        <v>411</v>
      </c>
      <c r="G674" s="288">
        <v>1</v>
      </c>
      <c r="H674" s="196">
        <f>IF(VLOOKUP(J674,'HOURLY RATES'!B$116:C$124,2,0)=0,$J$3,VLOOKUP(J674,'HOURLY RATES'!B$116:C$124,2,0))</f>
        <v>0</v>
      </c>
      <c r="I674" s="251">
        <f t="shared" si="562"/>
        <v>1</v>
      </c>
      <c r="J674" s="183" t="s">
        <v>16</v>
      </c>
      <c r="K674" s="368">
        <f>2.148*(2.5)</f>
        <v>5.37</v>
      </c>
      <c r="L674" s="369">
        <f t="shared" si="563"/>
        <v>5.37</v>
      </c>
      <c r="M674" s="185">
        <f>IF(VLOOKUP(E674,'HOURLY RATES'!C$6:D$105,2,0)=0,$E$3,VLOOKUP(E674,'HOURLY RATES'!C$6:D$105,2,0))</f>
        <v>38.487750000000005</v>
      </c>
      <c r="N674" s="197">
        <f t="shared" si="564"/>
        <v>206.67921750000002</v>
      </c>
      <c r="O674" s="296">
        <v>999.99</v>
      </c>
      <c r="P674" s="188">
        <f t="shared" si="565"/>
        <v>999.99</v>
      </c>
      <c r="Q674" s="189">
        <f t="shared" si="566"/>
        <v>1206.6692175000001</v>
      </c>
      <c r="R674" s="190"/>
      <c r="X674" s="212"/>
    </row>
    <row r="675" spans="1:24" s="12" customFormat="1" ht="63" x14ac:dyDescent="0.25">
      <c r="A675" s="298">
        <f>IF(J675&lt;&gt;"",1+MAX($A$18:A674),"")</f>
        <v>423</v>
      </c>
      <c r="B675" s="299" t="s">
        <v>393</v>
      </c>
      <c r="C675" s="299" t="s">
        <v>394</v>
      </c>
      <c r="D675" s="208" t="s">
        <v>36</v>
      </c>
      <c r="E675" s="302" t="s">
        <v>123</v>
      </c>
      <c r="F675" s="351" t="s">
        <v>412</v>
      </c>
      <c r="G675" s="288">
        <v>1</v>
      </c>
      <c r="H675" s="196">
        <f>IF(VLOOKUP(J675,'HOURLY RATES'!B$116:C$124,2,0)=0,$J$3,VLOOKUP(J675,'HOURLY RATES'!B$116:C$124,2,0))</f>
        <v>0</v>
      </c>
      <c r="I675" s="251">
        <f t="shared" ref="I675" si="567">(G675*(1+H675))</f>
        <v>1</v>
      </c>
      <c r="J675" s="183" t="s">
        <v>16</v>
      </c>
      <c r="K675" s="368">
        <f>2.527*(2.5)</f>
        <v>6.3175000000000008</v>
      </c>
      <c r="L675" s="369">
        <f t="shared" si="563"/>
        <v>6.3175000000000008</v>
      </c>
      <c r="M675" s="185">
        <f>IF(VLOOKUP(E675,'HOURLY RATES'!C$6:D$105,2,0)=0,$E$3,VLOOKUP(E675,'HOURLY RATES'!C$6:D$105,2,0))</f>
        <v>38.487750000000005</v>
      </c>
      <c r="N675" s="197">
        <f t="shared" ref="N675" si="568">M675*L675</f>
        <v>243.14636062500006</v>
      </c>
      <c r="O675" s="296">
        <v>1624.99</v>
      </c>
      <c r="P675" s="188">
        <f t="shared" ref="P675" si="569">O675*I675</f>
        <v>1624.99</v>
      </c>
      <c r="Q675" s="189">
        <f t="shared" ref="Q675" si="570">P675+N675</f>
        <v>1868.1363606250002</v>
      </c>
      <c r="R675" s="190"/>
      <c r="X675" s="212"/>
    </row>
    <row r="676" spans="1:24" s="12" customFormat="1" x14ac:dyDescent="0.25">
      <c r="A676" s="298" t="str">
        <f>IF(J676&lt;&gt;"",1+MAX($A$18:A675),"")</f>
        <v/>
      </c>
      <c r="B676" s="299"/>
      <c r="C676" s="299"/>
      <c r="D676" s="208"/>
      <c r="E676" s="302"/>
      <c r="F676" s="330"/>
      <c r="G676" s="288"/>
      <c r="H676" s="196"/>
      <c r="I676" s="251"/>
      <c r="J676" s="183"/>
      <c r="K676" s="368"/>
      <c r="L676" s="210"/>
      <c r="M676" s="185"/>
      <c r="N676" s="197"/>
      <c r="O676" s="296"/>
      <c r="P676" s="188"/>
      <c r="Q676" s="189"/>
      <c r="R676" s="190"/>
      <c r="X676" s="212"/>
    </row>
    <row r="677" spans="1:24" s="12" customFormat="1" x14ac:dyDescent="0.2">
      <c r="A677" s="298" t="str">
        <f>IF(J677&lt;&gt;"",1+MAX($A$18:A676),"")</f>
        <v/>
      </c>
      <c r="B677" s="299"/>
      <c r="C677" s="299"/>
      <c r="D677" s="208"/>
      <c r="E677" s="302"/>
      <c r="F677" s="286" t="s">
        <v>102</v>
      </c>
      <c r="G677" s="288"/>
      <c r="H677" s="196"/>
      <c r="I677" s="251"/>
      <c r="J677" s="183"/>
      <c r="K677" s="368"/>
      <c r="L677" s="210"/>
      <c r="M677" s="185"/>
      <c r="N677" s="197"/>
      <c r="O677" s="296"/>
      <c r="P677" s="188"/>
      <c r="Q677" s="189"/>
      <c r="R677" s="190"/>
      <c r="X677" s="212"/>
    </row>
    <row r="678" spans="1:24" s="12" customFormat="1" x14ac:dyDescent="0.25">
      <c r="A678" s="298">
        <f>IF(J678&lt;&gt;"",1+MAX($A$18:A677),"")</f>
        <v>424</v>
      </c>
      <c r="B678" s="299" t="s">
        <v>393</v>
      </c>
      <c r="C678" s="299" t="s">
        <v>394</v>
      </c>
      <c r="D678" s="208" t="s">
        <v>36</v>
      </c>
      <c r="E678" s="302" t="s">
        <v>123</v>
      </c>
      <c r="F678" s="330" t="s">
        <v>365</v>
      </c>
      <c r="G678" s="288">
        <v>1</v>
      </c>
      <c r="H678" s="196">
        <f>IF(VLOOKUP(J678,'HOURLY RATES'!B$116:C$124,2,0)=0,$J$3,VLOOKUP(J678,'HOURLY RATES'!B$116:C$124,2,0))</f>
        <v>0</v>
      </c>
      <c r="I678" s="251">
        <f>(G678*(1+H678))</f>
        <v>1</v>
      </c>
      <c r="J678" s="183" t="s">
        <v>16</v>
      </c>
      <c r="K678" s="368">
        <f>1.153*(2.5)</f>
        <v>2.8825000000000003</v>
      </c>
      <c r="L678" s="369">
        <f t="shared" ref="L678:L679" si="571">K678*I678</f>
        <v>2.8825000000000003</v>
      </c>
      <c r="M678" s="185">
        <f>IF(VLOOKUP(E678,'HOURLY RATES'!C$6:D$105,2,0)=0,$E$3,VLOOKUP(E678,'HOURLY RATES'!C$6:D$105,2,0))</f>
        <v>38.487750000000005</v>
      </c>
      <c r="N678" s="197">
        <f>M678*L678</f>
        <v>110.94093937500003</v>
      </c>
      <c r="O678" s="296">
        <v>140.9</v>
      </c>
      <c r="P678" s="188">
        <f>O678*I678</f>
        <v>140.9</v>
      </c>
      <c r="Q678" s="189">
        <f>P678+N678</f>
        <v>251.84093937500003</v>
      </c>
      <c r="R678" s="190"/>
      <c r="X678" s="212"/>
    </row>
    <row r="679" spans="1:24" s="12" customFormat="1" x14ac:dyDescent="0.2">
      <c r="A679" s="298">
        <f>IF(J679&lt;&gt;"",1+MAX($A$18:A678),"")</f>
        <v>425</v>
      </c>
      <c r="B679" s="299" t="s">
        <v>393</v>
      </c>
      <c r="C679" s="299" t="s">
        <v>394</v>
      </c>
      <c r="D679" s="208" t="s">
        <v>36</v>
      </c>
      <c r="E679" s="302" t="s">
        <v>123</v>
      </c>
      <c r="F679" s="305" t="s">
        <v>934</v>
      </c>
      <c r="G679" s="249">
        <v>2</v>
      </c>
      <c r="H679" s="196">
        <f>IF(VLOOKUP(J679,'HOURLY RATES'!B$116:C$124,2,0)=0,$J$3,VLOOKUP(J679,'HOURLY RATES'!B$116:C$124,2,0))</f>
        <v>0</v>
      </c>
      <c r="I679" s="251">
        <f>(G679*(1+H679))</f>
        <v>2</v>
      </c>
      <c r="J679" s="183" t="s">
        <v>16</v>
      </c>
      <c r="K679" s="368">
        <f>1.138*(2.5)</f>
        <v>2.8449999999999998</v>
      </c>
      <c r="L679" s="369">
        <f t="shared" si="571"/>
        <v>5.6899999999999995</v>
      </c>
      <c r="M679" s="185">
        <f>IF(VLOOKUP(E679,'HOURLY RATES'!C$6:D$105,2,0)=0,$E$3,VLOOKUP(E679,'HOURLY RATES'!C$6:D$105,2,0))</f>
        <v>38.487750000000005</v>
      </c>
      <c r="N679" s="197">
        <f>M679*L679</f>
        <v>218.99529750000002</v>
      </c>
      <c r="O679" s="296">
        <v>89.95</v>
      </c>
      <c r="P679" s="188">
        <f>O679*I679</f>
        <v>179.9</v>
      </c>
      <c r="Q679" s="189">
        <f>P679+N679</f>
        <v>398.89529750000003</v>
      </c>
      <c r="R679" s="190"/>
      <c r="X679" s="212"/>
    </row>
    <row r="680" spans="1:24" s="12" customFormat="1" x14ac:dyDescent="0.2">
      <c r="A680" s="298" t="str">
        <f>IF(J680&lt;&gt;"",1+MAX($A$18:A679),"")</f>
        <v/>
      </c>
      <c r="B680" s="299"/>
      <c r="C680" s="299"/>
      <c r="D680" s="208"/>
      <c r="E680" s="302"/>
      <c r="F680" s="305"/>
      <c r="G680" s="249"/>
      <c r="H680" s="196"/>
      <c r="I680" s="251"/>
      <c r="J680" s="183"/>
      <c r="K680" s="368"/>
      <c r="L680" s="210"/>
      <c r="M680" s="185"/>
      <c r="N680" s="197"/>
      <c r="O680" s="296"/>
      <c r="P680" s="188"/>
      <c r="Q680" s="189"/>
      <c r="R680" s="190"/>
      <c r="X680" s="212"/>
    </row>
    <row r="681" spans="1:24" s="12" customFormat="1" x14ac:dyDescent="0.2">
      <c r="A681" s="298">
        <f>IF(J681&lt;&gt;"",1+MAX($A$18:A680),"")</f>
        <v>426</v>
      </c>
      <c r="B681" s="299" t="s">
        <v>393</v>
      </c>
      <c r="C681" s="299" t="s">
        <v>394</v>
      </c>
      <c r="D681" s="208" t="s">
        <v>36</v>
      </c>
      <c r="E681" s="302" t="s">
        <v>123</v>
      </c>
      <c r="F681" s="314" t="s">
        <v>413</v>
      </c>
      <c r="G681" s="249">
        <v>1417.22</v>
      </c>
      <c r="H681" s="196">
        <f>IF(VLOOKUP(J681,'HOURLY RATES'!B$116:C$124,2,0)=0,$J$3,VLOOKUP(J681,'HOURLY RATES'!B$116:C$124,2,0))</f>
        <v>0.05</v>
      </c>
      <c r="I681" s="251">
        <f>(G681*(1+H681))</f>
        <v>1488.0810000000001</v>
      </c>
      <c r="J681" s="183" t="s">
        <v>17</v>
      </c>
      <c r="K681" s="368">
        <f>0.12/1.2</f>
        <v>0.1</v>
      </c>
      <c r="L681" s="369">
        <f>K681*I681</f>
        <v>148.80810000000002</v>
      </c>
      <c r="M681" s="185">
        <f>IF(VLOOKUP(E681,'HOURLY RATES'!C$6:D$105,2,0)=0,$E$3,VLOOKUP(E681,'HOURLY RATES'!C$6:D$105,2,0))</f>
        <v>38.487750000000005</v>
      </c>
      <c r="N681" s="197">
        <f>M681*L681</f>
        <v>5727.2889507750015</v>
      </c>
      <c r="O681" s="296">
        <f>0.5/1.2</f>
        <v>0.41666666666666669</v>
      </c>
      <c r="P681" s="188">
        <f>O681*I681</f>
        <v>620.03375000000005</v>
      </c>
      <c r="Q681" s="189">
        <f>P681+N681</f>
        <v>6347.3227007750011</v>
      </c>
      <c r="R681" s="190"/>
      <c r="X681" s="212"/>
    </row>
    <row r="682" spans="1:24" s="12" customFormat="1" ht="16.5" thickBot="1" x14ac:dyDescent="0.25">
      <c r="A682" s="214" t="str">
        <f>IF(J682&lt;&gt;"",1+MAX($A$18:A681),"")</f>
        <v/>
      </c>
      <c r="B682" s="215"/>
      <c r="C682" s="215"/>
      <c r="D682" s="215"/>
      <c r="E682" s="215"/>
      <c r="F682" s="216"/>
      <c r="G682" s="217"/>
      <c r="H682" s="218"/>
      <c r="I682" s="219"/>
      <c r="J682" s="220"/>
      <c r="K682" s="390"/>
      <c r="L682" s="222"/>
      <c r="M682" s="223"/>
      <c r="N682" s="224"/>
      <c r="O682" s="392"/>
      <c r="P682" s="226"/>
      <c r="Q682" s="227"/>
      <c r="R682" s="228"/>
      <c r="X682" s="212"/>
    </row>
    <row r="683" spans="1:24" s="12" customFormat="1" ht="20.100000000000001" customHeight="1" x14ac:dyDescent="0.2">
      <c r="A683" s="479" t="str">
        <f>IF(J683&lt;&gt;"",1+MAX($A$18:A682),"")</f>
        <v/>
      </c>
      <c r="B683" s="480"/>
      <c r="C683" s="480"/>
      <c r="D683" s="474" t="s">
        <v>43</v>
      </c>
      <c r="E683" s="474"/>
      <c r="F683" s="475" t="s">
        <v>282</v>
      </c>
      <c r="G683" s="481"/>
      <c r="H683" s="482"/>
      <c r="I683" s="483"/>
      <c r="J683" s="483"/>
      <c r="K683" s="482"/>
      <c r="L683" s="482"/>
      <c r="M683" s="482"/>
      <c r="N683" s="482"/>
      <c r="O683" s="482"/>
      <c r="P683" s="482"/>
      <c r="Q683" s="482"/>
      <c r="R683" s="484">
        <f>SUM(Q684:Q757)</f>
        <v>59296.051305810433</v>
      </c>
      <c r="X683" s="212"/>
    </row>
    <row r="684" spans="1:24" s="12" customFormat="1" x14ac:dyDescent="0.2">
      <c r="A684" s="287" t="str">
        <f>IF(J684&lt;&gt;"",1+MAX($A$18:A683),"")</f>
        <v/>
      </c>
      <c r="B684" s="301"/>
      <c r="C684" s="301"/>
      <c r="D684" s="201"/>
      <c r="E684" s="192"/>
      <c r="F684" s="207" t="s">
        <v>27</v>
      </c>
      <c r="G684" s="288"/>
      <c r="H684" s="289"/>
      <c r="I684" s="290"/>
      <c r="J684" s="291"/>
      <c r="K684" s="292"/>
      <c r="L684" s="293"/>
      <c r="M684" s="294"/>
      <c r="N684" s="295"/>
      <c r="O684" s="296"/>
      <c r="P684" s="295"/>
      <c r="Q684" s="297"/>
      <c r="R684" s="304"/>
      <c r="X684" s="212"/>
    </row>
    <row r="685" spans="1:24" s="12" customFormat="1" x14ac:dyDescent="0.2">
      <c r="A685" s="200" t="str">
        <f>IF(J685&lt;&gt;"",1+MAX($A$18:A684),"")</f>
        <v/>
      </c>
      <c r="B685" s="299"/>
      <c r="C685" s="299"/>
      <c r="D685" s="208"/>
      <c r="E685" s="192"/>
      <c r="F685" s="331" t="s">
        <v>783</v>
      </c>
      <c r="G685" s="288"/>
      <c r="H685" s="196"/>
      <c r="I685" s="251"/>
      <c r="J685" s="183"/>
      <c r="K685" s="368"/>
      <c r="L685" s="210"/>
      <c r="M685" s="185"/>
      <c r="N685" s="197"/>
      <c r="O685" s="296"/>
      <c r="P685" s="188"/>
      <c r="Q685" s="189"/>
      <c r="R685" s="304"/>
      <c r="X685" s="212"/>
    </row>
    <row r="686" spans="1:24" s="12" customFormat="1" ht="20.100000000000001" customHeight="1" x14ac:dyDescent="0.2">
      <c r="A686" s="298" t="str">
        <f>IF(J686&lt;&gt;"",1+MAX($A$18:A685),"")</f>
        <v/>
      </c>
      <c r="B686" s="299"/>
      <c r="C686" s="299"/>
      <c r="D686" s="208"/>
      <c r="E686" s="302"/>
      <c r="F686" s="332" t="s">
        <v>784</v>
      </c>
      <c r="G686" s="288"/>
      <c r="H686" s="196"/>
      <c r="I686" s="251"/>
      <c r="J686" s="183"/>
      <c r="K686" s="368"/>
      <c r="L686" s="210"/>
      <c r="M686" s="185"/>
      <c r="N686" s="197"/>
      <c r="O686" s="296"/>
      <c r="P686" s="188"/>
      <c r="Q686" s="189"/>
      <c r="R686" s="190"/>
      <c r="X686" s="212"/>
    </row>
    <row r="687" spans="1:24" s="12" customFormat="1" x14ac:dyDescent="0.2">
      <c r="A687" s="298">
        <f>IF(J687&lt;&gt;"",1+MAX($A$18:A686),"")</f>
        <v>427</v>
      </c>
      <c r="B687" s="299" t="s">
        <v>835</v>
      </c>
      <c r="C687" s="299" t="s">
        <v>835</v>
      </c>
      <c r="D687" s="208" t="s">
        <v>43</v>
      </c>
      <c r="E687" s="302" t="s">
        <v>237</v>
      </c>
      <c r="F687" s="305" t="s">
        <v>785</v>
      </c>
      <c r="G687" s="249">
        <v>75.760000000000005</v>
      </c>
      <c r="H687" s="196">
        <f>IF(VLOOKUP(J687,'HOURLY RATES'!B$116:C$124,2,0)=0,$J$3,VLOOKUP(J687,'HOURLY RATES'!B$116:C$124,2,0))</f>
        <v>0.05</v>
      </c>
      <c r="I687" s="251">
        <f t="shared" ref="I687" si="572">(G687*(1+H687))</f>
        <v>79.548000000000002</v>
      </c>
      <c r="J687" s="183" t="s">
        <v>19</v>
      </c>
      <c r="K687" s="368">
        <f>0.02*((6+4)*2)</f>
        <v>0.4</v>
      </c>
      <c r="L687" s="369">
        <f t="shared" ref="L687:L698" si="573">K687*I687</f>
        <v>31.819200000000002</v>
      </c>
      <c r="M687" s="185">
        <f>IF(VLOOKUP(E687,'HOURLY RATES'!C$6:D$105,2,0)=0,$E$3,VLOOKUP(E687,'HOURLY RATES'!C$6:D$105,2,0))</f>
        <v>43.294082698125003</v>
      </c>
      <c r="N687" s="197">
        <f t="shared" ref="N687" si="574">M687*L687</f>
        <v>1377.5830761881791</v>
      </c>
      <c r="O687" s="296">
        <f>6*6*0.186</f>
        <v>6.6959999999999997</v>
      </c>
      <c r="P687" s="188">
        <f t="shared" ref="P687" si="575">O687*I687</f>
        <v>532.65340800000001</v>
      </c>
      <c r="Q687" s="189">
        <f t="shared" ref="Q687" si="576">P687+N687</f>
        <v>1910.236484188179</v>
      </c>
      <c r="R687" s="190"/>
      <c r="X687" s="212"/>
    </row>
    <row r="688" spans="1:24" s="12" customFormat="1" x14ac:dyDescent="0.2">
      <c r="A688" s="298">
        <f>IF(J688&lt;&gt;"",1+MAX($A$18:A687),"")</f>
        <v>428</v>
      </c>
      <c r="B688" s="299" t="s">
        <v>835</v>
      </c>
      <c r="C688" s="299" t="s">
        <v>835</v>
      </c>
      <c r="D688" s="208" t="s">
        <v>43</v>
      </c>
      <c r="E688" s="302" t="s">
        <v>237</v>
      </c>
      <c r="F688" s="305" t="s">
        <v>786</v>
      </c>
      <c r="G688" s="249">
        <f>40.97+60</f>
        <v>100.97</v>
      </c>
      <c r="H688" s="196">
        <f>IF(VLOOKUP(J688,'HOURLY RATES'!B$116:C$124,2,0)=0,$J$3,VLOOKUP(J688,'HOURLY RATES'!B$116:C$124,2,0))</f>
        <v>0.05</v>
      </c>
      <c r="I688" s="251">
        <f>(G688*(1+H688))</f>
        <v>106.0185</v>
      </c>
      <c r="J688" s="183" t="s">
        <v>19</v>
      </c>
      <c r="K688" s="368">
        <f>0.02*((8+6)*2)</f>
        <v>0.56000000000000005</v>
      </c>
      <c r="L688" s="369">
        <f t="shared" si="573"/>
        <v>59.370360000000005</v>
      </c>
      <c r="M688" s="185">
        <f>IF(VLOOKUP(E688,'HOURLY RATES'!C$6:D$105,2,0)=0,$E$3,VLOOKUP(E688,'HOURLY RATES'!C$6:D$105,2,0))</f>
        <v>43.294082698125003</v>
      </c>
      <c r="N688" s="197">
        <f>M688*L688</f>
        <v>2570.3852756574529</v>
      </c>
      <c r="O688" s="296">
        <f>6*4*0.186</f>
        <v>4.4640000000000004</v>
      </c>
      <c r="P688" s="188">
        <f>O688*I688</f>
        <v>473.26658400000008</v>
      </c>
      <c r="Q688" s="189">
        <f>P688+N688</f>
        <v>3043.6518596574529</v>
      </c>
      <c r="R688" s="190"/>
      <c r="X688" s="212"/>
    </row>
    <row r="689" spans="1:24" s="12" customFormat="1" x14ac:dyDescent="0.2">
      <c r="A689" s="298">
        <f>IF(J689&lt;&gt;"",1+MAX($A$18:A688),"")</f>
        <v>429</v>
      </c>
      <c r="B689" s="299" t="s">
        <v>835</v>
      </c>
      <c r="C689" s="299" t="s">
        <v>835</v>
      </c>
      <c r="D689" s="208" t="s">
        <v>43</v>
      </c>
      <c r="E689" s="302" t="s">
        <v>237</v>
      </c>
      <c r="F689" s="305" t="s">
        <v>787</v>
      </c>
      <c r="G689" s="249">
        <f>60.8+10</f>
        <v>70.8</v>
      </c>
      <c r="H689" s="196">
        <f>IF(VLOOKUP(J689,'HOURLY RATES'!B$116:C$124,2,0)=0,$J$3,VLOOKUP(J689,'HOURLY RATES'!B$116:C$124,2,0))</f>
        <v>0.05</v>
      </c>
      <c r="I689" s="251">
        <f t="shared" ref="I689" si="577">(G689*(1+H689))</f>
        <v>74.34</v>
      </c>
      <c r="J689" s="183" t="s">
        <v>19</v>
      </c>
      <c r="K689" s="368">
        <f>0.02*((8+6)*2)</f>
        <v>0.56000000000000005</v>
      </c>
      <c r="L689" s="369">
        <f t="shared" si="573"/>
        <v>41.630400000000009</v>
      </c>
      <c r="M689" s="185">
        <f>IF(VLOOKUP(E689,'HOURLY RATES'!C$6:D$105,2,0)=0,$E$3,VLOOKUP(E689,'HOURLY RATES'!C$6:D$105,2,0))</f>
        <v>43.294082698125003</v>
      </c>
      <c r="N689" s="197">
        <f t="shared" ref="N689" si="578">M689*L689</f>
        <v>1802.3499803560235</v>
      </c>
      <c r="O689" s="296">
        <f>8*6*0.186</f>
        <v>8.9280000000000008</v>
      </c>
      <c r="P689" s="188">
        <f t="shared" ref="P689" si="579">O689*I689</f>
        <v>663.70752000000005</v>
      </c>
      <c r="Q689" s="189">
        <f t="shared" ref="Q689" si="580">P689+N689</f>
        <v>2466.0575003560234</v>
      </c>
      <c r="R689" s="190"/>
      <c r="X689" s="212"/>
    </row>
    <row r="690" spans="1:24" s="12" customFormat="1" x14ac:dyDescent="0.2">
      <c r="A690" s="298">
        <f>IF(J690&lt;&gt;"",1+MAX($A$18:A689),"")</f>
        <v>430</v>
      </c>
      <c r="B690" s="299" t="s">
        <v>835</v>
      </c>
      <c r="C690" s="299" t="s">
        <v>835</v>
      </c>
      <c r="D690" s="208" t="s">
        <v>43</v>
      </c>
      <c r="E690" s="302" t="s">
        <v>237</v>
      </c>
      <c r="F690" s="305" t="s">
        <v>788</v>
      </c>
      <c r="G690" s="249">
        <f>48.18+30</f>
        <v>78.180000000000007</v>
      </c>
      <c r="H690" s="196">
        <f>IF(VLOOKUP(J690,'HOURLY RATES'!B$116:C$124,2,0)=0,$J$3,VLOOKUP(J690,'HOURLY RATES'!B$116:C$124,2,0))</f>
        <v>0.05</v>
      </c>
      <c r="I690" s="251">
        <f t="shared" ref="I690:I693" si="581">(G690*(1+H690))</f>
        <v>82.089000000000013</v>
      </c>
      <c r="J690" s="183" t="s">
        <v>19</v>
      </c>
      <c r="K690" s="368">
        <f>0.02*((8+8)*2)</f>
        <v>0.64</v>
      </c>
      <c r="L690" s="369">
        <f t="shared" si="573"/>
        <v>52.536960000000008</v>
      </c>
      <c r="M690" s="185">
        <f>IF(VLOOKUP(E690,'HOURLY RATES'!C$6:D$105,2,0)=0,$E$3,VLOOKUP(E690,'HOURLY RATES'!C$6:D$105,2,0))</f>
        <v>43.294082698125003</v>
      </c>
      <c r="N690" s="197">
        <f t="shared" ref="N690:N694" si="582">M690*L690</f>
        <v>2274.5394909480856</v>
      </c>
      <c r="O690" s="296">
        <f>8*8*0.186</f>
        <v>11.904</v>
      </c>
      <c r="P690" s="188">
        <f t="shared" ref="P690:P694" si="583">O690*I690</f>
        <v>977.18745600000011</v>
      </c>
      <c r="Q690" s="189">
        <f t="shared" ref="Q690:Q694" si="584">P690+N690</f>
        <v>3251.7269469480857</v>
      </c>
      <c r="R690" s="190"/>
      <c r="X690" s="212"/>
    </row>
    <row r="691" spans="1:24" s="12" customFormat="1" x14ac:dyDescent="0.2">
      <c r="A691" s="298">
        <f>IF(J691&lt;&gt;"",1+MAX($A$18:A690),"")</f>
        <v>431</v>
      </c>
      <c r="B691" s="299" t="s">
        <v>835</v>
      </c>
      <c r="C691" s="299" t="s">
        <v>835</v>
      </c>
      <c r="D691" s="208" t="s">
        <v>43</v>
      </c>
      <c r="E691" s="302" t="s">
        <v>237</v>
      </c>
      <c r="F691" s="305" t="s">
        <v>789</v>
      </c>
      <c r="G691" s="249">
        <f>7.43+10</f>
        <v>17.43</v>
      </c>
      <c r="H691" s="196">
        <f>IF(VLOOKUP(J691,'HOURLY RATES'!B$116:C$124,2,0)=0,$J$3,VLOOKUP(J691,'HOURLY RATES'!B$116:C$124,2,0))</f>
        <v>0.05</v>
      </c>
      <c r="I691" s="251">
        <f t="shared" si="581"/>
        <v>18.301500000000001</v>
      </c>
      <c r="J691" s="183" t="s">
        <v>19</v>
      </c>
      <c r="K691" s="368">
        <f>0.02*((16+6)*2)</f>
        <v>0.88</v>
      </c>
      <c r="L691" s="369">
        <f t="shared" si="573"/>
        <v>16.105320000000003</v>
      </c>
      <c r="M691" s="185">
        <f>IF(VLOOKUP(E691,'HOURLY RATES'!C$6:D$105,2,0)=0,$E$3,VLOOKUP(E691,'HOURLY RATES'!C$6:D$105,2,0))</f>
        <v>43.294082698125003</v>
      </c>
      <c r="N691" s="197">
        <f t="shared" si="582"/>
        <v>697.26505595976664</v>
      </c>
      <c r="O691" s="296">
        <f>16*6*0.186</f>
        <v>17.856000000000002</v>
      </c>
      <c r="P691" s="188">
        <f t="shared" si="583"/>
        <v>326.79158400000006</v>
      </c>
      <c r="Q691" s="189">
        <f t="shared" si="584"/>
        <v>1024.0566399597667</v>
      </c>
      <c r="R691" s="190"/>
      <c r="X691" s="212"/>
    </row>
    <row r="692" spans="1:24" s="12" customFormat="1" x14ac:dyDescent="0.2">
      <c r="A692" s="298">
        <f>IF(J692&lt;&gt;"",1+MAX($A$18:A691),"")</f>
        <v>432</v>
      </c>
      <c r="B692" s="299" t="s">
        <v>835</v>
      </c>
      <c r="C692" s="299" t="s">
        <v>835</v>
      </c>
      <c r="D692" s="208" t="s">
        <v>43</v>
      </c>
      <c r="E692" s="302" t="s">
        <v>237</v>
      </c>
      <c r="F692" s="305" t="s">
        <v>790</v>
      </c>
      <c r="G692" s="249">
        <f>21.09+20</f>
        <v>41.09</v>
      </c>
      <c r="H692" s="196">
        <f>IF(VLOOKUP(J692,'HOURLY RATES'!B$116:C$124,2,0)=0,$J$3,VLOOKUP(J692,'HOURLY RATES'!B$116:C$124,2,0))</f>
        <v>0.05</v>
      </c>
      <c r="I692" s="251">
        <f t="shared" si="581"/>
        <v>43.144500000000008</v>
      </c>
      <c r="J692" s="183" t="s">
        <v>19</v>
      </c>
      <c r="K692" s="368">
        <f>0.02*((10+8)*2)</f>
        <v>0.72</v>
      </c>
      <c r="L692" s="369">
        <f t="shared" si="573"/>
        <v>31.064040000000006</v>
      </c>
      <c r="M692" s="185">
        <f>IF(VLOOKUP(E692,'HOURLY RATES'!C$6:D$105,2,0)=0,$E$3,VLOOKUP(E692,'HOURLY RATES'!C$6:D$105,2,0))</f>
        <v>43.294082698125003</v>
      </c>
      <c r="N692" s="197">
        <f t="shared" si="582"/>
        <v>1344.8891166978633</v>
      </c>
      <c r="O692" s="296">
        <f>10*8*0.186</f>
        <v>14.879999999999999</v>
      </c>
      <c r="P692" s="188">
        <f t="shared" si="583"/>
        <v>641.99016000000006</v>
      </c>
      <c r="Q692" s="189">
        <f t="shared" si="584"/>
        <v>1986.8792766978634</v>
      </c>
      <c r="R692" s="190"/>
      <c r="X692" s="212"/>
    </row>
    <row r="693" spans="1:24" s="12" customFormat="1" x14ac:dyDescent="0.2">
      <c r="A693" s="298">
        <f>IF(J693&lt;&gt;"",1+MAX($A$18:A692),"")</f>
        <v>433</v>
      </c>
      <c r="B693" s="299" t="s">
        <v>835</v>
      </c>
      <c r="C693" s="299" t="s">
        <v>835</v>
      </c>
      <c r="D693" s="208" t="s">
        <v>43</v>
      </c>
      <c r="E693" s="302" t="s">
        <v>237</v>
      </c>
      <c r="F693" s="305" t="s">
        <v>791</v>
      </c>
      <c r="G693" s="249">
        <f>4.66+10</f>
        <v>14.66</v>
      </c>
      <c r="H693" s="196">
        <f>IF(VLOOKUP(J693,'HOURLY RATES'!B$116:C$124,2,0)=0,$J$3,VLOOKUP(J693,'HOURLY RATES'!B$116:C$124,2,0))</f>
        <v>0.05</v>
      </c>
      <c r="I693" s="251">
        <f t="shared" si="581"/>
        <v>15.393000000000001</v>
      </c>
      <c r="J693" s="183" t="s">
        <v>19</v>
      </c>
      <c r="K693" s="368">
        <f>0.02*((4+4)*2)</f>
        <v>0.32</v>
      </c>
      <c r="L693" s="369">
        <f t="shared" si="573"/>
        <v>4.9257600000000004</v>
      </c>
      <c r="M693" s="185">
        <f>IF(VLOOKUP(E693,'HOURLY RATES'!C$6:D$105,2,0)=0,$E$3,VLOOKUP(E693,'HOURLY RATES'!C$6:D$105,2,0))</f>
        <v>43.294082698125003</v>
      </c>
      <c r="N693" s="197">
        <f t="shared" si="582"/>
        <v>213.25626079111623</v>
      </c>
      <c r="O693" s="296">
        <f>4*4*0.186</f>
        <v>2.976</v>
      </c>
      <c r="P693" s="188">
        <f t="shared" si="583"/>
        <v>45.809567999999999</v>
      </c>
      <c r="Q693" s="189">
        <f t="shared" si="584"/>
        <v>259.06582879111625</v>
      </c>
      <c r="R693" s="190"/>
      <c r="X693" s="212"/>
    </row>
    <row r="694" spans="1:24" s="12" customFormat="1" x14ac:dyDescent="0.2">
      <c r="A694" s="298">
        <f>IF(J694&lt;&gt;"",1+MAX($A$18:A693),"")</f>
        <v>434</v>
      </c>
      <c r="B694" s="299" t="s">
        <v>835</v>
      </c>
      <c r="C694" s="299" t="s">
        <v>835</v>
      </c>
      <c r="D694" s="208" t="s">
        <v>43</v>
      </c>
      <c r="E694" s="302" t="s">
        <v>237</v>
      </c>
      <c r="F694" s="305" t="s">
        <v>792</v>
      </c>
      <c r="G694" s="249">
        <v>3.1</v>
      </c>
      <c r="H694" s="196">
        <f>IF(VLOOKUP(J694,'HOURLY RATES'!B$116:C$124,2,0)=0,$J$3,VLOOKUP(J694,'HOURLY RATES'!B$116:C$124,2,0))</f>
        <v>0.05</v>
      </c>
      <c r="I694" s="251">
        <f>(G694*(1+H694))</f>
        <v>3.2550000000000003</v>
      </c>
      <c r="J694" s="183" t="s">
        <v>19</v>
      </c>
      <c r="K694" s="368">
        <f>0.02*((16+8)*2)</f>
        <v>0.96</v>
      </c>
      <c r="L694" s="369">
        <f t="shared" si="573"/>
        <v>3.1248</v>
      </c>
      <c r="M694" s="185">
        <f>IF(VLOOKUP(E694,'HOURLY RATES'!C$6:D$105,2,0)=0,$E$3,VLOOKUP(E694,'HOURLY RATES'!C$6:D$105,2,0))</f>
        <v>43.294082698125003</v>
      </c>
      <c r="N694" s="197">
        <f t="shared" si="582"/>
        <v>135.28534961510101</v>
      </c>
      <c r="O694" s="296">
        <f>16*8*0.186</f>
        <v>23.808</v>
      </c>
      <c r="P694" s="188">
        <f t="shared" si="583"/>
        <v>77.495040000000003</v>
      </c>
      <c r="Q694" s="189">
        <f t="shared" si="584"/>
        <v>212.780389615101</v>
      </c>
      <c r="R694" s="190"/>
      <c r="X694" s="212"/>
    </row>
    <row r="695" spans="1:24" s="12" customFormat="1" x14ac:dyDescent="0.2">
      <c r="A695" s="298">
        <f>IF(J695&lt;&gt;"",1+MAX($A$18:A694),"")</f>
        <v>435</v>
      </c>
      <c r="B695" s="299" t="s">
        <v>835</v>
      </c>
      <c r="C695" s="299" t="s">
        <v>835</v>
      </c>
      <c r="D695" s="208" t="s">
        <v>43</v>
      </c>
      <c r="E695" s="302" t="s">
        <v>237</v>
      </c>
      <c r="F695" s="305" t="s">
        <v>793</v>
      </c>
      <c r="G695" s="249">
        <v>2.56</v>
      </c>
      <c r="H695" s="196">
        <f>IF(VLOOKUP(J695,'HOURLY RATES'!B$116:C$124,2,0)=0,$J$3,VLOOKUP(J695,'HOURLY RATES'!B$116:C$124,2,0))</f>
        <v>0.05</v>
      </c>
      <c r="I695" s="251">
        <f>(G695*(1+H695))</f>
        <v>2.6880000000000002</v>
      </c>
      <c r="J695" s="183" t="s">
        <v>19</v>
      </c>
      <c r="K695" s="368">
        <f>0.02*((20+8)*2)</f>
        <v>1.1200000000000001</v>
      </c>
      <c r="L695" s="369">
        <f t="shared" si="573"/>
        <v>3.0105600000000003</v>
      </c>
      <c r="M695" s="185">
        <f>IF(VLOOKUP(E695,'HOURLY RATES'!C$6:D$105,2,0)=0,$E$3,VLOOKUP(E695,'HOURLY RATES'!C$6:D$105,2,0))</f>
        <v>43.294082698125003</v>
      </c>
      <c r="N695" s="197">
        <f>M695*L695</f>
        <v>130.33943360766722</v>
      </c>
      <c r="O695" s="296">
        <f>20*8*0.186</f>
        <v>29.759999999999998</v>
      </c>
      <c r="P695" s="188">
        <f>O695*I695</f>
        <v>79.994879999999995</v>
      </c>
      <c r="Q695" s="189">
        <f>P695+N695</f>
        <v>210.33431360766721</v>
      </c>
      <c r="R695" s="190"/>
      <c r="X695" s="212"/>
    </row>
    <row r="696" spans="1:24" s="12" customFormat="1" x14ac:dyDescent="0.2">
      <c r="A696" s="298">
        <f>IF(J696&lt;&gt;"",1+MAX($A$18:A695),"")</f>
        <v>436</v>
      </c>
      <c r="B696" s="299" t="s">
        <v>835</v>
      </c>
      <c r="C696" s="299" t="s">
        <v>835</v>
      </c>
      <c r="D696" s="208" t="s">
        <v>43</v>
      </c>
      <c r="E696" s="302" t="s">
        <v>237</v>
      </c>
      <c r="F696" s="305" t="s">
        <v>794</v>
      </c>
      <c r="G696" s="249">
        <f>11.02+20</f>
        <v>31.02</v>
      </c>
      <c r="H696" s="196">
        <f>IF(VLOOKUP(J696,'HOURLY RATES'!B$116:C$124,2,0)=0,$J$3,VLOOKUP(J696,'HOURLY RATES'!B$116:C$124,2,0))</f>
        <v>0.05</v>
      </c>
      <c r="I696" s="251">
        <f t="shared" ref="I696:I697" si="585">(G696*(1+H696))</f>
        <v>32.570999999999998</v>
      </c>
      <c r="J696" s="183" t="s">
        <v>19</v>
      </c>
      <c r="K696" s="368">
        <f>0.02*((12+8)*2)</f>
        <v>0.8</v>
      </c>
      <c r="L696" s="369">
        <f t="shared" si="573"/>
        <v>26.056799999999999</v>
      </c>
      <c r="M696" s="185">
        <f>IF(VLOOKUP(E696,'HOURLY RATES'!C$6:D$105,2,0)=0,$E$3,VLOOKUP(E696,'HOURLY RATES'!C$6:D$105,2,0))</f>
        <v>43.294082698125003</v>
      </c>
      <c r="N696" s="197">
        <f t="shared" ref="N696:N697" si="586">M696*L696</f>
        <v>1128.1052540485036</v>
      </c>
      <c r="O696" s="296">
        <f>12*8*0.186</f>
        <v>17.856000000000002</v>
      </c>
      <c r="P696" s="188">
        <f t="shared" ref="P696:P697" si="587">O696*I696</f>
        <v>581.58777599999996</v>
      </c>
      <c r="Q696" s="189">
        <f t="shared" ref="Q696:Q697" si="588">P696+N696</f>
        <v>1709.6930300485037</v>
      </c>
      <c r="R696" s="190"/>
      <c r="X696" s="212"/>
    </row>
    <row r="697" spans="1:24" s="12" customFormat="1" x14ac:dyDescent="0.2">
      <c r="A697" s="298">
        <f>IF(J697&lt;&gt;"",1+MAX($A$18:A696),"")</f>
        <v>437</v>
      </c>
      <c r="B697" s="299" t="s">
        <v>835</v>
      </c>
      <c r="C697" s="299" t="s">
        <v>835</v>
      </c>
      <c r="D697" s="208" t="s">
        <v>43</v>
      </c>
      <c r="E697" s="302" t="s">
        <v>237</v>
      </c>
      <c r="F697" s="305" t="s">
        <v>795</v>
      </c>
      <c r="G697" s="249">
        <v>30</v>
      </c>
      <c r="H697" s="196">
        <f>IF(VLOOKUP(J697,'HOURLY RATES'!B$116:C$124,2,0)=0,$J$3,VLOOKUP(J697,'HOURLY RATES'!B$116:C$124,2,0))</f>
        <v>0.05</v>
      </c>
      <c r="I697" s="251">
        <f t="shared" si="585"/>
        <v>31.5</v>
      </c>
      <c r="J697" s="183" t="s">
        <v>19</v>
      </c>
      <c r="K697" s="368">
        <f>0.02*((12+6)*2)</f>
        <v>0.72</v>
      </c>
      <c r="L697" s="369">
        <f t="shared" si="573"/>
        <v>22.68</v>
      </c>
      <c r="M697" s="185">
        <f>IF(VLOOKUP(E697,'HOURLY RATES'!C$6:D$105,2,0)=0,$E$3,VLOOKUP(E697,'HOURLY RATES'!C$6:D$105,2,0))</f>
        <v>43.294082698125003</v>
      </c>
      <c r="N697" s="197">
        <f t="shared" si="586"/>
        <v>981.909795593475</v>
      </c>
      <c r="O697" s="296">
        <f>12*6*0.186</f>
        <v>13.391999999999999</v>
      </c>
      <c r="P697" s="188">
        <f t="shared" si="587"/>
        <v>421.84799999999996</v>
      </c>
      <c r="Q697" s="189">
        <f t="shared" si="588"/>
        <v>1403.7577955934748</v>
      </c>
      <c r="R697" s="190"/>
      <c r="X697" s="212"/>
    </row>
    <row r="698" spans="1:24" s="12" customFormat="1" x14ac:dyDescent="0.2">
      <c r="A698" s="298">
        <f>IF(J698&lt;&gt;"",1+MAX($A$18:A697),"")</f>
        <v>438</v>
      </c>
      <c r="B698" s="299" t="s">
        <v>835</v>
      </c>
      <c r="C698" s="299" t="s">
        <v>835</v>
      </c>
      <c r="D698" s="208" t="s">
        <v>43</v>
      </c>
      <c r="E698" s="302" t="s">
        <v>237</v>
      </c>
      <c r="F698" s="305" t="s">
        <v>796</v>
      </c>
      <c r="G698" s="249">
        <v>10</v>
      </c>
      <c r="H698" s="196">
        <f>IF(VLOOKUP(J698,'HOURLY RATES'!B$116:C$124,2,0)=0,$J$3,VLOOKUP(J698,'HOURLY RATES'!B$116:C$124,2,0))</f>
        <v>0.05</v>
      </c>
      <c r="I698" s="251">
        <f>(G698*(1+H698))</f>
        <v>10.5</v>
      </c>
      <c r="J698" s="183" t="s">
        <v>19</v>
      </c>
      <c r="K698" s="368">
        <f>0.02*((6+3)*2)</f>
        <v>0.36</v>
      </c>
      <c r="L698" s="369">
        <f t="shared" si="573"/>
        <v>3.78</v>
      </c>
      <c r="M698" s="185">
        <f>IF(VLOOKUP(E698,'HOURLY RATES'!C$6:D$105,2,0)=0,$E$3,VLOOKUP(E698,'HOURLY RATES'!C$6:D$105,2,0))</f>
        <v>43.294082698125003</v>
      </c>
      <c r="N698" s="197">
        <f>M698*L698</f>
        <v>163.6516325989125</v>
      </c>
      <c r="O698" s="296">
        <f>6*3*0.186</f>
        <v>3.3479999999999999</v>
      </c>
      <c r="P698" s="188">
        <f>O698*I698</f>
        <v>35.153999999999996</v>
      </c>
      <c r="Q698" s="189">
        <f>P698+N698</f>
        <v>198.8056325989125</v>
      </c>
      <c r="R698" s="190"/>
      <c r="X698" s="212"/>
    </row>
    <row r="699" spans="1:24" s="12" customFormat="1" x14ac:dyDescent="0.2">
      <c r="A699" s="298" t="str">
        <f>IF(J699&lt;&gt;"",1+MAX($A$18:A698),"")</f>
        <v/>
      </c>
      <c r="B699" s="299"/>
      <c r="C699" s="299"/>
      <c r="D699" s="208"/>
      <c r="E699" s="302"/>
      <c r="F699" s="314"/>
      <c r="G699" s="288"/>
      <c r="H699" s="196"/>
      <c r="I699" s="251"/>
      <c r="J699" s="183"/>
      <c r="K699" s="368"/>
      <c r="L699" s="210"/>
      <c r="M699" s="185"/>
      <c r="N699" s="197"/>
      <c r="O699" s="296"/>
      <c r="P699" s="188"/>
      <c r="Q699" s="189"/>
      <c r="R699" s="190"/>
      <c r="X699" s="212"/>
    </row>
    <row r="700" spans="1:24" s="12" customFormat="1" x14ac:dyDescent="0.2">
      <c r="A700" s="200" t="str">
        <f>IF(J700&lt;&gt;"",1+MAX($A$18:A699),"")</f>
        <v/>
      </c>
      <c r="B700" s="299"/>
      <c r="C700" s="299"/>
      <c r="D700" s="208"/>
      <c r="E700" s="192"/>
      <c r="F700" s="332" t="s">
        <v>797</v>
      </c>
      <c r="G700" s="288"/>
      <c r="H700" s="196"/>
      <c r="I700" s="251"/>
      <c r="J700" s="183"/>
      <c r="K700" s="368"/>
      <c r="L700" s="210"/>
      <c r="M700" s="185"/>
      <c r="N700" s="197"/>
      <c r="O700" s="296"/>
      <c r="P700" s="188"/>
      <c r="Q700" s="189"/>
      <c r="R700" s="304"/>
      <c r="X700" s="212"/>
    </row>
    <row r="701" spans="1:24" s="12" customFormat="1" x14ac:dyDescent="0.2">
      <c r="A701" s="298">
        <f>IF(J701&lt;&gt;"",1+MAX($A$18:A700),"")</f>
        <v>439</v>
      </c>
      <c r="B701" s="299" t="s">
        <v>835</v>
      </c>
      <c r="C701" s="299" t="s">
        <v>835</v>
      </c>
      <c r="D701" s="208" t="s">
        <v>43</v>
      </c>
      <c r="E701" s="302" t="s">
        <v>237</v>
      </c>
      <c r="F701" s="305" t="s">
        <v>798</v>
      </c>
      <c r="G701" s="249">
        <f>44.96+60</f>
        <v>104.96000000000001</v>
      </c>
      <c r="H701" s="196">
        <f>IF(VLOOKUP(J701,'HOURLY RATES'!B$116:C$124,2,0)=0,$J$3,VLOOKUP(J701,'HOURLY RATES'!B$116:C$124,2,0))</f>
        <v>0.05</v>
      </c>
      <c r="I701" s="251">
        <f t="shared" ref="I701:I702" si="589">(G701*(1+H701))</f>
        <v>110.20800000000001</v>
      </c>
      <c r="J701" s="183" t="s">
        <v>19</v>
      </c>
      <c r="K701" s="368">
        <f>0.02*3.14*6</f>
        <v>0.37680000000000002</v>
      </c>
      <c r="L701" s="369">
        <f t="shared" ref="L701:L702" si="590">K701*I701</f>
        <v>41.526374400000009</v>
      </c>
      <c r="M701" s="185">
        <f>IF(VLOOKUP(E701,'HOURLY RATES'!C$6:D$105,2,0)=0,$E$3,VLOOKUP(E701,'HOURLY RATES'!C$6:D$105,2,0))</f>
        <v>43.294082698125003</v>
      </c>
      <c r="N701" s="197">
        <f t="shared" ref="N701:N702" si="591">M701*L701</f>
        <v>1797.8462874269014</v>
      </c>
      <c r="O701" s="296">
        <f>59.3/5</f>
        <v>11.86</v>
      </c>
      <c r="P701" s="188">
        <f t="shared" ref="P701:P702" si="592">O701*I701</f>
        <v>1307.0668800000001</v>
      </c>
      <c r="Q701" s="189">
        <f t="shared" ref="Q701:Q702" si="593">P701+N701</f>
        <v>3104.9131674269015</v>
      </c>
      <c r="R701" s="190"/>
      <c r="X701" s="212"/>
    </row>
    <row r="702" spans="1:24" s="12" customFormat="1" x14ac:dyDescent="0.2">
      <c r="A702" s="298">
        <f>IF(J702&lt;&gt;"",1+MAX($A$18:A701),"")</f>
        <v>440</v>
      </c>
      <c r="B702" s="299" t="s">
        <v>835</v>
      </c>
      <c r="C702" s="299" t="s">
        <v>835</v>
      </c>
      <c r="D702" s="208" t="s">
        <v>43</v>
      </c>
      <c r="E702" s="302" t="s">
        <v>237</v>
      </c>
      <c r="F702" s="305" t="s">
        <v>799</v>
      </c>
      <c r="G702" s="249">
        <f>8.44+10</f>
        <v>18.439999999999998</v>
      </c>
      <c r="H702" s="196">
        <f>IF(VLOOKUP(J702,'HOURLY RATES'!B$116:C$124,2,0)=0,$J$3,VLOOKUP(J702,'HOURLY RATES'!B$116:C$124,2,0))</f>
        <v>0.05</v>
      </c>
      <c r="I702" s="251">
        <f t="shared" si="589"/>
        <v>19.361999999999998</v>
      </c>
      <c r="J702" s="183" t="s">
        <v>19</v>
      </c>
      <c r="K702" s="368">
        <f>0.02*3.14*4</f>
        <v>0.25120000000000003</v>
      </c>
      <c r="L702" s="369">
        <f t="shared" si="590"/>
        <v>4.8637344000000002</v>
      </c>
      <c r="M702" s="185">
        <f>IF(VLOOKUP(E702,'HOURLY RATES'!C$6:D$105,2,0)=0,$E$3,VLOOKUP(E702,'HOURLY RATES'!C$6:D$105,2,0))</f>
        <v>43.294082698125003</v>
      </c>
      <c r="N702" s="197">
        <f t="shared" si="591"/>
        <v>210.57091933531541</v>
      </c>
      <c r="O702" s="296">
        <f>45/5</f>
        <v>9</v>
      </c>
      <c r="P702" s="188">
        <f t="shared" si="592"/>
        <v>174.25799999999998</v>
      </c>
      <c r="Q702" s="189">
        <f t="shared" si="593"/>
        <v>384.82891933531539</v>
      </c>
      <c r="R702" s="190"/>
      <c r="X702" s="212"/>
    </row>
    <row r="703" spans="1:24" s="12" customFormat="1" x14ac:dyDescent="0.2">
      <c r="A703" s="298" t="str">
        <f>IF(J703&lt;&gt;"",1+MAX($A$18:A702),"")</f>
        <v/>
      </c>
      <c r="B703" s="299"/>
      <c r="C703" s="299" t="s">
        <v>836</v>
      </c>
      <c r="D703" s="208"/>
      <c r="E703" s="302"/>
      <c r="F703" s="353" t="s">
        <v>800</v>
      </c>
      <c r="G703" s="249"/>
      <c r="H703" s="196"/>
      <c r="I703" s="251"/>
      <c r="J703" s="183"/>
      <c r="K703" s="368"/>
      <c r="L703" s="369"/>
      <c r="M703" s="185"/>
      <c r="N703" s="197"/>
      <c r="O703" s="296"/>
      <c r="P703" s="188"/>
      <c r="Q703" s="189"/>
      <c r="R703" s="190"/>
      <c r="X703" s="212"/>
    </row>
    <row r="704" spans="1:24" s="12" customFormat="1" ht="20.100000000000001" customHeight="1" x14ac:dyDescent="0.2">
      <c r="A704" s="298" t="str">
        <f>IF(J704&lt;&gt;"",1+MAX($A$18:A703),"")</f>
        <v/>
      </c>
      <c r="B704" s="299"/>
      <c r="C704" s="299"/>
      <c r="D704" s="208"/>
      <c r="E704" s="302"/>
      <c r="F704" s="314"/>
      <c r="G704" s="288"/>
      <c r="H704" s="196"/>
      <c r="I704" s="251"/>
      <c r="J704" s="183"/>
      <c r="K704" s="368"/>
      <c r="L704" s="210"/>
      <c r="M704" s="185"/>
      <c r="N704" s="197"/>
      <c r="O704" s="296"/>
      <c r="P704" s="188"/>
      <c r="Q704" s="189"/>
      <c r="R704" s="190"/>
      <c r="X704" s="212"/>
    </row>
    <row r="705" spans="1:24" s="12" customFormat="1" ht="20.100000000000001" customHeight="1" x14ac:dyDescent="0.2">
      <c r="A705" s="298" t="str">
        <f>IF(J705&lt;&gt;"",1+MAX($A$18:A704),"")</f>
        <v/>
      </c>
      <c r="B705" s="299"/>
      <c r="C705" s="299"/>
      <c r="D705" s="208"/>
      <c r="E705" s="302"/>
      <c r="F705" s="381" t="s">
        <v>801</v>
      </c>
      <c r="G705" s="288"/>
      <c r="H705" s="196"/>
      <c r="I705" s="251"/>
      <c r="J705" s="183"/>
      <c r="K705" s="368"/>
      <c r="L705" s="210"/>
      <c r="M705" s="185"/>
      <c r="N705" s="197"/>
      <c r="O705" s="296"/>
      <c r="P705" s="188"/>
      <c r="Q705" s="189"/>
      <c r="R705" s="190"/>
      <c r="X705" s="212"/>
    </row>
    <row r="706" spans="1:24" s="12" customFormat="1" x14ac:dyDescent="0.2">
      <c r="A706" s="298">
        <f>IF(J706&lt;&gt;"",1+MAX($A$18:A705),"")</f>
        <v>441</v>
      </c>
      <c r="B706" s="299" t="s">
        <v>835</v>
      </c>
      <c r="C706" s="299" t="s">
        <v>837</v>
      </c>
      <c r="D706" s="208" t="s">
        <v>43</v>
      </c>
      <c r="E706" s="302" t="s">
        <v>237</v>
      </c>
      <c r="F706" s="305" t="s">
        <v>889</v>
      </c>
      <c r="G706" s="249">
        <v>20</v>
      </c>
      <c r="H706" s="196">
        <f>IF(VLOOKUP(J706,'HOURLY RATES'!B$116:C$124,2,0)=0,$J$3,VLOOKUP(J706,'HOURLY RATES'!B$116:C$124,2,0))</f>
        <v>0.05</v>
      </c>
      <c r="I706" s="251">
        <f t="shared" ref="I706" si="594">(G706*(1+H706))</f>
        <v>21</v>
      </c>
      <c r="J706" s="183" t="s">
        <v>19</v>
      </c>
      <c r="K706" s="368">
        <v>0.11</v>
      </c>
      <c r="L706" s="369">
        <f t="shared" ref="L706" si="595">K706*I706</f>
        <v>2.31</v>
      </c>
      <c r="M706" s="185">
        <f>IF(VLOOKUP(E706,'HOURLY RATES'!C$6:D$105,2,0)=0,$E$3,VLOOKUP(E706,'HOURLY RATES'!C$6:D$105,2,0))</f>
        <v>43.294082698125003</v>
      </c>
      <c r="N706" s="197">
        <f t="shared" ref="N706" si="596">M706*L706</f>
        <v>100.00933103266875</v>
      </c>
      <c r="O706" s="296">
        <v>7.3</v>
      </c>
      <c r="P706" s="188">
        <f t="shared" ref="P706" si="597">O706*I706</f>
        <v>153.29999999999998</v>
      </c>
      <c r="Q706" s="189">
        <f t="shared" ref="Q706" si="598">P706+N706</f>
        <v>253.30933103266875</v>
      </c>
      <c r="R706" s="190"/>
      <c r="X706" s="212"/>
    </row>
    <row r="707" spans="1:24" s="12" customFormat="1" x14ac:dyDescent="0.2">
      <c r="A707" s="298">
        <f>IF(J707&lt;&gt;"",1+MAX($A$18:A706),"")</f>
        <v>442</v>
      </c>
      <c r="B707" s="299" t="s">
        <v>835</v>
      </c>
      <c r="C707" s="299" t="s">
        <v>838</v>
      </c>
      <c r="D707" s="208" t="s">
        <v>43</v>
      </c>
      <c r="E707" s="302" t="s">
        <v>237</v>
      </c>
      <c r="F707" s="305" t="s">
        <v>802</v>
      </c>
      <c r="G707" s="249">
        <v>72.98</v>
      </c>
      <c r="H707" s="196">
        <f>IF(VLOOKUP(J707,'HOURLY RATES'!B$116:C$124,2,0)=0,$J$3,VLOOKUP(J707,'HOURLY RATES'!B$116:C$124,2,0))</f>
        <v>0.05</v>
      </c>
      <c r="I707" s="251">
        <f t="shared" ref="I707:I708" si="599">(G707*(1+H707))</f>
        <v>76.629000000000005</v>
      </c>
      <c r="J707" s="183" t="s">
        <v>19</v>
      </c>
      <c r="K707" s="368">
        <v>0.26400000000000001</v>
      </c>
      <c r="L707" s="369">
        <f t="shared" ref="L707:L708" si="600">K707*I707</f>
        <v>20.230056000000001</v>
      </c>
      <c r="M707" s="185">
        <f>IF(VLOOKUP(E707,'HOURLY RATES'!C$6:D$105,2,0)=0,$E$3,VLOOKUP(E707,'HOURLY RATES'!C$6:D$105,2,0))</f>
        <v>43.294082698125003</v>
      </c>
      <c r="N707" s="197">
        <f t="shared" ref="N707:N708" si="601">M707*L707</f>
        <v>875.84171745169999</v>
      </c>
      <c r="O707" s="296">
        <v>4.4000000000000004</v>
      </c>
      <c r="P707" s="188">
        <f t="shared" ref="P707:P708" si="602">O707*I707</f>
        <v>337.16760000000005</v>
      </c>
      <c r="Q707" s="189">
        <f t="shared" ref="Q707:Q708" si="603">P707+N707</f>
        <v>1213.0093174517001</v>
      </c>
      <c r="R707" s="190"/>
      <c r="X707" s="212"/>
    </row>
    <row r="708" spans="1:24" s="12" customFormat="1" x14ac:dyDescent="0.2">
      <c r="A708" s="298">
        <f>IF(J708&lt;&gt;"",1+MAX($A$18:A707),"")</f>
        <v>443</v>
      </c>
      <c r="B708" s="299" t="s">
        <v>835</v>
      </c>
      <c r="C708" s="299" t="s">
        <v>835</v>
      </c>
      <c r="D708" s="208" t="s">
        <v>43</v>
      </c>
      <c r="E708" s="302" t="s">
        <v>237</v>
      </c>
      <c r="F708" s="305" t="s">
        <v>803</v>
      </c>
      <c r="G708" s="249">
        <f>10*6</f>
        <v>60</v>
      </c>
      <c r="H708" s="196">
        <f>IF(VLOOKUP(J708,'HOURLY RATES'!B$116:C$124,2,0)=0,$J$3,VLOOKUP(J708,'HOURLY RATES'!B$116:C$124,2,0))</f>
        <v>0.05</v>
      </c>
      <c r="I708" s="251">
        <f t="shared" si="599"/>
        <v>63</v>
      </c>
      <c r="J708" s="183" t="s">
        <v>19</v>
      </c>
      <c r="K708" s="368">
        <v>0.29099999999999998</v>
      </c>
      <c r="L708" s="369">
        <f t="shared" si="600"/>
        <v>18.332999999999998</v>
      </c>
      <c r="M708" s="185">
        <f>IF(VLOOKUP(E708,'HOURLY RATES'!C$6:D$105,2,0)=0,$E$3,VLOOKUP(E708,'HOURLY RATES'!C$6:D$105,2,0))</f>
        <v>43.294082698125003</v>
      </c>
      <c r="N708" s="197">
        <f t="shared" si="601"/>
        <v>793.71041810472559</v>
      </c>
      <c r="O708" s="296">
        <v>5.96</v>
      </c>
      <c r="P708" s="188">
        <f t="shared" si="602"/>
        <v>375.48</v>
      </c>
      <c r="Q708" s="189">
        <f t="shared" si="603"/>
        <v>1169.1904181047257</v>
      </c>
      <c r="R708" s="190"/>
      <c r="X708" s="212"/>
    </row>
    <row r="709" spans="1:24" s="12" customFormat="1" x14ac:dyDescent="0.2">
      <c r="A709" s="298" t="str">
        <f>IF(J709&lt;&gt;"",1+MAX($A$18:A708),"")</f>
        <v/>
      </c>
      <c r="B709" s="299"/>
      <c r="C709" s="299"/>
      <c r="D709" s="208"/>
      <c r="E709" s="302"/>
      <c r="F709" s="305"/>
      <c r="G709" s="249"/>
      <c r="H709" s="196"/>
      <c r="I709" s="251"/>
      <c r="J709" s="183"/>
      <c r="K709" s="368"/>
      <c r="L709" s="369"/>
      <c r="M709" s="185"/>
      <c r="N709" s="197"/>
      <c r="O709" s="296"/>
      <c r="P709" s="188"/>
      <c r="Q709" s="189"/>
      <c r="R709" s="190"/>
      <c r="X709" s="212"/>
    </row>
    <row r="710" spans="1:24" s="12" customFormat="1" x14ac:dyDescent="0.2">
      <c r="A710" s="298">
        <f>IF(J710&lt;&gt;"",1+MAX($A$18:A709),"")</f>
        <v>444</v>
      </c>
      <c r="B710" s="299" t="s">
        <v>835</v>
      </c>
      <c r="C710" s="299" t="s">
        <v>839</v>
      </c>
      <c r="D710" s="208" t="s">
        <v>43</v>
      </c>
      <c r="E710" s="302" t="s">
        <v>237</v>
      </c>
      <c r="F710" s="305" t="s">
        <v>804</v>
      </c>
      <c r="G710" s="249">
        <f>G706</f>
        <v>20</v>
      </c>
      <c r="H710" s="196">
        <f>IF(VLOOKUP(J710,'HOURLY RATES'!B$116:C$124,2,0)=0,$J$3,VLOOKUP(J710,'HOURLY RATES'!B$116:C$124,2,0))</f>
        <v>0.05</v>
      </c>
      <c r="I710" s="251">
        <f t="shared" ref="I710" si="604">(G710*(1+H710))</f>
        <v>21</v>
      </c>
      <c r="J710" s="183" t="s">
        <v>19</v>
      </c>
      <c r="K710" s="368">
        <v>0.125</v>
      </c>
      <c r="L710" s="369">
        <f t="shared" ref="L710:L711" si="605">K710*I710</f>
        <v>2.625</v>
      </c>
      <c r="M710" s="185">
        <f>IF(VLOOKUP(E710,'HOURLY RATES'!C$6:D$105,2,0)=0,$E$3,VLOOKUP(E710,'HOURLY RATES'!C$6:D$105,2,0))</f>
        <v>43.294082698125003</v>
      </c>
      <c r="N710" s="197">
        <f t="shared" ref="N710" si="606">M710*L710</f>
        <v>113.64696708257813</v>
      </c>
      <c r="O710" s="296">
        <f>5.88/3</f>
        <v>1.96</v>
      </c>
      <c r="P710" s="188">
        <f t="shared" ref="P710" si="607">O710*I710</f>
        <v>41.16</v>
      </c>
      <c r="Q710" s="189">
        <f t="shared" ref="Q710" si="608">P710+N710</f>
        <v>154.80696708257813</v>
      </c>
      <c r="R710" s="190"/>
      <c r="X710" s="212"/>
    </row>
    <row r="711" spans="1:24" s="12" customFormat="1" x14ac:dyDescent="0.2">
      <c r="A711" s="298">
        <f>IF(J711&lt;&gt;"",1+MAX($A$18:A710),"")</f>
        <v>445</v>
      </c>
      <c r="B711" s="299" t="s">
        <v>835</v>
      </c>
      <c r="C711" s="299" t="s">
        <v>839</v>
      </c>
      <c r="D711" s="208" t="s">
        <v>43</v>
      </c>
      <c r="E711" s="302" t="s">
        <v>237</v>
      </c>
      <c r="F711" s="305" t="s">
        <v>805</v>
      </c>
      <c r="G711" s="249">
        <v>1452</v>
      </c>
      <c r="H711" s="196">
        <f>IF(VLOOKUP(J711,'HOURLY RATES'!B$116:C$124,2,0)=0,$J$3,VLOOKUP(J711,'HOURLY RATES'!B$116:C$124,2,0))</f>
        <v>0.05</v>
      </c>
      <c r="I711" s="251">
        <f>(G711*(1+H711))</f>
        <v>1524.6000000000001</v>
      </c>
      <c r="J711" s="183" t="s">
        <v>17</v>
      </c>
      <c r="K711" s="368">
        <v>6.5000000000000002E-2</v>
      </c>
      <c r="L711" s="369">
        <f t="shared" si="605"/>
        <v>99.099000000000018</v>
      </c>
      <c r="M711" s="185">
        <f>IF(VLOOKUP(E711,'HOURLY RATES'!C$6:D$105,2,0)=0,$E$3,VLOOKUP(E711,'HOURLY RATES'!C$6:D$105,2,0))</f>
        <v>43.294082698125003</v>
      </c>
      <c r="N711" s="197">
        <f>M711*L711</f>
        <v>4290.4003013014908</v>
      </c>
      <c r="O711" s="296">
        <f>290/300</f>
        <v>0.96666666666666667</v>
      </c>
      <c r="P711" s="188">
        <f>O711*I711</f>
        <v>1473.7800000000002</v>
      </c>
      <c r="Q711" s="189">
        <f>P711+N711</f>
        <v>5764.1803013014905</v>
      </c>
      <c r="R711" s="190"/>
      <c r="X711" s="212"/>
    </row>
    <row r="712" spans="1:24" s="12" customFormat="1" x14ac:dyDescent="0.2">
      <c r="A712" s="298">
        <f>IF(J712&lt;&gt;"",1+MAX($A$18:A711),"")</f>
        <v>446</v>
      </c>
      <c r="B712" s="299" t="s">
        <v>835</v>
      </c>
      <c r="C712" s="299" t="s">
        <v>835</v>
      </c>
      <c r="D712" s="208" t="s">
        <v>43</v>
      </c>
      <c r="E712" s="302" t="s">
        <v>237</v>
      </c>
      <c r="F712" s="305" t="s">
        <v>890</v>
      </c>
      <c r="G712" s="249">
        <v>1452</v>
      </c>
      <c r="H712" s="196">
        <f>IF(VLOOKUP(J712,'HOURLY RATES'!B$116:C$124,2,0)=0,$J$3,VLOOKUP(J712,'HOURLY RATES'!B$116:C$124,2,0))</f>
        <v>0.05</v>
      </c>
      <c r="I712" s="251">
        <f>(G712*(1+H712))</f>
        <v>1524.6000000000001</v>
      </c>
      <c r="J712" s="183" t="s">
        <v>17</v>
      </c>
      <c r="K712" s="368">
        <v>0.05</v>
      </c>
      <c r="L712" s="369">
        <f t="shared" ref="L712" si="609">K712*I712</f>
        <v>76.23</v>
      </c>
      <c r="M712" s="185">
        <f>IF(VLOOKUP(E712,'HOURLY RATES'!C$6:D$105,2,0)=0,$E$3,VLOOKUP(E712,'HOURLY RATES'!C$6:D$105,2,0))</f>
        <v>43.294082698125003</v>
      </c>
      <c r="N712" s="197">
        <f>M712*L712</f>
        <v>3300.3079240780689</v>
      </c>
      <c r="O712" s="296">
        <v>1.2</v>
      </c>
      <c r="P712" s="188">
        <f>O712*I712</f>
        <v>1829.5200000000002</v>
      </c>
      <c r="Q712" s="189">
        <f>P712+N712</f>
        <v>5129.8279240780694</v>
      </c>
      <c r="R712" s="190"/>
      <c r="X712" s="212"/>
    </row>
    <row r="713" spans="1:24" s="12" customFormat="1" ht="20.100000000000001" customHeight="1" x14ac:dyDescent="0.25">
      <c r="A713" s="298" t="str">
        <f>IF(J713&lt;&gt;"",1+MAX($A$18:A712),"")</f>
        <v/>
      </c>
      <c r="B713" s="299"/>
      <c r="C713" s="299"/>
      <c r="D713" s="208"/>
      <c r="E713" s="302"/>
      <c r="F713" s="379"/>
      <c r="G713" s="379"/>
      <c r="H713" s="196"/>
      <c r="I713" s="251"/>
      <c r="J713" s="183"/>
      <c r="K713" s="368"/>
      <c r="L713" s="210"/>
      <c r="M713" s="185"/>
      <c r="N713" s="197"/>
      <c r="O713" s="296"/>
      <c r="P713" s="188"/>
      <c r="Q713" s="189"/>
      <c r="R713" s="190"/>
      <c r="X713" s="212"/>
    </row>
    <row r="714" spans="1:24" s="12" customFormat="1" x14ac:dyDescent="0.2">
      <c r="A714" s="298" t="str">
        <f>IF(J714&lt;&gt;"",1+MAX($A$18:A713),"")</f>
        <v/>
      </c>
      <c r="B714" s="299"/>
      <c r="C714" s="299"/>
      <c r="D714" s="208"/>
      <c r="E714" s="302"/>
      <c r="F714" s="331" t="s">
        <v>806</v>
      </c>
      <c r="G714" s="288"/>
      <c r="H714" s="196"/>
      <c r="I714" s="251"/>
      <c r="J714" s="183"/>
      <c r="K714" s="368"/>
      <c r="L714" s="210"/>
      <c r="M714" s="185"/>
      <c r="N714" s="197"/>
      <c r="O714" s="296"/>
      <c r="P714" s="188"/>
      <c r="Q714" s="189"/>
      <c r="R714" s="190"/>
      <c r="X714" s="212"/>
    </row>
    <row r="715" spans="1:24" s="12" customFormat="1" x14ac:dyDescent="0.2">
      <c r="A715" s="298" t="str">
        <f>IF(J715&lt;&gt;"",1+MAX($A$18:A714),"")</f>
        <v/>
      </c>
      <c r="B715" s="299"/>
      <c r="C715" s="299"/>
      <c r="D715" s="208"/>
      <c r="E715" s="302"/>
      <c r="F715" s="332" t="s">
        <v>807</v>
      </c>
      <c r="G715" s="288"/>
      <c r="H715" s="196"/>
      <c r="I715" s="251"/>
      <c r="J715" s="183"/>
      <c r="K715" s="368"/>
      <c r="L715" s="210"/>
      <c r="M715" s="185"/>
      <c r="N715" s="197"/>
      <c r="O715" s="296"/>
      <c r="P715" s="188"/>
      <c r="Q715" s="189"/>
      <c r="R715" s="190"/>
      <c r="X715" s="212"/>
    </row>
    <row r="716" spans="1:24" s="12" customFormat="1" x14ac:dyDescent="0.2">
      <c r="A716" s="298">
        <f>IF(J716&lt;&gt;"",1+MAX($A$18:A715),"")</f>
        <v>447</v>
      </c>
      <c r="B716" s="299" t="s">
        <v>835</v>
      </c>
      <c r="C716" s="299" t="s">
        <v>835</v>
      </c>
      <c r="D716" s="208" t="s">
        <v>43</v>
      </c>
      <c r="E716" s="302" t="s">
        <v>237</v>
      </c>
      <c r="F716" s="305" t="s">
        <v>900</v>
      </c>
      <c r="G716" s="249">
        <v>2</v>
      </c>
      <c r="H716" s="196">
        <f>IF(VLOOKUP(J716,'HOURLY RATES'!B$116:C$124,2,0)=0,$J$3,VLOOKUP(J716,'HOURLY RATES'!B$116:C$124,2,0))</f>
        <v>0</v>
      </c>
      <c r="I716" s="251">
        <f t="shared" ref="I716:I717" si="610">(G716*(1+H716))</f>
        <v>2</v>
      </c>
      <c r="J716" s="183" t="s">
        <v>16</v>
      </c>
      <c r="K716" s="368">
        <v>1.23</v>
      </c>
      <c r="L716" s="369">
        <f t="shared" ref="L716:L725" si="611">K716*I716</f>
        <v>2.46</v>
      </c>
      <c r="M716" s="185">
        <f>IF(VLOOKUP(E716,'HOURLY RATES'!C$6:D$105,2,0)=0,$E$3,VLOOKUP(E716,'HOURLY RATES'!C$6:D$105,2,0))</f>
        <v>43.294082698125003</v>
      </c>
      <c r="N716" s="197">
        <f t="shared" ref="N716:N717" si="612">M716*L716</f>
        <v>106.5034434373875</v>
      </c>
      <c r="O716" s="296">
        <v>33.840000000000003</v>
      </c>
      <c r="P716" s="188">
        <f t="shared" ref="P716:P717" si="613">O716*I716</f>
        <v>67.680000000000007</v>
      </c>
      <c r="Q716" s="189">
        <f t="shared" ref="Q716:Q717" si="614">P716+N716</f>
        <v>174.1834434373875</v>
      </c>
      <c r="R716" s="190"/>
      <c r="X716" s="212"/>
    </row>
    <row r="717" spans="1:24" s="12" customFormat="1" x14ac:dyDescent="0.2">
      <c r="A717" s="298">
        <f>IF(J717&lt;&gt;"",1+MAX($A$18:A716),"")</f>
        <v>448</v>
      </c>
      <c r="B717" s="299" t="s">
        <v>835</v>
      </c>
      <c r="C717" s="299" t="s">
        <v>835</v>
      </c>
      <c r="D717" s="208" t="s">
        <v>43</v>
      </c>
      <c r="E717" s="302" t="s">
        <v>237</v>
      </c>
      <c r="F717" s="305" t="s">
        <v>899</v>
      </c>
      <c r="G717" s="249">
        <v>3</v>
      </c>
      <c r="H717" s="196">
        <f>IF(VLOOKUP(J717,'HOURLY RATES'!B$116:C$124,2,0)=0,$J$3,VLOOKUP(J717,'HOURLY RATES'!B$116:C$124,2,0))</f>
        <v>0</v>
      </c>
      <c r="I717" s="251">
        <f t="shared" si="610"/>
        <v>3</v>
      </c>
      <c r="J717" s="183" t="s">
        <v>16</v>
      </c>
      <c r="K717" s="368">
        <v>1.23</v>
      </c>
      <c r="L717" s="369">
        <f t="shared" si="611"/>
        <v>3.69</v>
      </c>
      <c r="M717" s="185">
        <f>IF(VLOOKUP(E717,'HOURLY RATES'!C$6:D$105,2,0)=0,$E$3,VLOOKUP(E717,'HOURLY RATES'!C$6:D$105,2,0))</f>
        <v>43.294082698125003</v>
      </c>
      <c r="N717" s="197">
        <f t="shared" si="612"/>
        <v>159.75516515608126</v>
      </c>
      <c r="O717" s="296">
        <v>33.840000000000003</v>
      </c>
      <c r="P717" s="188">
        <f t="shared" si="613"/>
        <v>101.52000000000001</v>
      </c>
      <c r="Q717" s="189">
        <f t="shared" si="614"/>
        <v>261.27516515608124</v>
      </c>
      <c r="R717" s="190"/>
      <c r="X717" s="212"/>
    </row>
    <row r="718" spans="1:24" s="12" customFormat="1" x14ac:dyDescent="0.2">
      <c r="A718" s="298">
        <f>IF(J718&lt;&gt;"",1+MAX($A$18:A717),"")</f>
        <v>449</v>
      </c>
      <c r="B718" s="299" t="s">
        <v>835</v>
      </c>
      <c r="C718" s="299" t="s">
        <v>835</v>
      </c>
      <c r="D718" s="208" t="s">
        <v>43</v>
      </c>
      <c r="E718" s="302" t="s">
        <v>237</v>
      </c>
      <c r="F718" s="305" t="s">
        <v>808</v>
      </c>
      <c r="G718" s="249">
        <v>1</v>
      </c>
      <c r="H718" s="196">
        <f>IF(VLOOKUP(J718,'HOURLY RATES'!B$116:C$124,2,0)=0,$J$3,VLOOKUP(J718,'HOURLY RATES'!B$116:C$124,2,0))</f>
        <v>0</v>
      </c>
      <c r="I718" s="251">
        <f>(G718*(1+H718))</f>
        <v>1</v>
      </c>
      <c r="J718" s="183" t="s">
        <v>16</v>
      </c>
      <c r="K718" s="368">
        <v>1.23</v>
      </c>
      <c r="L718" s="369">
        <f t="shared" si="611"/>
        <v>1.23</v>
      </c>
      <c r="M718" s="185">
        <f>IF(VLOOKUP(E718,'HOURLY RATES'!C$6:D$105,2,0)=0,$E$3,VLOOKUP(E718,'HOURLY RATES'!C$6:D$105,2,0))</f>
        <v>43.294082698125003</v>
      </c>
      <c r="N718" s="197">
        <f>M718*L718</f>
        <v>53.251721718693751</v>
      </c>
      <c r="O718" s="296">
        <v>33.840000000000003</v>
      </c>
      <c r="P718" s="188">
        <f>O718*I718</f>
        <v>33.840000000000003</v>
      </c>
      <c r="Q718" s="189">
        <f>P718+N718</f>
        <v>87.091721718693748</v>
      </c>
      <c r="R718" s="190"/>
      <c r="X718" s="212"/>
    </row>
    <row r="719" spans="1:24" s="12" customFormat="1" x14ac:dyDescent="0.2">
      <c r="A719" s="298">
        <f>IF(J719&lt;&gt;"",1+MAX($A$18:A718),"")</f>
        <v>450</v>
      </c>
      <c r="B719" s="299" t="s">
        <v>835</v>
      </c>
      <c r="C719" s="299" t="s">
        <v>835</v>
      </c>
      <c r="D719" s="208" t="s">
        <v>43</v>
      </c>
      <c r="E719" s="302" t="s">
        <v>237</v>
      </c>
      <c r="F719" s="305" t="s">
        <v>809</v>
      </c>
      <c r="G719" s="249">
        <v>3</v>
      </c>
      <c r="H719" s="196">
        <f>IF(VLOOKUP(J719,'HOURLY RATES'!B$116:C$124,2,0)=0,$J$3,VLOOKUP(J719,'HOURLY RATES'!B$116:C$124,2,0))</f>
        <v>0</v>
      </c>
      <c r="I719" s="251">
        <f>(G719*(1+H719))</f>
        <v>3</v>
      </c>
      <c r="J719" s="183" t="s">
        <v>16</v>
      </c>
      <c r="K719" s="368">
        <v>1.11375</v>
      </c>
      <c r="L719" s="369">
        <f t="shared" si="611"/>
        <v>3.3412500000000001</v>
      </c>
      <c r="M719" s="185">
        <f>IF(VLOOKUP(E719,'HOURLY RATES'!C$6:D$105,2,0)=0,$E$3,VLOOKUP(E719,'HOURLY RATES'!C$6:D$105,2,0))</f>
        <v>43.294082698125003</v>
      </c>
      <c r="N719" s="197">
        <f>M719*L719</f>
        <v>144.65635381511018</v>
      </c>
      <c r="O719" s="296">
        <v>25.28</v>
      </c>
      <c r="P719" s="188">
        <f>O719*I719</f>
        <v>75.84</v>
      </c>
      <c r="Q719" s="189">
        <f>P719+N719</f>
        <v>220.49635381511018</v>
      </c>
      <c r="R719" s="190"/>
      <c r="X719" s="212"/>
    </row>
    <row r="720" spans="1:24" s="12" customFormat="1" x14ac:dyDescent="0.2">
      <c r="A720" s="298">
        <f>IF(J720&lt;&gt;"",1+MAX($A$18:A719),"")</f>
        <v>451</v>
      </c>
      <c r="B720" s="299" t="s">
        <v>835</v>
      </c>
      <c r="C720" s="299" t="s">
        <v>835</v>
      </c>
      <c r="D720" s="208" t="s">
        <v>43</v>
      </c>
      <c r="E720" s="302" t="s">
        <v>237</v>
      </c>
      <c r="F720" s="305" t="s">
        <v>810</v>
      </c>
      <c r="G720" s="249">
        <v>2</v>
      </c>
      <c r="H720" s="196">
        <f>IF(VLOOKUP(J720,'HOURLY RATES'!B$116:C$124,2,0)=0,$J$3,VLOOKUP(J720,'HOURLY RATES'!B$116:C$124,2,0))</f>
        <v>0</v>
      </c>
      <c r="I720" s="251">
        <f t="shared" ref="I720" si="615">(G720*(1+H720))</f>
        <v>2</v>
      </c>
      <c r="J720" s="183" t="s">
        <v>16</v>
      </c>
      <c r="K720" s="368">
        <v>1.23</v>
      </c>
      <c r="L720" s="369">
        <f t="shared" si="611"/>
        <v>2.46</v>
      </c>
      <c r="M720" s="185">
        <f>IF(VLOOKUP(E720,'HOURLY RATES'!C$6:D$105,2,0)=0,$E$3,VLOOKUP(E720,'HOURLY RATES'!C$6:D$105,2,0))</f>
        <v>43.294082698125003</v>
      </c>
      <c r="N720" s="197">
        <f t="shared" ref="N720" si="616">M720*L720</f>
        <v>106.5034434373875</v>
      </c>
      <c r="O720" s="296">
        <v>33.840000000000003</v>
      </c>
      <c r="P720" s="188">
        <f t="shared" ref="P720" si="617">O720*I720</f>
        <v>67.680000000000007</v>
      </c>
      <c r="Q720" s="189">
        <f t="shared" ref="Q720" si="618">P720+N720</f>
        <v>174.1834434373875</v>
      </c>
      <c r="R720" s="190"/>
      <c r="X720" s="212"/>
    </row>
    <row r="721" spans="1:24" s="12" customFormat="1" x14ac:dyDescent="0.2">
      <c r="A721" s="298">
        <f>IF(J721&lt;&gt;"",1+MAX($A$18:A720),"")</f>
        <v>452</v>
      </c>
      <c r="B721" s="299" t="s">
        <v>835</v>
      </c>
      <c r="C721" s="299" t="s">
        <v>835</v>
      </c>
      <c r="D721" s="208" t="s">
        <v>43</v>
      </c>
      <c r="E721" s="302" t="s">
        <v>237</v>
      </c>
      <c r="F721" s="305" t="s">
        <v>901</v>
      </c>
      <c r="G721" s="249">
        <v>2</v>
      </c>
      <c r="H721" s="196">
        <f>IF(VLOOKUP(J721,'HOURLY RATES'!B$116:C$124,2,0)=0,$J$3,VLOOKUP(J721,'HOURLY RATES'!B$116:C$124,2,0))</f>
        <v>0</v>
      </c>
      <c r="I721" s="251">
        <f t="shared" ref="I721" si="619">(G721*(1+H721))</f>
        <v>2</v>
      </c>
      <c r="J721" s="183" t="s">
        <v>16</v>
      </c>
      <c r="K721" s="368">
        <v>1.23</v>
      </c>
      <c r="L721" s="369">
        <f t="shared" ref="L721" si="620">K721*I721</f>
        <v>2.46</v>
      </c>
      <c r="M721" s="185">
        <f>IF(VLOOKUP(E721,'HOURLY RATES'!C$6:D$105,2,0)=0,$E$3,VLOOKUP(E721,'HOURLY RATES'!C$6:D$105,2,0))</f>
        <v>43.294082698125003</v>
      </c>
      <c r="N721" s="197">
        <f t="shared" ref="N721" si="621">M721*L721</f>
        <v>106.5034434373875</v>
      </c>
      <c r="O721" s="296">
        <v>33.840000000000003</v>
      </c>
      <c r="P721" s="188">
        <f t="shared" ref="P721" si="622">O721*I721</f>
        <v>67.680000000000007</v>
      </c>
      <c r="Q721" s="189">
        <f t="shared" ref="Q721" si="623">P721+N721</f>
        <v>174.1834434373875</v>
      </c>
      <c r="R721" s="190"/>
      <c r="X721" s="212"/>
    </row>
    <row r="722" spans="1:24" s="12" customFormat="1" x14ac:dyDescent="0.2">
      <c r="A722" s="298">
        <f>IF(J722&lt;&gt;"",1+MAX($A$18:A721),"")</f>
        <v>453</v>
      </c>
      <c r="B722" s="299" t="s">
        <v>835</v>
      </c>
      <c r="C722" s="299" t="s">
        <v>835</v>
      </c>
      <c r="D722" s="208" t="s">
        <v>43</v>
      </c>
      <c r="E722" s="302" t="s">
        <v>237</v>
      </c>
      <c r="F722" s="305" t="s">
        <v>902</v>
      </c>
      <c r="G722" s="249">
        <v>1</v>
      </c>
      <c r="H722" s="196">
        <f>IF(VLOOKUP(J722,'HOURLY RATES'!B$116:C$124,2,0)=0,$J$3,VLOOKUP(J722,'HOURLY RATES'!B$116:C$124,2,0))</f>
        <v>0</v>
      </c>
      <c r="I722" s="251">
        <f>(G722*(1+H722))</f>
        <v>1</v>
      </c>
      <c r="J722" s="183" t="s">
        <v>16</v>
      </c>
      <c r="K722" s="368">
        <v>1.23</v>
      </c>
      <c r="L722" s="369">
        <f t="shared" si="611"/>
        <v>1.23</v>
      </c>
      <c r="M722" s="185">
        <f>IF(VLOOKUP(E722,'HOURLY RATES'!C$6:D$105,2,0)=0,$E$3,VLOOKUP(E722,'HOURLY RATES'!C$6:D$105,2,0))</f>
        <v>43.294082698125003</v>
      </c>
      <c r="N722" s="197">
        <f>M722*L722</f>
        <v>53.251721718693751</v>
      </c>
      <c r="O722" s="296">
        <v>33.840000000000003</v>
      </c>
      <c r="P722" s="188">
        <f>O722*I722</f>
        <v>33.840000000000003</v>
      </c>
      <c r="Q722" s="189">
        <f>P722+N722</f>
        <v>87.091721718693748</v>
      </c>
      <c r="R722" s="190"/>
      <c r="X722" s="212"/>
    </row>
    <row r="723" spans="1:24" s="12" customFormat="1" x14ac:dyDescent="0.2">
      <c r="A723" s="298">
        <f>IF(J723&lt;&gt;"",1+MAX($A$18:A722),"")</f>
        <v>454</v>
      </c>
      <c r="B723" s="299" t="s">
        <v>835</v>
      </c>
      <c r="C723" s="299" t="s">
        <v>835</v>
      </c>
      <c r="D723" s="208" t="s">
        <v>43</v>
      </c>
      <c r="E723" s="302" t="s">
        <v>237</v>
      </c>
      <c r="F723" s="305" t="s">
        <v>811</v>
      </c>
      <c r="G723" s="249">
        <v>1</v>
      </c>
      <c r="H723" s="196">
        <f>IF(VLOOKUP(J723,'HOURLY RATES'!B$116:C$124,2,0)=0,$J$3,VLOOKUP(J723,'HOURLY RATES'!B$116:C$124,2,0))</f>
        <v>0</v>
      </c>
      <c r="I723" s="251">
        <f t="shared" ref="I723:I724" si="624">(G723*(1+H723))</f>
        <v>1</v>
      </c>
      <c r="J723" s="183" t="s">
        <v>16</v>
      </c>
      <c r="K723" s="368">
        <v>1.11375</v>
      </c>
      <c r="L723" s="369">
        <f t="shared" si="611"/>
        <v>1.11375</v>
      </c>
      <c r="M723" s="185">
        <f>IF(VLOOKUP(E723,'HOURLY RATES'!C$6:D$105,2,0)=0,$E$3,VLOOKUP(E723,'HOURLY RATES'!C$6:D$105,2,0))</f>
        <v>43.294082698125003</v>
      </c>
      <c r="N723" s="197">
        <f t="shared" ref="N723:N724" si="625">M723*L723</f>
        <v>48.218784605036724</v>
      </c>
      <c r="O723" s="296">
        <v>25.28</v>
      </c>
      <c r="P723" s="188">
        <f t="shared" ref="P723:P724" si="626">O723*I723</f>
        <v>25.28</v>
      </c>
      <c r="Q723" s="189">
        <f t="shared" ref="Q723:Q724" si="627">P723+N723</f>
        <v>73.498784605036718</v>
      </c>
      <c r="R723" s="190"/>
      <c r="X723" s="212"/>
    </row>
    <row r="724" spans="1:24" s="12" customFormat="1" x14ac:dyDescent="0.2">
      <c r="A724" s="298">
        <f>IF(J724&lt;&gt;"",1+MAX($A$18:A723),"")</f>
        <v>455</v>
      </c>
      <c r="B724" s="299" t="s">
        <v>835</v>
      </c>
      <c r="C724" s="299" t="s">
        <v>835</v>
      </c>
      <c r="D724" s="208" t="s">
        <v>43</v>
      </c>
      <c r="E724" s="302" t="s">
        <v>237</v>
      </c>
      <c r="F724" s="305" t="s">
        <v>903</v>
      </c>
      <c r="G724" s="249">
        <v>1</v>
      </c>
      <c r="H724" s="196">
        <f>IF(VLOOKUP(J724,'HOURLY RATES'!B$116:C$124,2,0)=0,$J$3,VLOOKUP(J724,'HOURLY RATES'!B$116:C$124,2,0))</f>
        <v>0</v>
      </c>
      <c r="I724" s="251">
        <f t="shared" si="624"/>
        <v>1</v>
      </c>
      <c r="J724" s="183" t="s">
        <v>16</v>
      </c>
      <c r="K724" s="368">
        <v>1.23</v>
      </c>
      <c r="L724" s="369">
        <f t="shared" si="611"/>
        <v>1.23</v>
      </c>
      <c r="M724" s="185">
        <f>IF(VLOOKUP(E724,'HOURLY RATES'!C$6:D$105,2,0)=0,$E$3,VLOOKUP(E724,'HOURLY RATES'!C$6:D$105,2,0))</f>
        <v>43.294082698125003</v>
      </c>
      <c r="N724" s="197">
        <f t="shared" si="625"/>
        <v>53.251721718693751</v>
      </c>
      <c r="O724" s="296">
        <v>33.840000000000003</v>
      </c>
      <c r="P724" s="188">
        <f t="shared" si="626"/>
        <v>33.840000000000003</v>
      </c>
      <c r="Q724" s="189">
        <f t="shared" si="627"/>
        <v>87.091721718693748</v>
      </c>
      <c r="R724" s="190"/>
      <c r="X724" s="212"/>
    </row>
    <row r="725" spans="1:24" s="12" customFormat="1" x14ac:dyDescent="0.2">
      <c r="A725" s="298">
        <f>IF(J725&lt;&gt;"",1+MAX($A$18:A724),"")</f>
        <v>456</v>
      </c>
      <c r="B725" s="299" t="s">
        <v>835</v>
      </c>
      <c r="C725" s="299" t="s">
        <v>835</v>
      </c>
      <c r="D725" s="208" t="s">
        <v>43</v>
      </c>
      <c r="E725" s="302" t="s">
        <v>237</v>
      </c>
      <c r="F725" s="305" t="s">
        <v>812</v>
      </c>
      <c r="G725" s="249">
        <v>3</v>
      </c>
      <c r="H725" s="196">
        <f>IF(VLOOKUP(J725,'HOURLY RATES'!B$116:C$124,2,0)=0,$J$3,VLOOKUP(J725,'HOURLY RATES'!B$116:C$124,2,0))</f>
        <v>0</v>
      </c>
      <c r="I725" s="251">
        <f t="shared" ref="I725:I730" si="628">(G725*(1+H725))</f>
        <v>3</v>
      </c>
      <c r="J725" s="183" t="s">
        <v>16</v>
      </c>
      <c r="K725" s="368">
        <v>1.23</v>
      </c>
      <c r="L725" s="369">
        <f t="shared" si="611"/>
        <v>3.69</v>
      </c>
      <c r="M725" s="185">
        <f>IF(VLOOKUP(E725,'HOURLY RATES'!C$6:D$105,2,0)=0,$E$3,VLOOKUP(E725,'HOURLY RATES'!C$6:D$105,2,0))</f>
        <v>43.294082698125003</v>
      </c>
      <c r="N725" s="197">
        <f t="shared" ref="N725:N730" si="629">M725*L725</f>
        <v>159.75516515608126</v>
      </c>
      <c r="O725" s="296">
        <v>33.840000000000003</v>
      </c>
      <c r="P725" s="188">
        <f t="shared" ref="P725:P730" si="630">O725*I725</f>
        <v>101.52000000000001</v>
      </c>
      <c r="Q725" s="189">
        <f t="shared" ref="Q725:Q730" si="631">P725+N725</f>
        <v>261.27516515608124</v>
      </c>
      <c r="R725" s="190"/>
      <c r="X725" s="212"/>
    </row>
    <row r="726" spans="1:24" s="12" customFormat="1" x14ac:dyDescent="0.2">
      <c r="A726" s="298" t="str">
        <f>IF(J726&lt;&gt;"",1+MAX($A$18:A725),"")</f>
        <v/>
      </c>
      <c r="B726" s="299"/>
      <c r="C726" s="299"/>
      <c r="D726" s="208"/>
      <c r="E726" s="302"/>
      <c r="F726" s="305"/>
      <c r="G726" s="249"/>
      <c r="H726" s="196"/>
      <c r="I726" s="251"/>
      <c r="J726" s="183"/>
      <c r="K726" s="368"/>
      <c r="L726" s="369"/>
      <c r="M726" s="185"/>
      <c r="N726" s="197"/>
      <c r="O726" s="296"/>
      <c r="P726" s="188"/>
      <c r="Q726" s="189"/>
      <c r="R726" s="190"/>
      <c r="X726" s="212"/>
    </row>
    <row r="727" spans="1:24" s="12" customFormat="1" ht="20.100000000000001" customHeight="1" x14ac:dyDescent="0.2">
      <c r="A727" s="298" t="str">
        <f>IF(J727&lt;&gt;"",1+MAX($A$18:A726),"")</f>
        <v/>
      </c>
      <c r="B727" s="299"/>
      <c r="C727" s="299"/>
      <c r="D727" s="208"/>
      <c r="E727" s="302"/>
      <c r="F727" s="332" t="s">
        <v>813</v>
      </c>
      <c r="G727"/>
      <c r="H727" s="196"/>
      <c r="I727" s="251"/>
      <c r="J727" s="183"/>
      <c r="K727" s="368"/>
      <c r="L727" s="210"/>
      <c r="M727" s="185"/>
      <c r="N727" s="197"/>
      <c r="O727" s="296"/>
      <c r="P727" s="188"/>
      <c r="Q727" s="189"/>
      <c r="R727" s="190"/>
      <c r="X727" s="212"/>
    </row>
    <row r="728" spans="1:24" s="12" customFormat="1" x14ac:dyDescent="0.2">
      <c r="A728" s="298">
        <f>IF(J728&lt;&gt;"",1+MAX($A$18:A727),"")</f>
        <v>457</v>
      </c>
      <c r="B728" s="299" t="s">
        <v>835</v>
      </c>
      <c r="C728" s="299" t="s">
        <v>835</v>
      </c>
      <c r="D728" s="208" t="s">
        <v>43</v>
      </c>
      <c r="E728" s="302" t="s">
        <v>237</v>
      </c>
      <c r="F728" s="305" t="s">
        <v>814</v>
      </c>
      <c r="G728" s="249">
        <v>1</v>
      </c>
      <c r="H728" s="196">
        <f>IF(VLOOKUP(J728,'HOURLY RATES'!B$116:C$124,2,0)=0,$J$3,VLOOKUP(J728,'HOURLY RATES'!B$116:C$124,2,0))</f>
        <v>0</v>
      </c>
      <c r="I728" s="251">
        <f t="shared" si="628"/>
        <v>1</v>
      </c>
      <c r="J728" s="183" t="s">
        <v>16</v>
      </c>
      <c r="K728" s="368">
        <v>1.7825</v>
      </c>
      <c r="L728" s="369">
        <f t="shared" ref="L728:L735" si="632">K728*I728</f>
        <v>1.7825</v>
      </c>
      <c r="M728" s="185">
        <f>IF(VLOOKUP(E728,'HOURLY RATES'!C$6:D$105,2,0)=0,$E$3,VLOOKUP(E728,'HOURLY RATES'!C$6:D$105,2,0))</f>
        <v>43.294082698125003</v>
      </c>
      <c r="N728" s="197">
        <f>M728*L728</f>
        <v>77.171702409407814</v>
      </c>
      <c r="O728" s="296">
        <v>65</v>
      </c>
      <c r="P728" s="188">
        <f t="shared" si="630"/>
        <v>65</v>
      </c>
      <c r="Q728" s="189">
        <f t="shared" si="631"/>
        <v>142.17170240940783</v>
      </c>
      <c r="R728" s="190"/>
      <c r="X728" s="212"/>
    </row>
    <row r="729" spans="1:24" s="12" customFormat="1" x14ac:dyDescent="0.2">
      <c r="A729" s="298">
        <f>IF(J729&lt;&gt;"",1+MAX($A$18:A728),"")</f>
        <v>458</v>
      </c>
      <c r="B729" s="299" t="s">
        <v>835</v>
      </c>
      <c r="C729" s="299" t="s">
        <v>835</v>
      </c>
      <c r="D729" s="208" t="s">
        <v>43</v>
      </c>
      <c r="E729" s="302" t="s">
        <v>237</v>
      </c>
      <c r="F729" s="305" t="s">
        <v>815</v>
      </c>
      <c r="G729" s="249">
        <v>1</v>
      </c>
      <c r="H729" s="196">
        <f>IF(VLOOKUP(J729,'HOURLY RATES'!B$116:C$124,2,0)=0,$J$3,VLOOKUP(J729,'HOURLY RATES'!B$116:C$124,2,0))</f>
        <v>0</v>
      </c>
      <c r="I729" s="251">
        <f t="shared" si="628"/>
        <v>1</v>
      </c>
      <c r="J729" s="183" t="s">
        <v>16</v>
      </c>
      <c r="K729" s="368">
        <v>1.0649999999999999</v>
      </c>
      <c r="L729" s="369">
        <f t="shared" si="632"/>
        <v>1.0649999999999999</v>
      </c>
      <c r="M729" s="185">
        <f>IF(VLOOKUP(E729,'HOURLY RATES'!C$6:D$105,2,0)=0,$E$3,VLOOKUP(E729,'HOURLY RATES'!C$6:D$105,2,0))</f>
        <v>43.294082698125003</v>
      </c>
      <c r="N729" s="197">
        <f t="shared" si="629"/>
        <v>46.108198073503125</v>
      </c>
      <c r="O729" s="296">
        <v>22.07</v>
      </c>
      <c r="P729" s="188">
        <f t="shared" si="630"/>
        <v>22.07</v>
      </c>
      <c r="Q729" s="189">
        <f t="shared" si="631"/>
        <v>68.178198073503125</v>
      </c>
      <c r="R729" s="190"/>
      <c r="X729" s="212"/>
    </row>
    <row r="730" spans="1:24" s="12" customFormat="1" x14ac:dyDescent="0.2">
      <c r="A730" s="298">
        <f>IF(J730&lt;&gt;"",1+MAX($A$18:A729),"")</f>
        <v>459</v>
      </c>
      <c r="B730" s="299" t="s">
        <v>835</v>
      </c>
      <c r="C730" s="299" t="s">
        <v>835</v>
      </c>
      <c r="D730" s="208" t="s">
        <v>43</v>
      </c>
      <c r="E730" s="302" t="s">
        <v>237</v>
      </c>
      <c r="F730" s="305" t="s">
        <v>816</v>
      </c>
      <c r="G730" s="249">
        <v>1</v>
      </c>
      <c r="H730" s="196">
        <f>IF(VLOOKUP(J730,'HOURLY RATES'!B$116:C$124,2,0)=0,$J$3,VLOOKUP(J730,'HOURLY RATES'!B$116:C$124,2,0))</f>
        <v>0</v>
      </c>
      <c r="I730" s="251">
        <f t="shared" si="628"/>
        <v>1</v>
      </c>
      <c r="J730" s="183" t="s">
        <v>16</v>
      </c>
      <c r="K730" s="368">
        <v>0.95624999999999993</v>
      </c>
      <c r="L730" s="369">
        <f t="shared" si="632"/>
        <v>0.95624999999999993</v>
      </c>
      <c r="M730" s="185">
        <f>IF(VLOOKUP(E730,'HOURLY RATES'!C$6:D$105,2,0)=0,$E$3,VLOOKUP(E730,'HOURLY RATES'!C$6:D$105,2,0))</f>
        <v>43.294082698125003</v>
      </c>
      <c r="N730" s="197">
        <f t="shared" si="629"/>
        <v>41.39996658008203</v>
      </c>
      <c r="O730" s="296">
        <v>15.7</v>
      </c>
      <c r="P730" s="188">
        <f t="shared" si="630"/>
        <v>15.7</v>
      </c>
      <c r="Q730" s="189">
        <f t="shared" si="631"/>
        <v>57.099966580082025</v>
      </c>
      <c r="R730" s="190"/>
      <c r="X730" s="212"/>
    </row>
    <row r="731" spans="1:24" s="12" customFormat="1" x14ac:dyDescent="0.2">
      <c r="A731" s="298">
        <f>IF(J731&lt;&gt;"",1+MAX($A$18:A730),"")</f>
        <v>460</v>
      </c>
      <c r="B731" s="299" t="s">
        <v>835</v>
      </c>
      <c r="C731" s="299" t="s">
        <v>835</v>
      </c>
      <c r="D731" s="208" t="s">
        <v>43</v>
      </c>
      <c r="E731" s="302" t="s">
        <v>237</v>
      </c>
      <c r="F731" s="305" t="s">
        <v>817</v>
      </c>
      <c r="G731" s="249">
        <v>1</v>
      </c>
      <c r="H731" s="196">
        <f>IF(VLOOKUP(J731,'HOURLY RATES'!B$116:C$124,2,0)=0,$J$3,VLOOKUP(J731,'HOURLY RATES'!B$116:C$124,2,0))</f>
        <v>0</v>
      </c>
      <c r="I731" s="251">
        <f t="shared" ref="I731" si="633">(G731*(1+H731))</f>
        <v>1</v>
      </c>
      <c r="J731" s="183" t="s">
        <v>16</v>
      </c>
      <c r="K731" s="368">
        <v>1.0649999999999999</v>
      </c>
      <c r="L731" s="369">
        <f t="shared" si="632"/>
        <v>1.0649999999999999</v>
      </c>
      <c r="M731" s="185">
        <f>IF(VLOOKUP(E731,'HOURLY RATES'!C$6:D$105,2,0)=0,$E$3,VLOOKUP(E731,'HOURLY RATES'!C$6:D$105,2,0))</f>
        <v>43.294082698125003</v>
      </c>
      <c r="N731" s="197">
        <f t="shared" ref="N731" si="634">M731*L731</f>
        <v>46.108198073503125</v>
      </c>
      <c r="O731" s="296">
        <v>22.07</v>
      </c>
      <c r="P731" s="188">
        <f t="shared" ref="P731" si="635">O731*I731</f>
        <v>22.07</v>
      </c>
      <c r="Q731" s="189">
        <f t="shared" ref="Q731" si="636">P731+N731</f>
        <v>68.178198073503125</v>
      </c>
      <c r="R731" s="190"/>
      <c r="X731" s="212"/>
    </row>
    <row r="732" spans="1:24" s="12" customFormat="1" x14ac:dyDescent="0.2">
      <c r="A732" s="298">
        <f>IF(J732&lt;&gt;"",1+MAX($A$18:A731),"")</f>
        <v>461</v>
      </c>
      <c r="B732" s="299" t="s">
        <v>835</v>
      </c>
      <c r="C732" s="299" t="s">
        <v>835</v>
      </c>
      <c r="D732" s="208" t="s">
        <v>43</v>
      </c>
      <c r="E732" s="302" t="s">
        <v>237</v>
      </c>
      <c r="F732" s="305" t="s">
        <v>818</v>
      </c>
      <c r="G732" s="249">
        <v>1</v>
      </c>
      <c r="H732" s="196">
        <f>IF(VLOOKUP(J732,'HOURLY RATES'!B$116:C$124,2,0)=0,$J$3,VLOOKUP(J732,'HOURLY RATES'!B$116:C$124,2,0))</f>
        <v>0</v>
      </c>
      <c r="I732" s="251">
        <f t="shared" ref="I732" si="637">(G732*(1+H732))</f>
        <v>1</v>
      </c>
      <c r="J732" s="183" t="s">
        <v>16</v>
      </c>
      <c r="K732" s="368">
        <v>0.88500000000000001</v>
      </c>
      <c r="L732" s="369">
        <f t="shared" si="632"/>
        <v>0.88500000000000001</v>
      </c>
      <c r="M732" s="185">
        <f>IF(VLOOKUP(E732,'HOURLY RATES'!C$6:D$105,2,0)=0,$E$3,VLOOKUP(E732,'HOURLY RATES'!C$6:D$105,2,0))</f>
        <v>43.294082698125003</v>
      </c>
      <c r="N732" s="197">
        <f t="shared" ref="N732" si="638">M732*L732</f>
        <v>38.315263187840628</v>
      </c>
      <c r="O732" s="296">
        <v>10.02</v>
      </c>
      <c r="P732" s="188">
        <f t="shared" ref="P732" si="639">O732*I732</f>
        <v>10.02</v>
      </c>
      <c r="Q732" s="189">
        <f t="shared" ref="Q732" si="640">P732+N732</f>
        <v>48.335263187840624</v>
      </c>
      <c r="R732" s="190"/>
      <c r="X732" s="212"/>
    </row>
    <row r="733" spans="1:24" s="12" customFormat="1" x14ac:dyDescent="0.2">
      <c r="A733" s="298">
        <f>IF(J733&lt;&gt;"",1+MAX($A$18:A732),"")</f>
        <v>462</v>
      </c>
      <c r="B733" s="299" t="s">
        <v>835</v>
      </c>
      <c r="C733" s="299" t="s">
        <v>835</v>
      </c>
      <c r="D733" s="208" t="s">
        <v>43</v>
      </c>
      <c r="E733" s="302" t="s">
        <v>237</v>
      </c>
      <c r="F733" s="305" t="s">
        <v>819</v>
      </c>
      <c r="G733" s="249">
        <v>1</v>
      </c>
      <c r="H733" s="196">
        <f>IF(VLOOKUP(J733,'HOURLY RATES'!B$116:C$124,2,0)=0,$J$3,VLOOKUP(J733,'HOURLY RATES'!B$116:C$124,2,0))</f>
        <v>0</v>
      </c>
      <c r="I733" s="251">
        <f t="shared" ref="I733:I735" si="641">(G733*(1+H733))</f>
        <v>1</v>
      </c>
      <c r="J733" s="183" t="s">
        <v>16</v>
      </c>
      <c r="K733" s="368">
        <v>1.0649999999999999</v>
      </c>
      <c r="L733" s="369">
        <f t="shared" si="632"/>
        <v>1.0649999999999999</v>
      </c>
      <c r="M733" s="185">
        <f>IF(VLOOKUP(E733,'HOURLY RATES'!C$6:D$105,2,0)=0,$E$3,VLOOKUP(E733,'HOURLY RATES'!C$6:D$105,2,0))</f>
        <v>43.294082698125003</v>
      </c>
      <c r="N733" s="197">
        <f t="shared" ref="N733:N735" si="642">M733*L733</f>
        <v>46.108198073503125</v>
      </c>
      <c r="O733" s="296">
        <v>22.07</v>
      </c>
      <c r="P733" s="188">
        <f t="shared" ref="P733:P735" si="643">O733*I733</f>
        <v>22.07</v>
      </c>
      <c r="Q733" s="189">
        <f t="shared" ref="Q733:Q735" si="644">P733+N733</f>
        <v>68.178198073503125</v>
      </c>
      <c r="R733" s="190"/>
      <c r="X733" s="212"/>
    </row>
    <row r="734" spans="1:24" s="12" customFormat="1" x14ac:dyDescent="0.2">
      <c r="A734" s="298">
        <f>IF(J734&lt;&gt;"",1+MAX($A$18:A733),"")</f>
        <v>463</v>
      </c>
      <c r="B734" s="299" t="s">
        <v>835</v>
      </c>
      <c r="C734" s="299" t="s">
        <v>835</v>
      </c>
      <c r="D734" s="208" t="s">
        <v>43</v>
      </c>
      <c r="E734" s="302" t="s">
        <v>237</v>
      </c>
      <c r="F734" s="305" t="s">
        <v>820</v>
      </c>
      <c r="G734" s="249">
        <v>1</v>
      </c>
      <c r="H734" s="196">
        <f>IF(VLOOKUP(J734,'HOURLY RATES'!B$116:C$124,2,0)=0,$J$3,VLOOKUP(J734,'HOURLY RATES'!B$116:C$124,2,0))</f>
        <v>0</v>
      </c>
      <c r="I734" s="251">
        <f t="shared" si="641"/>
        <v>1</v>
      </c>
      <c r="J734" s="183" t="s">
        <v>16</v>
      </c>
      <c r="K734" s="368">
        <v>2.6737500000000001</v>
      </c>
      <c r="L734" s="369">
        <f t="shared" si="632"/>
        <v>2.6737500000000001</v>
      </c>
      <c r="M734" s="185">
        <f>IF(VLOOKUP(E734,'HOURLY RATES'!C$6:D$105,2,0)=0,$E$3,VLOOKUP(E734,'HOURLY RATES'!C$6:D$105,2,0))</f>
        <v>43.294082698125003</v>
      </c>
      <c r="N734" s="197">
        <f t="shared" si="642"/>
        <v>115.75755361411173</v>
      </c>
      <c r="O734" s="296">
        <v>65</v>
      </c>
      <c r="P734" s="188">
        <f t="shared" si="643"/>
        <v>65</v>
      </c>
      <c r="Q734" s="189">
        <f t="shared" si="644"/>
        <v>180.75755361411171</v>
      </c>
      <c r="R734" s="190"/>
      <c r="X734" s="212"/>
    </row>
    <row r="735" spans="1:24" s="12" customFormat="1" x14ac:dyDescent="0.2">
      <c r="A735" s="298">
        <f>IF(J735&lt;&gt;"",1+MAX($A$18:A734),"")</f>
        <v>464</v>
      </c>
      <c r="B735" s="299" t="s">
        <v>835</v>
      </c>
      <c r="C735" s="299" t="s">
        <v>840</v>
      </c>
      <c r="D735" s="208" t="s">
        <v>43</v>
      </c>
      <c r="E735" s="302" t="s">
        <v>237</v>
      </c>
      <c r="F735" s="305" t="s">
        <v>821</v>
      </c>
      <c r="G735" s="249">
        <v>1</v>
      </c>
      <c r="H735" s="196">
        <f>IF(VLOOKUP(J735,'HOURLY RATES'!B$116:C$124,2,0)=0,$J$3,VLOOKUP(J735,'HOURLY RATES'!B$116:C$124,2,0))</f>
        <v>0</v>
      </c>
      <c r="I735" s="251">
        <f t="shared" si="641"/>
        <v>1</v>
      </c>
      <c r="J735" s="183" t="s">
        <v>16</v>
      </c>
      <c r="K735" s="368">
        <v>1.2787500000000001</v>
      </c>
      <c r="L735" s="369">
        <f t="shared" si="632"/>
        <v>1.2787500000000001</v>
      </c>
      <c r="M735" s="185">
        <f>IF(VLOOKUP(E735,'HOURLY RATES'!C$6:D$105,2,0)=0,$E$3,VLOOKUP(E735,'HOURLY RATES'!C$6:D$105,2,0))</f>
        <v>43.294082698125003</v>
      </c>
      <c r="N735" s="197">
        <f t="shared" si="642"/>
        <v>55.36230825022735</v>
      </c>
      <c r="O735" s="296">
        <v>36.130000000000003</v>
      </c>
      <c r="P735" s="188">
        <f t="shared" si="643"/>
        <v>36.130000000000003</v>
      </c>
      <c r="Q735" s="189">
        <f t="shared" si="644"/>
        <v>91.492308250227353</v>
      </c>
      <c r="R735" s="190"/>
      <c r="X735" s="212"/>
    </row>
    <row r="736" spans="1:24" s="12" customFormat="1" ht="20.100000000000001" customHeight="1" x14ac:dyDescent="0.2">
      <c r="A736" s="298" t="str">
        <f>IF(J736&lt;&gt;"",1+MAX($A$18:A735),"")</f>
        <v/>
      </c>
      <c r="B736" s="299"/>
      <c r="C736" s="299"/>
      <c r="D736" s="208"/>
      <c r="E736" s="302"/>
      <c r="F736" s="314"/>
      <c r="G736" s="288"/>
      <c r="H736" s="196"/>
      <c r="I736" s="251"/>
      <c r="J736" s="183"/>
      <c r="K736" s="368"/>
      <c r="L736" s="210"/>
      <c r="M736" s="185"/>
      <c r="N736" s="197"/>
      <c r="O736" s="296"/>
      <c r="P736" s="188"/>
      <c r="Q736" s="189"/>
      <c r="R736" s="190"/>
      <c r="X736" s="212"/>
    </row>
    <row r="737" spans="1:24" s="12" customFormat="1" ht="20.100000000000001" customHeight="1" x14ac:dyDescent="0.2">
      <c r="A737" s="298" t="str">
        <f>IF(J737&lt;&gt;"",1+MAX($A$18:A736),"")</f>
        <v/>
      </c>
      <c r="B737" s="299"/>
      <c r="C737" s="299"/>
      <c r="D737" s="208"/>
      <c r="E737" s="302"/>
      <c r="F737" s="332" t="s">
        <v>822</v>
      </c>
      <c r="G737" s="288"/>
      <c r="H737" s="196"/>
      <c r="I737" s="251"/>
      <c r="J737" s="183"/>
      <c r="K737" s="368"/>
      <c r="L737" s="210"/>
      <c r="M737" s="185"/>
      <c r="N737" s="197"/>
      <c r="O737" s="296"/>
      <c r="P737" s="188"/>
      <c r="Q737" s="189"/>
      <c r="R737" s="190"/>
      <c r="X737" s="212"/>
    </row>
    <row r="738" spans="1:24" s="12" customFormat="1" x14ac:dyDescent="0.2">
      <c r="A738" s="298">
        <f>IF(J738&lt;&gt;"",1+MAX($A$18:A737),"")</f>
        <v>465</v>
      </c>
      <c r="B738" s="299" t="s">
        <v>835</v>
      </c>
      <c r="C738" s="299" t="s">
        <v>835</v>
      </c>
      <c r="D738" s="208" t="s">
        <v>43</v>
      </c>
      <c r="E738" s="302" t="s">
        <v>237</v>
      </c>
      <c r="F738" s="305" t="s">
        <v>823</v>
      </c>
      <c r="G738" s="249">
        <v>1</v>
      </c>
      <c r="H738" s="196">
        <f>IF(VLOOKUP(J738,'HOURLY RATES'!B$116:C$124,2,0)=0,$J$3,VLOOKUP(J738,'HOURLY RATES'!B$116:C$124,2,0))</f>
        <v>0</v>
      </c>
      <c r="I738" s="251">
        <f t="shared" ref="I738:I739" si="645">(G738*(1+H738))</f>
        <v>1</v>
      </c>
      <c r="J738" s="183" t="s">
        <v>16</v>
      </c>
      <c r="K738" s="368">
        <v>1.0462500000000001</v>
      </c>
      <c r="L738" s="369">
        <f t="shared" ref="L738:L739" si="646">K738*I738</f>
        <v>1.0462500000000001</v>
      </c>
      <c r="M738" s="185">
        <f>IF(VLOOKUP(E738,'HOURLY RATES'!C$6:D$105,2,0)=0,$E$3,VLOOKUP(E738,'HOURLY RATES'!C$6:D$105,2,0))</f>
        <v>43.294082698125003</v>
      </c>
      <c r="N738" s="197">
        <f t="shared" ref="N738:N739" si="647">M738*L738</f>
        <v>45.296434022913289</v>
      </c>
      <c r="O738" s="296">
        <v>21.58</v>
      </c>
      <c r="P738" s="188">
        <f t="shared" ref="P738:P739" si="648">O738*I738</f>
        <v>21.58</v>
      </c>
      <c r="Q738" s="189">
        <f t="shared" ref="Q738:Q739" si="649">P738+N738</f>
        <v>66.876434022913287</v>
      </c>
      <c r="R738" s="190"/>
      <c r="X738" s="212"/>
    </row>
    <row r="739" spans="1:24" s="12" customFormat="1" x14ac:dyDescent="0.2">
      <c r="A739" s="298">
        <f>IF(J739&lt;&gt;"",1+MAX($A$18:A738),"")</f>
        <v>466</v>
      </c>
      <c r="B739" s="299" t="s">
        <v>835</v>
      </c>
      <c r="C739" s="299" t="s">
        <v>835</v>
      </c>
      <c r="D739" s="208" t="s">
        <v>43</v>
      </c>
      <c r="E739" s="302" t="s">
        <v>237</v>
      </c>
      <c r="F739" s="305" t="s">
        <v>824</v>
      </c>
      <c r="G739" s="249">
        <v>1</v>
      </c>
      <c r="H739" s="196">
        <f>IF(VLOOKUP(J739,'HOURLY RATES'!B$116:C$124,2,0)=0,$J$3,VLOOKUP(J739,'HOURLY RATES'!B$116:C$124,2,0))</f>
        <v>0</v>
      </c>
      <c r="I739" s="251">
        <f t="shared" si="645"/>
        <v>1</v>
      </c>
      <c r="J739" s="183" t="s">
        <v>16</v>
      </c>
      <c r="K739" s="368">
        <v>1.0462500000000001</v>
      </c>
      <c r="L739" s="369">
        <f t="shared" si="646"/>
        <v>1.0462500000000001</v>
      </c>
      <c r="M739" s="185">
        <f>IF(VLOOKUP(E739,'HOURLY RATES'!C$6:D$105,2,0)=0,$E$3,VLOOKUP(E739,'HOURLY RATES'!C$6:D$105,2,0))</f>
        <v>43.294082698125003</v>
      </c>
      <c r="N739" s="197">
        <f t="shared" si="647"/>
        <v>45.296434022913289</v>
      </c>
      <c r="O739" s="296">
        <v>21.58</v>
      </c>
      <c r="P739" s="188">
        <f t="shared" si="648"/>
        <v>21.58</v>
      </c>
      <c r="Q739" s="189">
        <f t="shared" si="649"/>
        <v>66.876434022913287</v>
      </c>
      <c r="R739" s="190"/>
      <c r="X739" s="212"/>
    </row>
    <row r="740" spans="1:24" s="12" customFormat="1" x14ac:dyDescent="0.2">
      <c r="A740" s="298" t="str">
        <f>IF(J740&lt;&gt;"",1+MAX($A$18:A739),"")</f>
        <v/>
      </c>
      <c r="B740" s="299"/>
      <c r="C740" s="299"/>
      <c r="D740" s="208"/>
      <c r="E740" s="302"/>
      <c r="F740" s="305"/>
      <c r="G740" s="249"/>
      <c r="H740" s="196"/>
      <c r="I740" s="251"/>
      <c r="J740" s="183"/>
      <c r="K740" s="368"/>
      <c r="L740" s="369"/>
      <c r="M740" s="185"/>
      <c r="N740" s="197"/>
      <c r="O740" s="296"/>
      <c r="P740" s="188"/>
      <c r="Q740" s="189"/>
      <c r="R740" s="190"/>
      <c r="X740" s="212"/>
    </row>
    <row r="741" spans="1:24" s="12" customFormat="1" x14ac:dyDescent="0.2">
      <c r="A741" s="298" t="str">
        <f>IF(J741&lt;&gt;"",1+MAX($A$18:A740),"")</f>
        <v/>
      </c>
      <c r="B741" s="299"/>
      <c r="C741" s="299"/>
      <c r="D741" s="208"/>
      <c r="E741" s="302"/>
      <c r="F741" s="332" t="s">
        <v>825</v>
      </c>
      <c r="G741" s="288"/>
      <c r="H741" s="196"/>
      <c r="I741" s="251"/>
      <c r="J741" s="183"/>
      <c r="K741" s="368"/>
      <c r="L741" s="210"/>
      <c r="M741" s="185"/>
      <c r="N741" s="197"/>
      <c r="O741" s="296"/>
      <c r="P741" s="188"/>
      <c r="Q741" s="189"/>
      <c r="R741" s="190"/>
      <c r="X741" s="212"/>
    </row>
    <row r="742" spans="1:24" s="12" customFormat="1" x14ac:dyDescent="0.2">
      <c r="A742" s="298">
        <f>IF(J742&lt;&gt;"",1+MAX($A$18:A741),"")</f>
        <v>467</v>
      </c>
      <c r="B742" s="299" t="s">
        <v>835</v>
      </c>
      <c r="C742" s="299" t="s">
        <v>835</v>
      </c>
      <c r="D742" s="208" t="s">
        <v>43</v>
      </c>
      <c r="E742" s="302" t="s">
        <v>237</v>
      </c>
      <c r="F742" s="305" t="s">
        <v>891</v>
      </c>
      <c r="G742" s="249">
        <v>6</v>
      </c>
      <c r="H742" s="196">
        <f>IF(VLOOKUP(J742,'HOURLY RATES'!B$116:C$124,2,0)=0,$J$3,VLOOKUP(J742,'HOURLY RATES'!B$116:C$124,2,0))</f>
        <v>0</v>
      </c>
      <c r="I742" s="251">
        <f t="shared" ref="I742" si="650">(G742*(1+H742))</f>
        <v>6</v>
      </c>
      <c r="J742" s="183" t="s">
        <v>16</v>
      </c>
      <c r="K742" s="368">
        <f>1.143*(2.5)</f>
        <v>2.8574999999999999</v>
      </c>
      <c r="L742" s="369">
        <f t="shared" ref="L742:L743" si="651">K742*I742</f>
        <v>17.145</v>
      </c>
      <c r="M742" s="185">
        <f>IF(VLOOKUP(E742,'HOURLY RATES'!C$6:D$105,2,0)=0,$E$3,VLOOKUP(E742,'HOURLY RATES'!C$6:D$105,2,0))</f>
        <v>43.294082698125003</v>
      </c>
      <c r="N742" s="197">
        <f t="shared" ref="N742" si="652">M742*L742</f>
        <v>742.27704785935316</v>
      </c>
      <c r="O742" s="296">
        <v>167.19</v>
      </c>
      <c r="P742" s="188">
        <f t="shared" ref="P742" si="653">O742*I742</f>
        <v>1003.14</v>
      </c>
      <c r="Q742" s="189">
        <f t="shared" ref="Q742" si="654">P742+N742</f>
        <v>1745.4170478593533</v>
      </c>
      <c r="R742" s="190"/>
      <c r="X742" s="212"/>
    </row>
    <row r="743" spans="1:24" s="12" customFormat="1" x14ac:dyDescent="0.25">
      <c r="A743" s="298">
        <f>IF(J743&lt;&gt;"",1+MAX($A$18:A742),"")</f>
        <v>468</v>
      </c>
      <c r="B743" s="299" t="s">
        <v>835</v>
      </c>
      <c r="C743" s="299" t="s">
        <v>835</v>
      </c>
      <c r="D743" s="208" t="s">
        <v>43</v>
      </c>
      <c r="E743" s="302" t="s">
        <v>237</v>
      </c>
      <c r="F743" s="379" t="s">
        <v>826</v>
      </c>
      <c r="G743">
        <v>2</v>
      </c>
      <c r="H743" s="196">
        <f>IF(VLOOKUP(J743,'HOURLY RATES'!B$116:C$124,2,0)=0,$J$3,VLOOKUP(J743,'HOURLY RATES'!B$116:C$124,2,0))</f>
        <v>0</v>
      </c>
      <c r="I743" s="251">
        <f>(G743*(1+H743))</f>
        <v>2</v>
      </c>
      <c r="J743" s="183" t="s">
        <v>16</v>
      </c>
      <c r="K743" s="368">
        <f>0.931*(2.5)</f>
        <v>2.3275000000000001</v>
      </c>
      <c r="L743" s="369">
        <f t="shared" si="651"/>
        <v>4.6550000000000002</v>
      </c>
      <c r="M743" s="185">
        <f>IF(VLOOKUP(E743,'HOURLY RATES'!C$6:D$105,2,0)=0,$E$3,VLOOKUP(E743,'HOURLY RATES'!C$6:D$105,2,0))</f>
        <v>43.294082698125003</v>
      </c>
      <c r="N743" s="197">
        <f>M743*L743</f>
        <v>201.5339549597719</v>
      </c>
      <c r="O743" s="296">
        <v>92.11</v>
      </c>
      <c r="P743" s="188">
        <f>O743*I743</f>
        <v>184.22</v>
      </c>
      <c r="Q743" s="189">
        <f>P743+N743</f>
        <v>385.75395495977193</v>
      </c>
      <c r="R743" s="190"/>
      <c r="X743" s="212"/>
    </row>
    <row r="744" spans="1:24" s="12" customFormat="1" x14ac:dyDescent="0.2">
      <c r="A744" s="298" t="str">
        <f>IF(J744&lt;&gt;"",1+MAX($A$18:A743),"")</f>
        <v/>
      </c>
      <c r="B744" s="299"/>
      <c r="C744" s="299"/>
      <c r="D744" s="208"/>
      <c r="E744" s="302"/>
      <c r="F744" s="305"/>
      <c r="G744" s="249"/>
      <c r="H744" s="196"/>
      <c r="I744" s="251"/>
      <c r="J744" s="183"/>
      <c r="K744" s="368"/>
      <c r="L744" s="369"/>
      <c r="M744" s="185"/>
      <c r="N744" s="197"/>
      <c r="O744" s="296"/>
      <c r="P744" s="188"/>
      <c r="Q744" s="189"/>
      <c r="R744" s="190"/>
      <c r="X744" s="212"/>
    </row>
    <row r="745" spans="1:24" s="12" customFormat="1" x14ac:dyDescent="0.2">
      <c r="A745" s="200" t="str">
        <f>IF(J745&lt;&gt;"",1+MAX($A$18:A744),"")</f>
        <v/>
      </c>
      <c r="B745" s="299"/>
      <c r="C745" s="299"/>
      <c r="D745" s="208"/>
      <c r="E745" s="192"/>
      <c r="F745" s="331" t="s">
        <v>827</v>
      </c>
      <c r="G745" s="288"/>
      <c r="H745" s="196"/>
      <c r="I745" s="251"/>
      <c r="J745" s="183"/>
      <c r="K745" s="368"/>
      <c r="L745" s="210"/>
      <c r="M745" s="185"/>
      <c r="N745" s="197"/>
      <c r="O745" s="296"/>
      <c r="P745" s="188"/>
      <c r="Q745" s="189"/>
      <c r="R745" s="304"/>
      <c r="X745" s="212"/>
    </row>
    <row r="746" spans="1:24" s="12" customFormat="1" ht="47.25" x14ac:dyDescent="0.2">
      <c r="A746" s="298">
        <f>IF(J746&lt;&gt;"",1+MAX($A$18:A745),"")</f>
        <v>469</v>
      </c>
      <c r="B746" s="299" t="s">
        <v>835</v>
      </c>
      <c r="C746" s="299" t="s">
        <v>836</v>
      </c>
      <c r="D746" s="208" t="s">
        <v>43</v>
      </c>
      <c r="E746" s="302" t="s">
        <v>237</v>
      </c>
      <c r="F746" s="382" t="s">
        <v>828</v>
      </c>
      <c r="G746" s="288">
        <v>1</v>
      </c>
      <c r="H746" s="196">
        <f>IF(VLOOKUP(J746,'HOURLY RATES'!B$116:C$124,2,0)=0,$J$3,VLOOKUP(J746,'HOURLY RATES'!B$116:C$124,2,0))</f>
        <v>0</v>
      </c>
      <c r="I746" s="251">
        <f>(G746*(1+H746))</f>
        <v>1</v>
      </c>
      <c r="J746" s="183" t="s">
        <v>16</v>
      </c>
      <c r="K746" s="368">
        <f>2.374*(2.5)</f>
        <v>5.9350000000000005</v>
      </c>
      <c r="L746" s="369">
        <f t="shared" ref="L746:L748" si="655">K746*I746</f>
        <v>5.9350000000000005</v>
      </c>
      <c r="M746" s="185">
        <f>IF(VLOOKUP(E746,'HOURLY RATES'!C$6:D$105,2,0)=0,$E$3,VLOOKUP(E746,'HOURLY RATES'!C$6:D$105,2,0))</f>
        <v>43.294082698125003</v>
      </c>
      <c r="N746" s="197">
        <f>M746*L746</f>
        <v>256.95038081337191</v>
      </c>
      <c r="O746" s="296">
        <v>1869</v>
      </c>
      <c r="P746" s="188">
        <f>O746*I746</f>
        <v>1869</v>
      </c>
      <c r="Q746" s="189">
        <f>P746+N746</f>
        <v>2125.9503808133718</v>
      </c>
      <c r="R746" s="190"/>
      <c r="X746" s="212"/>
    </row>
    <row r="747" spans="1:24" s="12" customFormat="1" ht="47.25" x14ac:dyDescent="0.2">
      <c r="A747" s="298">
        <f>IF(J747&lt;&gt;"",1+MAX($A$18:A746),"")</f>
        <v>470</v>
      </c>
      <c r="B747" s="299" t="s">
        <v>835</v>
      </c>
      <c r="C747" s="299" t="s">
        <v>836</v>
      </c>
      <c r="D747" s="208" t="s">
        <v>43</v>
      </c>
      <c r="E747" s="302" t="s">
        <v>237</v>
      </c>
      <c r="F747" s="382" t="s">
        <v>829</v>
      </c>
      <c r="G747" s="288">
        <v>1</v>
      </c>
      <c r="H747" s="196">
        <f>IF(VLOOKUP(J747,'HOURLY RATES'!B$116:C$124,2,0)=0,$J$3,VLOOKUP(J747,'HOURLY RATES'!B$116:C$124,2,0))</f>
        <v>0</v>
      </c>
      <c r="I747" s="251">
        <f t="shared" ref="I747:I748" si="656">(G747*(1+H747))</f>
        <v>1</v>
      </c>
      <c r="J747" s="183" t="s">
        <v>16</v>
      </c>
      <c r="K747" s="368">
        <f>2.374*(2.5)</f>
        <v>5.9350000000000005</v>
      </c>
      <c r="L747" s="369">
        <f t="shared" si="655"/>
        <v>5.9350000000000005</v>
      </c>
      <c r="M747" s="185">
        <f>IF(VLOOKUP(E747,'HOURLY RATES'!C$6:D$105,2,0)=0,$E$3,VLOOKUP(E747,'HOURLY RATES'!C$6:D$105,2,0))</f>
        <v>43.294082698125003</v>
      </c>
      <c r="N747" s="197">
        <f t="shared" ref="N747:N748" si="657">M747*L747</f>
        <v>256.95038081337191</v>
      </c>
      <c r="O747" s="296">
        <v>1869</v>
      </c>
      <c r="P747" s="188">
        <f t="shared" ref="P747:P748" si="658">O747*I747</f>
        <v>1869</v>
      </c>
      <c r="Q747" s="189">
        <f t="shared" ref="Q747:Q748" si="659">P747+N747</f>
        <v>2125.9503808133718</v>
      </c>
      <c r="R747" s="190"/>
      <c r="X747" s="212"/>
    </row>
    <row r="748" spans="1:24" s="12" customFormat="1" ht="47.25" x14ac:dyDescent="0.2">
      <c r="A748" s="200">
        <f>IF(J748&lt;&gt;"",1+MAX($A$18:A747),"")</f>
        <v>471</v>
      </c>
      <c r="B748" s="299" t="s">
        <v>835</v>
      </c>
      <c r="C748" s="299" t="s">
        <v>836</v>
      </c>
      <c r="D748" s="208" t="s">
        <v>43</v>
      </c>
      <c r="E748" s="192" t="s">
        <v>237</v>
      </c>
      <c r="F748" s="382" t="s">
        <v>830</v>
      </c>
      <c r="G748" s="288">
        <v>1</v>
      </c>
      <c r="H748" s="196">
        <f>IF(VLOOKUP(J748,'HOURLY RATES'!B$116:C$124,2,0)=0,$J$3,VLOOKUP(J748,'HOURLY RATES'!B$116:C$124,2,0))</f>
        <v>0</v>
      </c>
      <c r="I748" s="251">
        <f t="shared" si="656"/>
        <v>1</v>
      </c>
      <c r="J748" s="183" t="s">
        <v>16</v>
      </c>
      <c r="K748" s="368">
        <f>2.374*(2.5)</f>
        <v>5.9350000000000005</v>
      </c>
      <c r="L748" s="369">
        <f t="shared" si="655"/>
        <v>5.9350000000000005</v>
      </c>
      <c r="M748" s="185">
        <f>IF(VLOOKUP(E748,'HOURLY RATES'!C$6:D$105,2,0)=0,$E$3,VLOOKUP(E748,'HOURLY RATES'!C$6:D$105,2,0))</f>
        <v>43.294082698125003</v>
      </c>
      <c r="N748" s="197">
        <f t="shared" si="657"/>
        <v>256.95038081337191</v>
      </c>
      <c r="O748" s="296">
        <v>3545</v>
      </c>
      <c r="P748" s="188">
        <f t="shared" si="658"/>
        <v>3545</v>
      </c>
      <c r="Q748" s="189">
        <f t="shared" si="659"/>
        <v>3801.9503808133718</v>
      </c>
      <c r="R748" s="190"/>
      <c r="X748" s="212"/>
    </row>
    <row r="749" spans="1:24" s="12" customFormat="1" ht="20.100000000000001" customHeight="1" x14ac:dyDescent="0.2">
      <c r="A749" s="298" t="str">
        <f>IF(J749&lt;&gt;"",1+MAX($A$18:A748),"")</f>
        <v/>
      </c>
      <c r="B749" s="299"/>
      <c r="C749" s="299"/>
      <c r="D749" s="208"/>
      <c r="E749" s="302"/>
      <c r="F749" s="314"/>
      <c r="G749" s="288"/>
      <c r="H749" s="196"/>
      <c r="I749" s="251"/>
      <c r="J749" s="183"/>
      <c r="K749" s="368"/>
      <c r="L749" s="210"/>
      <c r="M749" s="185"/>
      <c r="N749" s="197"/>
      <c r="O749" s="296"/>
      <c r="P749" s="188"/>
      <c r="Q749" s="189"/>
      <c r="R749" s="190"/>
      <c r="S749" s="393"/>
      <c r="T749" s="393"/>
      <c r="U749" s="393"/>
      <c r="V749" s="394"/>
      <c r="X749" s="212"/>
    </row>
    <row r="750" spans="1:24" s="12" customFormat="1" ht="20.100000000000001" customHeight="1" x14ac:dyDescent="0.2">
      <c r="A750" s="298" t="str">
        <f>IF(J750&lt;&gt;"",1+MAX($A$18:A749),"")</f>
        <v/>
      </c>
      <c r="B750" s="299"/>
      <c r="C750" s="299"/>
      <c r="D750" s="208"/>
      <c r="E750" s="302"/>
      <c r="F750" s="332" t="s">
        <v>831</v>
      </c>
      <c r="G750" s="288"/>
      <c r="H750" s="196"/>
      <c r="I750" s="251"/>
      <c r="J750" s="183"/>
      <c r="K750" s="368"/>
      <c r="L750" s="210"/>
      <c r="M750" s="185"/>
      <c r="N750" s="197"/>
      <c r="O750" s="296"/>
      <c r="P750" s="188"/>
      <c r="Q750" s="189"/>
      <c r="R750" s="190"/>
      <c r="S750" s="395"/>
      <c r="T750" s="395"/>
      <c r="U750" s="395"/>
      <c r="X750" s="212"/>
    </row>
    <row r="751" spans="1:24" s="12" customFormat="1" ht="47.25" x14ac:dyDescent="0.2">
      <c r="A751" s="298">
        <f>IF(J751&lt;&gt;"",1+MAX($A$18:A750),"")</f>
        <v>472</v>
      </c>
      <c r="B751" s="299" t="s">
        <v>835</v>
      </c>
      <c r="C751" s="299" t="s">
        <v>836</v>
      </c>
      <c r="D751" s="208" t="s">
        <v>43</v>
      </c>
      <c r="E751" s="302" t="s">
        <v>237</v>
      </c>
      <c r="F751" s="383" t="s">
        <v>832</v>
      </c>
      <c r="G751" s="288">
        <v>8</v>
      </c>
      <c r="H751" s="196">
        <f>IF(VLOOKUP(J751,'HOURLY RATES'!B$116:C$124,2,0)=0,$J$3,VLOOKUP(J751,'HOURLY RATES'!B$116:C$124,2,0))</f>
        <v>0</v>
      </c>
      <c r="I751" s="251">
        <f t="shared" ref="I751:I754" si="660">(G751*(1+H751))</f>
        <v>8</v>
      </c>
      <c r="J751" s="183" t="s">
        <v>16</v>
      </c>
      <c r="K751" s="368">
        <f>1.372*(2.5)</f>
        <v>3.43</v>
      </c>
      <c r="L751" s="369">
        <f>K751*I751</f>
        <v>27.44</v>
      </c>
      <c r="M751" s="185">
        <f>IF(VLOOKUP(E751,'HOURLY RATES'!C$6:D$105,2,0)=0,$E$3,VLOOKUP(E751,'HOURLY RATES'!C$6:D$105,2,0))</f>
        <v>43.294082698125003</v>
      </c>
      <c r="N751" s="197">
        <f t="shared" ref="N751:N754" si="661">M751*L751</f>
        <v>1187.9896292365502</v>
      </c>
      <c r="O751" s="296">
        <v>291</v>
      </c>
      <c r="P751" s="188">
        <f t="shared" ref="P751:P754" si="662">O751*I751</f>
        <v>2328</v>
      </c>
      <c r="Q751" s="189">
        <f t="shared" ref="Q751:Q754" si="663">P751+N751</f>
        <v>3515.9896292365502</v>
      </c>
      <c r="R751" s="190"/>
      <c r="S751" s="393"/>
      <c r="T751" s="393"/>
      <c r="U751" s="393"/>
      <c r="V751" s="394"/>
      <c r="X751" s="212"/>
    </row>
    <row r="752" spans="1:24" s="12" customFormat="1" x14ac:dyDescent="0.2">
      <c r="A752" s="298" t="str">
        <f>IF(J752&lt;&gt;"",1+MAX($A$18:A751),"")</f>
        <v/>
      </c>
      <c r="B752" s="299"/>
      <c r="C752" s="299"/>
      <c r="D752" s="208"/>
      <c r="E752" s="302"/>
      <c r="F752" s="305"/>
      <c r="G752" s="249"/>
      <c r="H752" s="196"/>
      <c r="I752" s="251"/>
      <c r="J752" s="183"/>
      <c r="K752" s="368"/>
      <c r="L752" s="369"/>
      <c r="M752" s="185"/>
      <c r="N752" s="197"/>
      <c r="O752" s="296"/>
      <c r="P752" s="188"/>
      <c r="Q752" s="189"/>
      <c r="R752" s="190"/>
      <c r="S752" s="395"/>
      <c r="T752" s="395"/>
      <c r="U752" s="395"/>
      <c r="X752" s="212"/>
    </row>
    <row r="753" spans="1:24" s="12" customFormat="1" ht="20.100000000000001" customHeight="1" x14ac:dyDescent="0.2">
      <c r="A753" s="298" t="str">
        <f>IF(J753&lt;&gt;"",1+MAX($A$18:A752),"")</f>
        <v/>
      </c>
      <c r="B753" s="299"/>
      <c r="C753" s="299"/>
      <c r="D753" s="208"/>
      <c r="E753" s="302"/>
      <c r="F753" s="332" t="s">
        <v>833</v>
      </c>
      <c r="G753" s="288"/>
      <c r="H753" s="196"/>
      <c r="I753" s="251"/>
      <c r="J753" s="183"/>
      <c r="K753" s="368"/>
      <c r="L753" s="210"/>
      <c r="M753" s="185"/>
      <c r="N753" s="197"/>
      <c r="O753" s="296"/>
      <c r="P753" s="188"/>
      <c r="Q753" s="189"/>
      <c r="R753" s="190"/>
      <c r="S753" s="393"/>
      <c r="T753" s="393"/>
      <c r="U753" s="393"/>
      <c r="V753" s="394"/>
      <c r="X753" s="212"/>
    </row>
    <row r="754" spans="1:24" s="12" customFormat="1" x14ac:dyDescent="0.2">
      <c r="A754" s="298">
        <f>IF(J754&lt;&gt;"",1+MAX($A$18:A753),"")</f>
        <v>473</v>
      </c>
      <c r="B754" s="299" t="s">
        <v>835</v>
      </c>
      <c r="C754" s="299" t="s">
        <v>835</v>
      </c>
      <c r="D754" s="208" t="s">
        <v>43</v>
      </c>
      <c r="E754" s="302" t="s">
        <v>237</v>
      </c>
      <c r="F754" s="305" t="s">
        <v>833</v>
      </c>
      <c r="G754" s="249">
        <v>2</v>
      </c>
      <c r="H754" s="196">
        <f>IF(VLOOKUP(J754,'HOURLY RATES'!B$116:C$124,2,0)=0,$J$3,VLOOKUP(J754,'HOURLY RATES'!B$116:C$124,2,0))</f>
        <v>0</v>
      </c>
      <c r="I754" s="251">
        <f t="shared" si="660"/>
        <v>2</v>
      </c>
      <c r="J754" s="183" t="s">
        <v>16</v>
      </c>
      <c r="K754" s="368">
        <f>1.016*(2.5)</f>
        <v>2.54</v>
      </c>
      <c r="L754" s="369">
        <f>K754*I754</f>
        <v>5.08</v>
      </c>
      <c r="M754" s="185">
        <f>IF(VLOOKUP(E754,'HOURLY RATES'!C$6:D$105,2,0)=0,$E$3,VLOOKUP(E754,'HOURLY RATES'!C$6:D$105,2,0))</f>
        <v>43.294082698125003</v>
      </c>
      <c r="N754" s="197">
        <f t="shared" si="661"/>
        <v>219.93394010647501</v>
      </c>
      <c r="O754" s="296">
        <v>99</v>
      </c>
      <c r="P754" s="188">
        <f t="shared" si="662"/>
        <v>198</v>
      </c>
      <c r="Q754" s="189">
        <f t="shared" si="663"/>
        <v>417.93394010647501</v>
      </c>
      <c r="R754" s="190"/>
      <c r="S754" s="395"/>
      <c r="T754" s="395"/>
      <c r="U754" s="395"/>
      <c r="X754" s="212"/>
    </row>
    <row r="755" spans="1:24" s="12" customFormat="1" x14ac:dyDescent="0.2">
      <c r="A755" s="298" t="str">
        <f>IF(J755&lt;&gt;"",1+MAX($A$18:A754),"")</f>
        <v/>
      </c>
      <c r="B755" s="299"/>
      <c r="C755" s="299"/>
      <c r="D755" s="208"/>
      <c r="E755" s="302"/>
      <c r="F755" s="305"/>
      <c r="G755" s="249"/>
      <c r="H755" s="196"/>
      <c r="I755" s="251"/>
      <c r="J755" s="183"/>
      <c r="K755" s="368"/>
      <c r="L755" s="369"/>
      <c r="M755" s="185"/>
      <c r="N755" s="197"/>
      <c r="O755" s="296"/>
      <c r="P755" s="188"/>
      <c r="Q755" s="189"/>
      <c r="R755" s="190"/>
      <c r="S755" s="393"/>
      <c r="T755" s="393"/>
      <c r="U755" s="393"/>
      <c r="V755" s="394"/>
      <c r="X755" s="212"/>
    </row>
    <row r="756" spans="1:24" s="12" customFormat="1" ht="20.100000000000001" customHeight="1" x14ac:dyDescent="0.2">
      <c r="A756" s="298">
        <f>IF(J756&lt;&gt;"",1+MAX($A$18:A755),"")</f>
        <v>474</v>
      </c>
      <c r="B756" s="299"/>
      <c r="C756" s="299"/>
      <c r="D756" s="208" t="s">
        <v>43</v>
      </c>
      <c r="E756" s="302" t="s">
        <v>237</v>
      </c>
      <c r="F756" s="314" t="s">
        <v>834</v>
      </c>
      <c r="G756" s="288">
        <v>960</v>
      </c>
      <c r="H756" s="196">
        <f>IF(VLOOKUP(J756,'HOURLY RATES'!B$116:C$124,2,0)=0,$J$3,VLOOKUP(J756,'HOURLY RATES'!B$116:C$124,2,0))</f>
        <v>0.05</v>
      </c>
      <c r="I756" s="251">
        <f t="shared" ref="I756" si="664">(G756*(1+H756))</f>
        <v>1008</v>
      </c>
      <c r="J756" s="183" t="s">
        <v>17</v>
      </c>
      <c r="K756" s="368">
        <f>0.24/2.1</f>
        <v>0.11428571428571428</v>
      </c>
      <c r="L756" s="369">
        <f>K756*I756</f>
        <v>115.2</v>
      </c>
      <c r="M756" s="185">
        <f>IF(VLOOKUP(E756,'HOURLY RATES'!C$6:D$105,2,0)=0,$E$3,VLOOKUP(E756,'HOURLY RATES'!C$6:D$105,2,0))</f>
        <v>43.294082698125003</v>
      </c>
      <c r="N756" s="197">
        <f t="shared" ref="N756" si="665">M756*L756</f>
        <v>4987.4783268240008</v>
      </c>
      <c r="O756" s="296">
        <f>6/2.1</f>
        <v>2.8571428571428572</v>
      </c>
      <c r="P756" s="188">
        <f t="shared" ref="P756" si="666">O756*I756</f>
        <v>2880</v>
      </c>
      <c r="Q756" s="189">
        <f t="shared" ref="Q756" si="667">P756+N756</f>
        <v>7867.4783268240008</v>
      </c>
      <c r="R756" s="190"/>
      <c r="S756" s="395"/>
      <c r="T756" s="395"/>
      <c r="U756" s="395"/>
      <c r="X756" s="212"/>
    </row>
    <row r="757" spans="1:24" s="12" customFormat="1" ht="16.5" thickBot="1" x14ac:dyDescent="0.25">
      <c r="A757" s="214" t="str">
        <f>IF(J757&lt;&gt;"",1+MAX($A$18:A756),"")</f>
        <v/>
      </c>
      <c r="B757" s="215"/>
      <c r="C757" s="215"/>
      <c r="D757" s="215"/>
      <c r="E757" s="215"/>
      <c r="F757" s="216"/>
      <c r="G757" s="217"/>
      <c r="H757" s="218"/>
      <c r="I757" s="219"/>
      <c r="J757" s="220"/>
      <c r="K757" s="390"/>
      <c r="L757" s="222"/>
      <c r="M757" s="223"/>
      <c r="N757" s="224"/>
      <c r="O757" s="392"/>
      <c r="P757" s="226"/>
      <c r="Q757" s="227"/>
      <c r="R757" s="228"/>
      <c r="S757" s="393"/>
      <c r="T757" s="393"/>
      <c r="U757" s="393"/>
      <c r="V757" s="394"/>
      <c r="X757" s="212"/>
    </row>
    <row r="758" spans="1:24" s="12" customFormat="1" ht="20.100000000000001" customHeight="1" x14ac:dyDescent="0.2">
      <c r="A758" s="479" t="str">
        <f>IF(J758&lt;&gt;"",1+MAX($A$18:A757),"")</f>
        <v/>
      </c>
      <c r="B758" s="480"/>
      <c r="C758" s="480"/>
      <c r="D758" s="485" t="s">
        <v>44</v>
      </c>
      <c r="E758" s="485"/>
      <c r="F758" s="486" t="s">
        <v>164</v>
      </c>
      <c r="G758" s="481"/>
      <c r="H758" s="482"/>
      <c r="I758" s="483"/>
      <c r="J758" s="483"/>
      <c r="K758" s="482"/>
      <c r="L758" s="482"/>
      <c r="M758" s="482"/>
      <c r="N758" s="482"/>
      <c r="O758" s="482"/>
      <c r="P758" s="482"/>
      <c r="Q758" s="482"/>
      <c r="R758" s="484">
        <f>SUM(Q759:Q819)</f>
        <v>81847.601233264199</v>
      </c>
      <c r="S758" s="395"/>
      <c r="T758" s="395"/>
      <c r="U758" s="395"/>
      <c r="X758" s="212"/>
    </row>
    <row r="759" spans="1:24" s="12" customFormat="1" x14ac:dyDescent="0.2">
      <c r="A759" s="287" t="str">
        <f>IF(J759&lt;&gt;"",1+MAX($A$18:A758),"")</f>
        <v/>
      </c>
      <c r="B759" s="301"/>
      <c r="C759" s="301"/>
      <c r="D759" s="201"/>
      <c r="E759" s="192"/>
      <c r="F759" s="207" t="s">
        <v>27</v>
      </c>
      <c r="G759" s="288"/>
      <c r="H759" s="289"/>
      <c r="I759" s="290"/>
      <c r="J759" s="291"/>
      <c r="K759" s="292"/>
      <c r="L759" s="293"/>
      <c r="M759" s="294"/>
      <c r="N759" s="295"/>
      <c r="O759" s="296"/>
      <c r="P759" s="295"/>
      <c r="Q759" s="297"/>
      <c r="R759" s="304"/>
      <c r="X759" s="212"/>
    </row>
    <row r="760" spans="1:24" s="12" customFormat="1" x14ac:dyDescent="0.2">
      <c r="A760" s="287" t="str">
        <f>IF(J760&lt;&gt;"",1+MAX($A$18:A759),"")</f>
        <v/>
      </c>
      <c r="B760" s="301"/>
      <c r="C760" s="301"/>
      <c r="D760" s="201"/>
      <c r="E760" s="192"/>
      <c r="F760" s="333" t="s">
        <v>338</v>
      </c>
      <c r="G760" s="288"/>
      <c r="H760" s="289"/>
      <c r="I760" s="290"/>
      <c r="J760" s="291"/>
      <c r="K760" s="292"/>
      <c r="L760" s="293"/>
      <c r="M760" s="294"/>
      <c r="N760" s="295"/>
      <c r="O760" s="296"/>
      <c r="P760" s="295"/>
      <c r="Q760" s="297"/>
      <c r="R760" s="304"/>
      <c r="X760" s="212"/>
    </row>
    <row r="761" spans="1:24" s="12" customFormat="1" ht="31.5" x14ac:dyDescent="0.2">
      <c r="A761" s="298">
        <f>IF(J761&lt;&gt;"",1+MAX($A$18:A760),"")</f>
        <v>475</v>
      </c>
      <c r="B761" s="299" t="s">
        <v>328</v>
      </c>
      <c r="C761" s="299" t="s">
        <v>328</v>
      </c>
      <c r="D761" s="208" t="s">
        <v>44</v>
      </c>
      <c r="E761" s="302" t="s">
        <v>147</v>
      </c>
      <c r="F761" s="305" t="s">
        <v>955</v>
      </c>
      <c r="G761" s="249">
        <v>1</v>
      </c>
      <c r="H761" s="196">
        <f>IF(VLOOKUP(J761,'HOURLY RATES'!B$116:C$124,2,0)=0,$J$3,VLOOKUP(J761,'HOURLY RATES'!B$116:C$124,2,0))</f>
        <v>0</v>
      </c>
      <c r="I761" s="251">
        <f t="shared" ref="I761" si="668">(G761*(1+H761))</f>
        <v>1</v>
      </c>
      <c r="J761" s="183" t="s">
        <v>16</v>
      </c>
      <c r="K761" s="368">
        <f>(1.124)*(2)</f>
        <v>2.2480000000000002</v>
      </c>
      <c r="L761" s="369">
        <f>K761*I761</f>
        <v>2.2480000000000002</v>
      </c>
      <c r="M761" s="185">
        <f>IF(VLOOKUP(E761,'HOURLY RATES'!C$6:D$105,2,0)=0,$E$3,VLOOKUP(E761,'HOURLY RATES'!C$6:D$105,2,0))</f>
        <v>45.703973699999999</v>
      </c>
      <c r="N761" s="197">
        <f t="shared" ref="N761" si="669">M761*L761</f>
        <v>102.74253287760001</v>
      </c>
      <c r="O761" s="296">
        <v>270</v>
      </c>
      <c r="P761" s="188">
        <f t="shared" ref="P761" si="670">O761*I761</f>
        <v>270</v>
      </c>
      <c r="Q761" s="189">
        <f t="shared" ref="Q761" si="671">P761+N761</f>
        <v>372.74253287760001</v>
      </c>
      <c r="R761" s="190"/>
      <c r="X761" s="212"/>
    </row>
    <row r="762" spans="1:24" s="12" customFormat="1" x14ac:dyDescent="0.2">
      <c r="A762" s="287" t="str">
        <f>IF(J762&lt;&gt;"",1+MAX($A$18:A761),"")</f>
        <v/>
      </c>
      <c r="B762" s="301"/>
      <c r="C762" s="301"/>
      <c r="D762" s="201"/>
      <c r="E762" s="192"/>
      <c r="F762" s="207"/>
      <c r="G762" s="288"/>
      <c r="H762" s="289"/>
      <c r="I762" s="290"/>
      <c r="J762" s="291"/>
      <c r="K762" s="292"/>
      <c r="L762" s="293"/>
      <c r="M762" s="294"/>
      <c r="N762" s="295"/>
      <c r="O762" s="296"/>
      <c r="P762" s="295"/>
      <c r="Q762" s="297"/>
      <c r="R762" s="304"/>
      <c r="X762" s="212"/>
    </row>
    <row r="763" spans="1:24" s="12" customFormat="1" x14ac:dyDescent="0.2">
      <c r="A763" s="287" t="str">
        <f>IF(J763&lt;&gt;"",1+MAX($A$18:A762),"")</f>
        <v/>
      </c>
      <c r="B763" s="301"/>
      <c r="C763" s="301"/>
      <c r="D763" s="201"/>
      <c r="E763" s="192"/>
      <c r="F763" s="331" t="s">
        <v>292</v>
      </c>
      <c r="G763" s="288"/>
      <c r="H763" s="289"/>
      <c r="I763" s="290"/>
      <c r="J763" s="291"/>
      <c r="K763" s="292"/>
      <c r="L763" s="293"/>
      <c r="M763" s="294"/>
      <c r="N763" s="295"/>
      <c r="O763" s="296"/>
      <c r="P763" s="295"/>
      <c r="Q763" s="297"/>
      <c r="R763" s="304"/>
      <c r="X763" s="212"/>
    </row>
    <row r="764" spans="1:24" s="12" customFormat="1" x14ac:dyDescent="0.2">
      <c r="A764" s="200" t="str">
        <f>IF(J764&lt;&gt;"",1+MAX($A$18:A763),"")</f>
        <v/>
      </c>
      <c r="B764" s="299"/>
      <c r="C764" s="299"/>
      <c r="D764" s="208"/>
      <c r="E764" s="192"/>
      <c r="F764" s="332" t="s">
        <v>286</v>
      </c>
      <c r="G764" s="249"/>
      <c r="H764" s="196"/>
      <c r="I764" s="251"/>
      <c r="J764" s="183"/>
      <c r="K764" s="199"/>
      <c r="L764" s="210"/>
      <c r="M764" s="185"/>
      <c r="N764" s="197"/>
      <c r="O764" s="211"/>
      <c r="P764" s="188"/>
      <c r="Q764" s="189"/>
      <c r="R764" s="304"/>
      <c r="X764" s="212"/>
    </row>
    <row r="765" spans="1:24" s="12" customFormat="1" x14ac:dyDescent="0.2">
      <c r="A765" s="298">
        <f>IF(J765&lt;&gt;"",1+MAX($A$18:A764),"")</f>
        <v>476</v>
      </c>
      <c r="B765" s="299" t="s">
        <v>321</v>
      </c>
      <c r="C765" s="299" t="s">
        <v>322</v>
      </c>
      <c r="D765" s="208" t="s">
        <v>44</v>
      </c>
      <c r="E765" s="302" t="s">
        <v>147</v>
      </c>
      <c r="F765" s="305" t="s">
        <v>320</v>
      </c>
      <c r="G765" s="249">
        <v>46</v>
      </c>
      <c r="H765" s="196">
        <f>IF(VLOOKUP(J765,'HOURLY RATES'!B$116:C$124,2,0)=0,$J$3,VLOOKUP(J765,'HOURLY RATES'!B$116:C$124,2,0))</f>
        <v>0</v>
      </c>
      <c r="I765" s="251">
        <f t="shared" ref="I765" si="672">(G765*(1+H765))</f>
        <v>46</v>
      </c>
      <c r="J765" s="183" t="s">
        <v>16</v>
      </c>
      <c r="K765" s="368">
        <f>(0.901)*(2)</f>
        <v>1.802</v>
      </c>
      <c r="L765" s="369">
        <f t="shared" ref="L765:L775" si="673">K765*I765</f>
        <v>82.891999999999996</v>
      </c>
      <c r="M765" s="185">
        <f>IF(VLOOKUP(E765,'HOURLY RATES'!C$6:D$105,2,0)=0,$E$3,VLOOKUP(E765,'HOURLY RATES'!C$6:D$105,2,0))</f>
        <v>45.703973699999999</v>
      </c>
      <c r="N765" s="197">
        <f t="shared" ref="N765" si="674">M765*L765</f>
        <v>3788.4937879403997</v>
      </c>
      <c r="O765" s="296">
        <v>42.97</v>
      </c>
      <c r="P765" s="188">
        <f t="shared" ref="P765" si="675">O765*I765</f>
        <v>1976.62</v>
      </c>
      <c r="Q765" s="189">
        <f t="shared" ref="Q765" si="676">P765+N765</f>
        <v>5765.1137879403996</v>
      </c>
      <c r="R765" s="190"/>
      <c r="X765" s="212"/>
    </row>
    <row r="766" spans="1:24" s="12" customFormat="1" x14ac:dyDescent="0.2">
      <c r="A766" s="298">
        <f>IF(J766&lt;&gt;"",1+MAX($A$18:A765),"")</f>
        <v>477</v>
      </c>
      <c r="B766" s="299" t="s">
        <v>321</v>
      </c>
      <c r="C766" s="299" t="s">
        <v>322</v>
      </c>
      <c r="D766" s="208" t="s">
        <v>44</v>
      </c>
      <c r="E766" s="302" t="s">
        <v>147</v>
      </c>
      <c r="F766" s="305" t="s">
        <v>319</v>
      </c>
      <c r="G766" s="249">
        <v>9</v>
      </c>
      <c r="H766" s="196">
        <f>IF(VLOOKUP(J766,'HOURLY RATES'!B$116:C$124,2,0)=0,$J$3,VLOOKUP(J766,'HOURLY RATES'!B$116:C$124,2,0))</f>
        <v>0</v>
      </c>
      <c r="I766" s="251">
        <f t="shared" ref="I766" si="677">(G766*(1+H766))</f>
        <v>9</v>
      </c>
      <c r="J766" s="183" t="s">
        <v>16</v>
      </c>
      <c r="K766" s="368">
        <f>(1.134)*(2)</f>
        <v>2.2679999999999998</v>
      </c>
      <c r="L766" s="369">
        <f t="shared" si="673"/>
        <v>20.411999999999999</v>
      </c>
      <c r="M766" s="185">
        <f>IF(VLOOKUP(E766,'HOURLY RATES'!C$6:D$105,2,0)=0,$E$3,VLOOKUP(E766,'HOURLY RATES'!C$6:D$105,2,0))</f>
        <v>45.703973699999999</v>
      </c>
      <c r="N766" s="197">
        <f t="shared" ref="N766" si="678">M766*L766</f>
        <v>932.90951116439999</v>
      </c>
      <c r="O766" s="296">
        <v>115</v>
      </c>
      <c r="P766" s="188">
        <f t="shared" ref="P766" si="679">O766*I766</f>
        <v>1035</v>
      </c>
      <c r="Q766" s="189">
        <f t="shared" ref="Q766" si="680">P766+N766</f>
        <v>1967.9095111644001</v>
      </c>
      <c r="R766" s="190"/>
      <c r="X766" s="212"/>
    </row>
    <row r="767" spans="1:24" s="12" customFormat="1" x14ac:dyDescent="0.2">
      <c r="A767" s="298">
        <f>IF(J767&lt;&gt;"",1+MAX($A$18:A766),"")</f>
        <v>478</v>
      </c>
      <c r="B767" s="299" t="s">
        <v>321</v>
      </c>
      <c r="C767" s="299" t="s">
        <v>322</v>
      </c>
      <c r="D767" s="208" t="s">
        <v>44</v>
      </c>
      <c r="E767" s="302" t="s">
        <v>147</v>
      </c>
      <c r="F767" s="305" t="s">
        <v>318</v>
      </c>
      <c r="G767" s="249">
        <v>1</v>
      </c>
      <c r="H767" s="196">
        <f>IF(VLOOKUP(J767,'HOURLY RATES'!B$116:C$124,2,0)=0,$J$3,VLOOKUP(J767,'HOURLY RATES'!B$116:C$124,2,0))</f>
        <v>0</v>
      </c>
      <c r="I767" s="251">
        <f t="shared" ref="I767:I774" si="681">(G767*(1+H767))</f>
        <v>1</v>
      </c>
      <c r="J767" s="183" t="s">
        <v>16</v>
      </c>
      <c r="K767" s="368">
        <f>(1.103)*(2)</f>
        <v>2.206</v>
      </c>
      <c r="L767" s="369">
        <f t="shared" si="673"/>
        <v>2.206</v>
      </c>
      <c r="M767" s="185">
        <f>IF(VLOOKUP(E767,'HOURLY RATES'!C$6:D$105,2,0)=0,$E$3,VLOOKUP(E767,'HOURLY RATES'!C$6:D$105,2,0))</f>
        <v>45.703973699999999</v>
      </c>
      <c r="N767" s="197">
        <f t="shared" ref="N767:N774" si="682">M767*L767</f>
        <v>100.82296598219999</v>
      </c>
      <c r="O767" s="296">
        <v>105.99</v>
      </c>
      <c r="P767" s="188">
        <f t="shared" ref="P767:P774" si="683">O767*I767</f>
        <v>105.99</v>
      </c>
      <c r="Q767" s="189">
        <f t="shared" ref="Q767:Q774" si="684">P767+N767</f>
        <v>206.81296598219998</v>
      </c>
      <c r="R767" s="190"/>
      <c r="X767" s="212"/>
    </row>
    <row r="768" spans="1:24" s="12" customFormat="1" x14ac:dyDescent="0.2">
      <c r="A768" s="298">
        <f>IF(J768&lt;&gt;"",1+MAX($A$18:A767),"")</f>
        <v>479</v>
      </c>
      <c r="B768" s="299" t="s">
        <v>321</v>
      </c>
      <c r="C768" s="299" t="s">
        <v>322</v>
      </c>
      <c r="D768" s="208" t="s">
        <v>44</v>
      </c>
      <c r="E768" s="302" t="s">
        <v>147</v>
      </c>
      <c r="F768" s="305" t="s">
        <v>317</v>
      </c>
      <c r="G768" s="249">
        <v>1</v>
      </c>
      <c r="H768" s="196">
        <f>IF(VLOOKUP(J768,'HOURLY RATES'!B$116:C$124,2,0)=0,$J$3,VLOOKUP(J768,'HOURLY RATES'!B$116:C$124,2,0))</f>
        <v>0</v>
      </c>
      <c r="I768" s="251">
        <f t="shared" si="681"/>
        <v>1</v>
      </c>
      <c r="J768" s="183" t="s">
        <v>16</v>
      </c>
      <c r="K768" s="368">
        <f>(1.469)*(2)</f>
        <v>2.9380000000000002</v>
      </c>
      <c r="L768" s="369">
        <f t="shared" si="673"/>
        <v>2.9380000000000002</v>
      </c>
      <c r="M768" s="185">
        <f>IF(VLOOKUP(E768,'HOURLY RATES'!C$6:D$105,2,0)=0,$E$3,VLOOKUP(E768,'HOURLY RATES'!C$6:D$105,2,0))</f>
        <v>45.703973699999999</v>
      </c>
      <c r="N768" s="197">
        <f t="shared" si="682"/>
        <v>134.2782747306</v>
      </c>
      <c r="O768" s="296">
        <v>399</v>
      </c>
      <c r="P768" s="188">
        <f t="shared" si="683"/>
        <v>399</v>
      </c>
      <c r="Q768" s="189">
        <f t="shared" si="684"/>
        <v>533.27827473060006</v>
      </c>
      <c r="R768" s="190"/>
      <c r="X768" s="212"/>
    </row>
    <row r="769" spans="1:24" s="12" customFormat="1" x14ac:dyDescent="0.2">
      <c r="A769" s="298">
        <f>IF(J769&lt;&gt;"",1+MAX($A$18:A768),"")</f>
        <v>480</v>
      </c>
      <c r="B769" s="299" t="s">
        <v>321</v>
      </c>
      <c r="C769" s="299" t="s">
        <v>322</v>
      </c>
      <c r="D769" s="208" t="s">
        <v>44</v>
      </c>
      <c r="E769" s="302" t="s">
        <v>147</v>
      </c>
      <c r="F769" s="305" t="s">
        <v>316</v>
      </c>
      <c r="G769" s="249">
        <v>1</v>
      </c>
      <c r="H769" s="196">
        <f>IF(VLOOKUP(J769,'HOURLY RATES'!B$116:C$124,2,0)=0,$J$3,VLOOKUP(J769,'HOURLY RATES'!B$116:C$124,2,0))</f>
        <v>0</v>
      </c>
      <c r="I769" s="251">
        <f t="shared" si="681"/>
        <v>1</v>
      </c>
      <c r="J769" s="183" t="s">
        <v>16</v>
      </c>
      <c r="K769" s="368">
        <f>(1.134)*(2)</f>
        <v>2.2679999999999998</v>
      </c>
      <c r="L769" s="369">
        <f t="shared" si="673"/>
        <v>2.2679999999999998</v>
      </c>
      <c r="M769" s="185">
        <f>IF(VLOOKUP(E769,'HOURLY RATES'!C$6:D$105,2,0)=0,$E$3,VLOOKUP(E769,'HOURLY RATES'!C$6:D$105,2,0))</f>
        <v>45.703973699999999</v>
      </c>
      <c r="N769" s="197">
        <f t="shared" si="682"/>
        <v>103.65661235159999</v>
      </c>
      <c r="O769" s="296">
        <v>115</v>
      </c>
      <c r="P769" s="188">
        <f t="shared" si="683"/>
        <v>115</v>
      </c>
      <c r="Q769" s="189">
        <f t="shared" si="684"/>
        <v>218.65661235159999</v>
      </c>
      <c r="R769" s="190"/>
      <c r="X769" s="212"/>
    </row>
    <row r="770" spans="1:24" s="12" customFormat="1" x14ac:dyDescent="0.2">
      <c r="A770" s="298">
        <f>IF(J770&lt;&gt;"",1+MAX($A$18:A769),"")</f>
        <v>481</v>
      </c>
      <c r="B770" s="299" t="s">
        <v>321</v>
      </c>
      <c r="C770" s="299" t="s">
        <v>322</v>
      </c>
      <c r="D770" s="208" t="s">
        <v>44</v>
      </c>
      <c r="E770" s="302" t="s">
        <v>147</v>
      </c>
      <c r="F770" s="305" t="s">
        <v>315</v>
      </c>
      <c r="G770" s="249">
        <v>5</v>
      </c>
      <c r="H770" s="196">
        <f>IF(VLOOKUP(J770,'HOURLY RATES'!B$116:C$124,2,0)=0,$J$3,VLOOKUP(J770,'HOURLY RATES'!B$116:C$124,2,0))</f>
        <v>0</v>
      </c>
      <c r="I770" s="251">
        <f t="shared" si="681"/>
        <v>5</v>
      </c>
      <c r="J770" s="183" t="s">
        <v>16</v>
      </c>
      <c r="K770" s="368">
        <f>(1.268)*(2)</f>
        <v>2.536</v>
      </c>
      <c r="L770" s="369">
        <f t="shared" si="673"/>
        <v>12.68</v>
      </c>
      <c r="M770" s="185">
        <f>IF(VLOOKUP(E770,'HOURLY RATES'!C$6:D$105,2,0)=0,$E$3,VLOOKUP(E770,'HOURLY RATES'!C$6:D$105,2,0))</f>
        <v>45.703973699999999</v>
      </c>
      <c r="N770" s="197">
        <f t="shared" si="682"/>
        <v>579.526386516</v>
      </c>
      <c r="O770" s="296">
        <v>139</v>
      </c>
      <c r="P770" s="188">
        <f t="shared" si="683"/>
        <v>695</v>
      </c>
      <c r="Q770" s="189">
        <f t="shared" si="684"/>
        <v>1274.526386516</v>
      </c>
      <c r="R770" s="190"/>
      <c r="X770" s="212"/>
    </row>
    <row r="771" spans="1:24" s="12" customFormat="1" x14ac:dyDescent="0.2">
      <c r="A771" s="298">
        <f>IF(J771&lt;&gt;"",1+MAX($A$18:A770),"")</f>
        <v>482</v>
      </c>
      <c r="B771" s="299" t="s">
        <v>321</v>
      </c>
      <c r="C771" s="299" t="s">
        <v>322</v>
      </c>
      <c r="D771" s="208" t="s">
        <v>44</v>
      </c>
      <c r="E771" s="302" t="s">
        <v>147</v>
      </c>
      <c r="F771" s="305" t="s">
        <v>311</v>
      </c>
      <c r="G771" s="249">
        <v>3</v>
      </c>
      <c r="H771" s="196">
        <f>IF(VLOOKUP(J771,'HOURLY RATES'!B$116:C$124,2,0)=0,$J$3,VLOOKUP(J771,'HOURLY RATES'!B$116:C$124,2,0))</f>
        <v>0</v>
      </c>
      <c r="I771" s="251">
        <f t="shared" si="681"/>
        <v>3</v>
      </c>
      <c r="J771" s="183" t="s">
        <v>16</v>
      </c>
      <c r="K771" s="368">
        <f>(1.471)*(2)</f>
        <v>2.9420000000000002</v>
      </c>
      <c r="L771" s="369">
        <f t="shared" si="673"/>
        <v>8.8260000000000005</v>
      </c>
      <c r="M771" s="185">
        <f>IF(VLOOKUP(E771,'HOURLY RATES'!C$6:D$105,2,0)=0,$E$3,VLOOKUP(E771,'HOURLY RATES'!C$6:D$105,2,0))</f>
        <v>45.703973699999999</v>
      </c>
      <c r="N771" s="197">
        <f t="shared" si="682"/>
        <v>403.38327187620001</v>
      </c>
      <c r="O771" s="296">
        <v>399.99</v>
      </c>
      <c r="P771" s="188">
        <f t="shared" si="683"/>
        <v>1199.97</v>
      </c>
      <c r="Q771" s="189">
        <f t="shared" si="684"/>
        <v>1603.3532718762001</v>
      </c>
      <c r="R771" s="190"/>
      <c r="X771" s="212"/>
    </row>
    <row r="772" spans="1:24" s="12" customFormat="1" x14ac:dyDescent="0.2">
      <c r="A772" s="298">
        <f>IF(J772&lt;&gt;"",1+MAX($A$18:A771),"")</f>
        <v>483</v>
      </c>
      <c r="B772" s="299" t="s">
        <v>321</v>
      </c>
      <c r="C772" s="299" t="s">
        <v>322</v>
      </c>
      <c r="D772" s="208" t="s">
        <v>44</v>
      </c>
      <c r="E772" s="302" t="s">
        <v>147</v>
      </c>
      <c r="F772" s="305" t="s">
        <v>314</v>
      </c>
      <c r="G772" s="249">
        <v>5</v>
      </c>
      <c r="H772" s="196">
        <f>IF(VLOOKUP(J772,'HOURLY RATES'!B$116:C$124,2,0)=0,$J$3,VLOOKUP(J772,'HOURLY RATES'!B$116:C$124,2,0))</f>
        <v>0</v>
      </c>
      <c r="I772" s="251">
        <f t="shared" si="681"/>
        <v>5</v>
      </c>
      <c r="J772" s="183" t="s">
        <v>16</v>
      </c>
      <c r="K772" s="368">
        <f>(0.912)*(2)</f>
        <v>1.8240000000000001</v>
      </c>
      <c r="L772" s="369">
        <f t="shared" si="673"/>
        <v>9.120000000000001</v>
      </c>
      <c r="M772" s="185">
        <f>IF(VLOOKUP(E772,'HOURLY RATES'!C$6:D$105,2,0)=0,$E$3,VLOOKUP(E772,'HOURLY RATES'!C$6:D$105,2,0))</f>
        <v>45.703973699999999</v>
      </c>
      <c r="N772" s="197">
        <f t="shared" si="682"/>
        <v>416.82024014400002</v>
      </c>
      <c r="O772" s="296">
        <v>47.32</v>
      </c>
      <c r="P772" s="188">
        <f t="shared" si="683"/>
        <v>236.6</v>
      </c>
      <c r="Q772" s="189">
        <f t="shared" si="684"/>
        <v>653.42024014399999</v>
      </c>
      <c r="R772" s="190"/>
      <c r="X772" s="212"/>
    </row>
    <row r="773" spans="1:24" s="12" customFormat="1" x14ac:dyDescent="0.2">
      <c r="A773" s="298">
        <f>IF(J773&lt;&gt;"",1+MAX($A$18:A772),"")</f>
        <v>484</v>
      </c>
      <c r="B773" s="299" t="s">
        <v>321</v>
      </c>
      <c r="C773" s="299" t="s">
        <v>322</v>
      </c>
      <c r="D773" s="208" t="s">
        <v>44</v>
      </c>
      <c r="E773" s="302" t="s">
        <v>147</v>
      </c>
      <c r="F773" s="305" t="s">
        <v>313</v>
      </c>
      <c r="G773" s="249">
        <v>7</v>
      </c>
      <c r="H773" s="196">
        <f>IF(VLOOKUP(J773,'HOURLY RATES'!B$116:C$124,2,0)=0,$J$3,VLOOKUP(J773,'HOURLY RATES'!B$116:C$124,2,0))</f>
        <v>0</v>
      </c>
      <c r="I773" s="251">
        <f t="shared" si="681"/>
        <v>7</v>
      </c>
      <c r="J773" s="183" t="s">
        <v>16</v>
      </c>
      <c r="K773" s="368">
        <f>(1.325)*(2)</f>
        <v>2.65</v>
      </c>
      <c r="L773" s="369">
        <f t="shared" si="673"/>
        <v>18.55</v>
      </c>
      <c r="M773" s="185">
        <f>IF(VLOOKUP(E773,'HOURLY RATES'!C$6:D$105,2,0)=0,$E$3,VLOOKUP(E773,'HOURLY RATES'!C$6:D$105,2,0))</f>
        <v>45.703973699999999</v>
      </c>
      <c r="N773" s="197">
        <f t="shared" si="682"/>
        <v>847.80871213500006</v>
      </c>
      <c r="O773" s="296">
        <v>203.91</v>
      </c>
      <c r="P773" s="188">
        <f t="shared" si="683"/>
        <v>1427.37</v>
      </c>
      <c r="Q773" s="189">
        <f t="shared" si="684"/>
        <v>2275.1787121349998</v>
      </c>
      <c r="R773" s="190"/>
      <c r="X773" s="212"/>
    </row>
    <row r="774" spans="1:24" s="12" customFormat="1" x14ac:dyDescent="0.2">
      <c r="A774" s="298">
        <f>IF(J774&lt;&gt;"",1+MAX($A$18:A773),"")</f>
        <v>485</v>
      </c>
      <c r="B774" s="299" t="s">
        <v>321</v>
      </c>
      <c r="C774" s="299" t="s">
        <v>322</v>
      </c>
      <c r="D774" s="208" t="s">
        <v>44</v>
      </c>
      <c r="E774" s="302" t="s">
        <v>147</v>
      </c>
      <c r="F774" s="305" t="s">
        <v>312</v>
      </c>
      <c r="G774" s="249">
        <v>4</v>
      </c>
      <c r="H774" s="196">
        <f>IF(VLOOKUP(J774,'HOURLY RATES'!B$116:C$124,2,0)=0,$J$3,VLOOKUP(J774,'HOURLY RATES'!B$116:C$124,2,0))</f>
        <v>0</v>
      </c>
      <c r="I774" s="251">
        <f t="shared" si="681"/>
        <v>4</v>
      </c>
      <c r="J774" s="183" t="s">
        <v>16</v>
      </c>
      <c r="K774" s="368">
        <f>(1.268)*(2)</f>
        <v>2.536</v>
      </c>
      <c r="L774" s="369">
        <f t="shared" si="673"/>
        <v>10.144</v>
      </c>
      <c r="M774" s="185">
        <f>IF(VLOOKUP(E774,'HOURLY RATES'!C$6:D$105,2,0)=0,$E$3,VLOOKUP(E774,'HOURLY RATES'!C$6:D$105,2,0))</f>
        <v>45.703973699999999</v>
      </c>
      <c r="N774" s="197">
        <f t="shared" si="682"/>
        <v>463.62110921279998</v>
      </c>
      <c r="O774" s="296">
        <v>139</v>
      </c>
      <c r="P774" s="188">
        <f t="shared" si="683"/>
        <v>556</v>
      </c>
      <c r="Q774" s="189">
        <f t="shared" si="684"/>
        <v>1019.6211092128</v>
      </c>
      <c r="R774" s="190"/>
      <c r="X774" s="212"/>
    </row>
    <row r="775" spans="1:24" s="12" customFormat="1" x14ac:dyDescent="0.2">
      <c r="A775" s="298">
        <f>IF(J775&lt;&gt;"",1+MAX($A$18:A774),"")</f>
        <v>486</v>
      </c>
      <c r="B775" s="299" t="s">
        <v>328</v>
      </c>
      <c r="C775" s="299" t="s">
        <v>322</v>
      </c>
      <c r="D775" s="208" t="s">
        <v>44</v>
      </c>
      <c r="E775" s="302" t="s">
        <v>147</v>
      </c>
      <c r="F775" s="305" t="s">
        <v>935</v>
      </c>
      <c r="G775" s="249">
        <v>2</v>
      </c>
      <c r="H775" s="196">
        <f>IF(VLOOKUP(J775,'HOURLY RATES'!B$116:C$124,2,0)=0,$J$3,VLOOKUP(J775,'HOURLY RATES'!B$116:C$124,2,0))</f>
        <v>0</v>
      </c>
      <c r="I775" s="251">
        <f t="shared" ref="I775" si="685">(G775*(1+H775))</f>
        <v>2</v>
      </c>
      <c r="J775" s="183" t="s">
        <v>16</v>
      </c>
      <c r="K775" s="368">
        <v>0.76600000000000001</v>
      </c>
      <c r="L775" s="369">
        <f t="shared" si="673"/>
        <v>1.532</v>
      </c>
      <c r="M775" s="185">
        <f>IF(VLOOKUP(E775,'HOURLY RATES'!C$6:D$105,2,0)=0,$E$3,VLOOKUP(E775,'HOURLY RATES'!C$6:D$105,2,0))</f>
        <v>45.703973699999999</v>
      </c>
      <c r="N775" s="197">
        <f t="shared" ref="N775" si="686">M775*L775</f>
        <v>70.018487708400002</v>
      </c>
      <c r="O775" s="296">
        <f>61.64/12</f>
        <v>5.1366666666666667</v>
      </c>
      <c r="P775" s="188">
        <f t="shared" ref="P775" si="687">O775*I775</f>
        <v>10.273333333333333</v>
      </c>
      <c r="Q775" s="189">
        <f t="shared" ref="Q775" si="688">P775+N775</f>
        <v>80.291821041733328</v>
      </c>
      <c r="R775" s="190"/>
      <c r="X775" s="212"/>
    </row>
    <row r="776" spans="1:24" s="12" customFormat="1" x14ac:dyDescent="0.2">
      <c r="A776" s="298" t="str">
        <f>IF(J776&lt;&gt;"",1+MAX($A$18:A775),"")</f>
        <v/>
      </c>
      <c r="B776" s="299"/>
      <c r="C776" s="299"/>
      <c r="D776" s="208"/>
      <c r="E776" s="302"/>
      <c r="F776" s="305"/>
      <c r="G776" s="249"/>
      <c r="H776" s="196"/>
      <c r="I776" s="251"/>
      <c r="J776" s="183"/>
      <c r="K776" s="292"/>
      <c r="L776" s="369"/>
      <c r="M776" s="185"/>
      <c r="N776" s="197"/>
      <c r="O776" s="211"/>
      <c r="P776" s="188"/>
      <c r="Q776" s="189"/>
      <c r="R776" s="190"/>
      <c r="X776" s="212"/>
    </row>
    <row r="777" spans="1:24" s="12" customFormat="1" x14ac:dyDescent="0.2">
      <c r="A777" s="287" t="str">
        <f>IF(J777&lt;&gt;"",1+MAX($A$18:A776),"")</f>
        <v/>
      </c>
      <c r="B777" s="301"/>
      <c r="C777" s="301"/>
      <c r="D777" s="201"/>
      <c r="E777" s="192"/>
      <c r="F777" s="331" t="s">
        <v>289</v>
      </c>
      <c r="G777" s="249"/>
      <c r="H777" s="289"/>
      <c r="I777" s="290"/>
      <c r="J777" s="291"/>
      <c r="K777" s="292"/>
      <c r="L777" s="293"/>
      <c r="M777" s="294"/>
      <c r="N777" s="295"/>
      <c r="O777" s="296"/>
      <c r="P777" s="295"/>
      <c r="Q777" s="297"/>
      <c r="R777" s="304"/>
      <c r="X777" s="212"/>
    </row>
    <row r="778" spans="1:24" s="12" customFormat="1" x14ac:dyDescent="0.2">
      <c r="A778" s="200" t="str">
        <f>IF(J778&lt;&gt;"",1+MAX($A$18:A777),"")</f>
        <v/>
      </c>
      <c r="B778" s="299"/>
      <c r="C778" s="299"/>
      <c r="D778" s="208"/>
      <c r="E778" s="192"/>
      <c r="F778" s="332" t="s">
        <v>290</v>
      </c>
      <c r="G778" s="249"/>
      <c r="H778" s="196"/>
      <c r="I778" s="251"/>
      <c r="J778" s="183"/>
      <c r="K778" s="199"/>
      <c r="L778" s="210"/>
      <c r="M778" s="185"/>
      <c r="N778" s="197"/>
      <c r="O778" s="211"/>
      <c r="P778" s="188"/>
      <c r="Q778" s="189"/>
      <c r="R778" s="304"/>
      <c r="X778" s="212"/>
    </row>
    <row r="779" spans="1:24" s="12" customFormat="1" x14ac:dyDescent="0.2">
      <c r="A779" s="298">
        <f>IF(J779&lt;&gt;"",1+MAX($A$18:A778),"")</f>
        <v>487</v>
      </c>
      <c r="B779" s="299" t="s">
        <v>321</v>
      </c>
      <c r="C779" s="299" t="s">
        <v>322</v>
      </c>
      <c r="D779" s="208" t="s">
        <v>44</v>
      </c>
      <c r="E779" s="302" t="s">
        <v>147</v>
      </c>
      <c r="F779" s="305" t="s">
        <v>323</v>
      </c>
      <c r="G779" s="249">
        <v>61</v>
      </c>
      <c r="H779" s="196">
        <f>IF(VLOOKUP(J779,'HOURLY RATES'!B$116:C$124,2,0)=0,$J$3,VLOOKUP(J779,'HOURLY RATES'!B$116:C$124,2,0))</f>
        <v>0</v>
      </c>
      <c r="I779" s="251">
        <f t="shared" ref="I779" si="689">(G779*(1+H779))</f>
        <v>61</v>
      </c>
      <c r="J779" s="183" t="s">
        <v>16</v>
      </c>
      <c r="K779" s="292">
        <f>(0.282)*(2)</f>
        <v>0.56399999999999995</v>
      </c>
      <c r="L779" s="369">
        <f t="shared" ref="L779:L783" si="690">K779*I779</f>
        <v>34.403999999999996</v>
      </c>
      <c r="M779" s="185">
        <f>IF(VLOOKUP(E779,'HOURLY RATES'!C$6:D$105,2,0)=0,$E$3,VLOOKUP(E779,'HOURLY RATES'!C$6:D$105,2,0))</f>
        <v>45.703973699999999</v>
      </c>
      <c r="N779" s="197">
        <f t="shared" ref="N779" si="691">M779*L779</f>
        <v>1572.3995111747997</v>
      </c>
      <c r="O779" s="211">
        <v>6.9</v>
      </c>
      <c r="P779" s="188">
        <f t="shared" ref="P779" si="692">O779*I779</f>
        <v>420.90000000000003</v>
      </c>
      <c r="Q779" s="189">
        <f t="shared" ref="Q779" si="693">P779+N779</f>
        <v>1993.2995111747998</v>
      </c>
      <c r="R779" s="190"/>
      <c r="X779" s="212"/>
    </row>
    <row r="780" spans="1:24" s="12" customFormat="1" x14ac:dyDescent="0.2">
      <c r="A780" s="298">
        <f>IF(J780&lt;&gt;"",1+MAX($A$18:A779),"")</f>
        <v>488</v>
      </c>
      <c r="B780" s="299" t="s">
        <v>321</v>
      </c>
      <c r="C780" s="299" t="s">
        <v>322</v>
      </c>
      <c r="D780" s="208" t="s">
        <v>44</v>
      </c>
      <c r="E780" s="302" t="s">
        <v>147</v>
      </c>
      <c r="F780" s="305" t="s">
        <v>324</v>
      </c>
      <c r="G780" s="249">
        <v>7</v>
      </c>
      <c r="H780" s="196">
        <f>IF(VLOOKUP(J780,'HOURLY RATES'!B$116:C$124,2,0)=0,$J$3,VLOOKUP(J780,'HOURLY RATES'!B$116:C$124,2,0))</f>
        <v>0</v>
      </c>
      <c r="I780" s="251">
        <f t="shared" ref="I780:I783" si="694">(G780*(1+H780))</f>
        <v>7</v>
      </c>
      <c r="J780" s="183" t="s">
        <v>16</v>
      </c>
      <c r="K780" s="292">
        <f>(0.312)*(2)</f>
        <v>0.624</v>
      </c>
      <c r="L780" s="369">
        <f t="shared" si="690"/>
        <v>4.3680000000000003</v>
      </c>
      <c r="M780" s="185">
        <f>IF(VLOOKUP(E780,'HOURLY RATES'!C$6:D$105,2,0)=0,$E$3,VLOOKUP(E780,'HOURLY RATES'!C$6:D$105,2,0))</f>
        <v>45.703973699999999</v>
      </c>
      <c r="N780" s="197">
        <f t="shared" ref="N780:N783" si="695">M780*L780</f>
        <v>199.6349571216</v>
      </c>
      <c r="O780" s="211">
        <v>13.3</v>
      </c>
      <c r="P780" s="188">
        <f t="shared" ref="P780:P783" si="696">O780*I780</f>
        <v>93.100000000000009</v>
      </c>
      <c r="Q780" s="189">
        <f t="shared" ref="Q780:Q783" si="697">P780+N780</f>
        <v>292.73495712160002</v>
      </c>
      <c r="R780" s="190"/>
      <c r="X780" s="212"/>
    </row>
    <row r="781" spans="1:24" s="12" customFormat="1" x14ac:dyDescent="0.2">
      <c r="A781" s="298">
        <f>IF(J781&lt;&gt;"",1+MAX($A$18:A780),"")</f>
        <v>489</v>
      </c>
      <c r="B781" s="299" t="s">
        <v>321</v>
      </c>
      <c r="C781" s="299" t="s">
        <v>322</v>
      </c>
      <c r="D781" s="208" t="s">
        <v>44</v>
      </c>
      <c r="E781" s="302" t="s">
        <v>147</v>
      </c>
      <c r="F781" s="305" t="s">
        <v>325</v>
      </c>
      <c r="G781" s="249">
        <v>11</v>
      </c>
      <c r="H781" s="196">
        <f>IF(VLOOKUP(J781,'HOURLY RATES'!B$116:C$124,2,0)=0,$J$3,VLOOKUP(J781,'HOURLY RATES'!B$116:C$124,2,0))</f>
        <v>0</v>
      </c>
      <c r="I781" s="251">
        <f t="shared" si="694"/>
        <v>11</v>
      </c>
      <c r="J781" s="183" t="s">
        <v>16</v>
      </c>
      <c r="K781" s="292">
        <f>(0.326)*(2)</f>
        <v>0.65200000000000002</v>
      </c>
      <c r="L781" s="369">
        <f t="shared" si="690"/>
        <v>7.1720000000000006</v>
      </c>
      <c r="M781" s="185">
        <f>IF(VLOOKUP(E781,'HOURLY RATES'!C$6:D$105,2,0)=0,$E$3,VLOOKUP(E781,'HOURLY RATES'!C$6:D$105,2,0))</f>
        <v>45.703973699999999</v>
      </c>
      <c r="N781" s="197">
        <f t="shared" si="695"/>
        <v>327.78889937640002</v>
      </c>
      <c r="O781" s="211">
        <v>16.5</v>
      </c>
      <c r="P781" s="188">
        <f t="shared" si="696"/>
        <v>181.5</v>
      </c>
      <c r="Q781" s="189">
        <f t="shared" si="697"/>
        <v>509.28889937640002</v>
      </c>
      <c r="R781" s="190"/>
      <c r="X781" s="212"/>
    </row>
    <row r="782" spans="1:24" s="12" customFormat="1" x14ac:dyDescent="0.2">
      <c r="A782" s="298">
        <f>IF(J782&lt;&gt;"",1+MAX($A$18:A781),"")</f>
        <v>490</v>
      </c>
      <c r="B782" s="299" t="s">
        <v>321</v>
      </c>
      <c r="C782" s="299" t="s">
        <v>322</v>
      </c>
      <c r="D782" s="208" t="s">
        <v>44</v>
      </c>
      <c r="E782" s="302" t="s">
        <v>147</v>
      </c>
      <c r="F782" s="305" t="s">
        <v>327</v>
      </c>
      <c r="G782" s="249">
        <v>15</v>
      </c>
      <c r="H782" s="196">
        <f>IF(VLOOKUP(J782,'HOURLY RATES'!B$116:C$124,2,0)=0,$J$3,VLOOKUP(J782,'HOURLY RATES'!B$116:C$124,2,0))</f>
        <v>0</v>
      </c>
      <c r="I782" s="251">
        <f t="shared" si="694"/>
        <v>15</v>
      </c>
      <c r="J782" s="183" t="s">
        <v>16</v>
      </c>
      <c r="K782" s="292">
        <f>(0.278)*(2)</f>
        <v>0.55600000000000005</v>
      </c>
      <c r="L782" s="369">
        <f t="shared" si="690"/>
        <v>8.34</v>
      </c>
      <c r="M782" s="185">
        <f>IF(VLOOKUP(E782,'HOURLY RATES'!C$6:D$105,2,0)=0,$E$3,VLOOKUP(E782,'HOURLY RATES'!C$6:D$105,2,0))</f>
        <v>45.703973699999999</v>
      </c>
      <c r="N782" s="197">
        <f t="shared" si="695"/>
        <v>381.17114065799996</v>
      </c>
      <c r="O782" s="211">
        <v>5.68</v>
      </c>
      <c r="P782" s="188">
        <f t="shared" si="696"/>
        <v>85.199999999999989</v>
      </c>
      <c r="Q782" s="189">
        <f t="shared" si="697"/>
        <v>466.37114065799994</v>
      </c>
      <c r="R782" s="190"/>
      <c r="X782" s="212"/>
    </row>
    <row r="783" spans="1:24" s="12" customFormat="1" x14ac:dyDescent="0.2">
      <c r="A783" s="298">
        <f>IF(J783&lt;&gt;"",1+MAX($A$18:A782),"")</f>
        <v>491</v>
      </c>
      <c r="B783" s="299" t="s">
        <v>321</v>
      </c>
      <c r="C783" s="299" t="s">
        <v>322</v>
      </c>
      <c r="D783" s="208" t="s">
        <v>44</v>
      </c>
      <c r="E783" s="302" t="s">
        <v>147</v>
      </c>
      <c r="F783" s="305" t="s">
        <v>326</v>
      </c>
      <c r="G783" s="249">
        <v>4</v>
      </c>
      <c r="H783" s="196">
        <f>IF(VLOOKUP(J783,'HOURLY RATES'!B$116:C$124,2,0)=0,$J$3,VLOOKUP(J783,'HOURLY RATES'!B$116:C$124,2,0))</f>
        <v>0</v>
      </c>
      <c r="I783" s="251">
        <f t="shared" si="694"/>
        <v>4</v>
      </c>
      <c r="J783" s="183" t="s">
        <v>16</v>
      </c>
      <c r="K783" s="292">
        <f>(0.271)*(2)</f>
        <v>0.54200000000000004</v>
      </c>
      <c r="L783" s="369">
        <f t="shared" si="690"/>
        <v>2.1680000000000001</v>
      </c>
      <c r="M783" s="185">
        <f>IF(VLOOKUP(E783,'HOURLY RATES'!C$6:D$105,2,0)=0,$E$3,VLOOKUP(E783,'HOURLY RATES'!C$6:D$105,2,0))</f>
        <v>45.703973699999999</v>
      </c>
      <c r="N783" s="197">
        <f t="shared" si="695"/>
        <v>99.086214981600008</v>
      </c>
      <c r="O783" s="211">
        <v>5.32</v>
      </c>
      <c r="P783" s="188">
        <f t="shared" si="696"/>
        <v>21.28</v>
      </c>
      <c r="Q783" s="189">
        <f t="shared" si="697"/>
        <v>120.36621498160001</v>
      </c>
      <c r="R783" s="190"/>
      <c r="X783" s="212"/>
    </row>
    <row r="784" spans="1:24" s="12" customFormat="1" x14ac:dyDescent="0.2">
      <c r="A784" s="287" t="str">
        <f>IF(J784&lt;&gt;"",1+MAX($A$18:A783),"")</f>
        <v/>
      </c>
      <c r="B784" s="301"/>
      <c r="C784" s="301"/>
      <c r="D784" s="201"/>
      <c r="E784" s="192"/>
      <c r="F784" s="207" t="s">
        <v>27</v>
      </c>
      <c r="G784" s="249"/>
      <c r="H784" s="289"/>
      <c r="I784" s="290"/>
      <c r="J784" s="291"/>
      <c r="K784" s="292"/>
      <c r="L784" s="293"/>
      <c r="M784" s="294"/>
      <c r="N784" s="295"/>
      <c r="O784" s="296"/>
      <c r="P784" s="295"/>
      <c r="Q784" s="297"/>
      <c r="R784" s="304"/>
      <c r="X784" s="212"/>
    </row>
    <row r="785" spans="1:24" s="12" customFormat="1" x14ac:dyDescent="0.2">
      <c r="A785" s="200" t="str">
        <f>IF(J785&lt;&gt;"",1+MAX($A$18:A784),"")</f>
        <v/>
      </c>
      <c r="B785" s="299"/>
      <c r="C785" s="299"/>
      <c r="D785" s="208"/>
      <c r="E785" s="192"/>
      <c r="F785" s="332" t="s">
        <v>288</v>
      </c>
      <c r="G785" s="249"/>
      <c r="H785" s="196"/>
      <c r="I785" s="251"/>
      <c r="J785" s="183"/>
      <c r="K785" s="199"/>
      <c r="L785" s="210"/>
      <c r="M785" s="185"/>
      <c r="N785" s="197"/>
      <c r="O785" s="211"/>
      <c r="P785" s="188"/>
      <c r="Q785" s="189"/>
      <c r="R785" s="304"/>
      <c r="X785" s="212"/>
    </row>
    <row r="786" spans="1:24" s="12" customFormat="1" x14ac:dyDescent="0.2">
      <c r="A786" s="298">
        <f>IF(J786&lt;&gt;"",1+MAX($A$18:A785),"")</f>
        <v>492</v>
      </c>
      <c r="B786" s="299" t="s">
        <v>321</v>
      </c>
      <c r="C786" s="299" t="s">
        <v>322</v>
      </c>
      <c r="D786" s="208" t="s">
        <v>44</v>
      </c>
      <c r="E786" s="302" t="s">
        <v>147</v>
      </c>
      <c r="F786" s="305" t="s">
        <v>329</v>
      </c>
      <c r="G786" s="249">
        <v>1</v>
      </c>
      <c r="H786" s="196">
        <f>IF(VLOOKUP(J786,'HOURLY RATES'!B$116:C$124,2,0)=0,$J$3,VLOOKUP(J786,'HOURLY RATES'!B$116:C$124,2,0))</f>
        <v>0</v>
      </c>
      <c r="I786" s="251">
        <f t="shared" ref="I786" si="698">(G786*(1+H786))</f>
        <v>1</v>
      </c>
      <c r="J786" s="183" t="s">
        <v>16</v>
      </c>
      <c r="K786" s="292">
        <f>(0.154)*(2)</f>
        <v>0.308</v>
      </c>
      <c r="L786" s="369">
        <f t="shared" ref="L786:L795" si="699">K786*I786</f>
        <v>0.308</v>
      </c>
      <c r="M786" s="185">
        <f>IF(VLOOKUP(E786,'HOURLY RATES'!C$6:D$105,2,0)=0,$E$3,VLOOKUP(E786,'HOURLY RATES'!C$6:D$105,2,0))</f>
        <v>45.703973699999999</v>
      </c>
      <c r="N786" s="197">
        <f t="shared" ref="N786" si="700">M786*L786</f>
        <v>14.076823899599999</v>
      </c>
      <c r="O786" s="211">
        <v>13.95</v>
      </c>
      <c r="P786" s="188">
        <f t="shared" ref="P786" si="701">O786*I786</f>
        <v>13.95</v>
      </c>
      <c r="Q786" s="189">
        <f t="shared" ref="Q786" si="702">P786+N786</f>
        <v>28.026823899599997</v>
      </c>
      <c r="R786" s="190"/>
      <c r="X786" s="212"/>
    </row>
    <row r="787" spans="1:24" s="12" customFormat="1" x14ac:dyDescent="0.2">
      <c r="A787" s="298">
        <f>IF(J787&lt;&gt;"",1+MAX($A$18:A786),"")</f>
        <v>493</v>
      </c>
      <c r="B787" s="299" t="s">
        <v>321</v>
      </c>
      <c r="C787" s="299" t="s">
        <v>322</v>
      </c>
      <c r="D787" s="208" t="s">
        <v>44</v>
      </c>
      <c r="E787" s="302" t="s">
        <v>147</v>
      </c>
      <c r="F787" s="305" t="s">
        <v>330</v>
      </c>
      <c r="G787" s="249">
        <v>2</v>
      </c>
      <c r="H787" s="196">
        <f>IF(VLOOKUP(J787,'HOURLY RATES'!B$116:C$124,2,0)=0,$J$3,VLOOKUP(J787,'HOURLY RATES'!B$116:C$124,2,0))</f>
        <v>0</v>
      </c>
      <c r="I787" s="251">
        <f t="shared" ref="I787:I795" si="703">(G787*(1+H787))</f>
        <v>2</v>
      </c>
      <c r="J787" s="183" t="s">
        <v>16</v>
      </c>
      <c r="K787" s="292">
        <f>(0.442)*(2)</f>
        <v>0.88400000000000001</v>
      </c>
      <c r="L787" s="369">
        <f t="shared" si="699"/>
        <v>1.768</v>
      </c>
      <c r="M787" s="185">
        <f>IF(VLOOKUP(E787,'HOURLY RATES'!C$6:D$105,2,0)=0,$E$3,VLOOKUP(E787,'HOURLY RATES'!C$6:D$105,2,0))</f>
        <v>45.703973699999999</v>
      </c>
      <c r="N787" s="197">
        <f t="shared" ref="N787:N795" si="704">M787*L787</f>
        <v>80.8046255016</v>
      </c>
      <c r="O787" s="211">
        <v>42</v>
      </c>
      <c r="P787" s="188">
        <f t="shared" ref="P787:P795" si="705">O787*I787</f>
        <v>84</v>
      </c>
      <c r="Q787" s="189">
        <f t="shared" ref="Q787:Q795" si="706">P787+N787</f>
        <v>164.80462550160001</v>
      </c>
      <c r="R787" s="190"/>
      <c r="X787" s="212"/>
    </row>
    <row r="788" spans="1:24" s="12" customFormat="1" x14ac:dyDescent="0.2">
      <c r="A788" s="298">
        <f>IF(J788&lt;&gt;"",1+MAX($A$18:A787),"")</f>
        <v>494</v>
      </c>
      <c r="B788" s="299" t="s">
        <v>321</v>
      </c>
      <c r="C788" s="299" t="s">
        <v>322</v>
      </c>
      <c r="D788" s="208" t="s">
        <v>44</v>
      </c>
      <c r="E788" s="302" t="s">
        <v>147</v>
      </c>
      <c r="F788" s="305" t="s">
        <v>287</v>
      </c>
      <c r="G788" s="249">
        <v>46</v>
      </c>
      <c r="H788" s="196">
        <f>IF(VLOOKUP(J788,'HOURLY RATES'!B$116:C$124,2,0)=0,$J$3,VLOOKUP(J788,'HOURLY RATES'!B$116:C$124,2,0))</f>
        <v>0</v>
      </c>
      <c r="I788" s="251">
        <f t="shared" si="703"/>
        <v>46</v>
      </c>
      <c r="J788" s="183" t="s">
        <v>16</v>
      </c>
      <c r="K788" s="292">
        <f>(0.235)*(2)</f>
        <v>0.47</v>
      </c>
      <c r="L788" s="369">
        <f t="shared" si="699"/>
        <v>21.619999999999997</v>
      </c>
      <c r="M788" s="185">
        <f>IF(VLOOKUP(E788,'HOURLY RATES'!C$6:D$105,2,0)=0,$E$3,VLOOKUP(E788,'HOURLY RATES'!C$6:D$105,2,0))</f>
        <v>45.703973699999999</v>
      </c>
      <c r="N788" s="197">
        <f t="shared" si="704"/>
        <v>988.11991139399981</v>
      </c>
      <c r="O788" s="211">
        <v>3</v>
      </c>
      <c r="P788" s="188">
        <f t="shared" si="705"/>
        <v>138</v>
      </c>
      <c r="Q788" s="189">
        <f t="shared" si="706"/>
        <v>1126.1199113939997</v>
      </c>
      <c r="R788" s="190"/>
      <c r="X788" s="212"/>
    </row>
    <row r="789" spans="1:24" s="12" customFormat="1" x14ac:dyDescent="0.2">
      <c r="A789" s="298">
        <f>IF(J789&lt;&gt;"",1+MAX($A$18:A788),"")</f>
        <v>495</v>
      </c>
      <c r="B789" s="299" t="s">
        <v>321</v>
      </c>
      <c r="C789" s="299" t="s">
        <v>322</v>
      </c>
      <c r="D789" s="208" t="s">
        <v>44</v>
      </c>
      <c r="E789" s="302" t="s">
        <v>147</v>
      </c>
      <c r="F789" s="305" t="s">
        <v>331</v>
      </c>
      <c r="G789" s="249">
        <v>13</v>
      </c>
      <c r="H789" s="196">
        <f>IF(VLOOKUP(J789,'HOURLY RATES'!B$116:C$124,2,0)=0,$J$3,VLOOKUP(J789,'HOURLY RATES'!B$116:C$124,2,0))</f>
        <v>0</v>
      </c>
      <c r="I789" s="251">
        <f t="shared" si="703"/>
        <v>13</v>
      </c>
      <c r="J789" s="183" t="s">
        <v>16</v>
      </c>
      <c r="K789" s="292">
        <f>(0.258)*(2)</f>
        <v>0.51600000000000001</v>
      </c>
      <c r="L789" s="369">
        <f t="shared" si="699"/>
        <v>6.7080000000000002</v>
      </c>
      <c r="M789" s="185">
        <f>IF(VLOOKUP(E789,'HOURLY RATES'!C$6:D$105,2,0)=0,$E$3,VLOOKUP(E789,'HOURLY RATES'!C$6:D$105,2,0))</f>
        <v>45.703973699999999</v>
      </c>
      <c r="N789" s="197">
        <f t="shared" si="704"/>
        <v>306.58225557959997</v>
      </c>
      <c r="O789" s="211">
        <v>4.5</v>
      </c>
      <c r="P789" s="188">
        <f t="shared" si="705"/>
        <v>58.5</v>
      </c>
      <c r="Q789" s="189">
        <f t="shared" si="706"/>
        <v>365.08225557959997</v>
      </c>
      <c r="R789" s="190"/>
      <c r="X789" s="212"/>
    </row>
    <row r="790" spans="1:24" s="12" customFormat="1" x14ac:dyDescent="0.2">
      <c r="A790" s="298">
        <f>IF(J790&lt;&gt;"",1+MAX($A$18:A789),"")</f>
        <v>496</v>
      </c>
      <c r="B790" s="299" t="s">
        <v>321</v>
      </c>
      <c r="C790" s="299" t="s">
        <v>322</v>
      </c>
      <c r="D790" s="208" t="s">
        <v>44</v>
      </c>
      <c r="E790" s="302" t="s">
        <v>147</v>
      </c>
      <c r="F790" s="305" t="s">
        <v>332</v>
      </c>
      <c r="G790" s="249">
        <v>2</v>
      </c>
      <c r="H790" s="196">
        <f>IF(VLOOKUP(J790,'HOURLY RATES'!B$116:C$124,2,0)=0,$J$3,VLOOKUP(J790,'HOURLY RATES'!B$116:C$124,2,0))</f>
        <v>0</v>
      </c>
      <c r="I790" s="251">
        <f t="shared" si="703"/>
        <v>2</v>
      </c>
      <c r="J790" s="183" t="s">
        <v>16</v>
      </c>
      <c r="K790" s="292">
        <f>(1.326)*(2)</f>
        <v>2.6520000000000001</v>
      </c>
      <c r="L790" s="369">
        <f t="shared" si="699"/>
        <v>5.3040000000000003</v>
      </c>
      <c r="M790" s="185">
        <f>IF(VLOOKUP(E790,'HOURLY RATES'!C$6:D$105,2,0)=0,$E$3,VLOOKUP(E790,'HOURLY RATES'!C$6:D$105,2,0))</f>
        <v>45.703973699999999</v>
      </c>
      <c r="N790" s="197">
        <f t="shared" si="704"/>
        <v>242.41387650480002</v>
      </c>
      <c r="O790" s="211">
        <v>157.78</v>
      </c>
      <c r="P790" s="188">
        <f t="shared" si="705"/>
        <v>315.56</v>
      </c>
      <c r="Q790" s="189">
        <f t="shared" si="706"/>
        <v>557.97387650480005</v>
      </c>
      <c r="R790" s="190"/>
      <c r="X790" s="212"/>
    </row>
    <row r="791" spans="1:24" s="12" customFormat="1" x14ac:dyDescent="0.2">
      <c r="A791" s="298">
        <f>IF(J791&lt;&gt;"",1+MAX($A$18:A790),"")</f>
        <v>497</v>
      </c>
      <c r="B791" s="299" t="s">
        <v>321</v>
      </c>
      <c r="C791" s="299" t="s">
        <v>322</v>
      </c>
      <c r="D791" s="208" t="s">
        <v>44</v>
      </c>
      <c r="E791" s="302" t="s">
        <v>147</v>
      </c>
      <c r="F791" s="305" t="s">
        <v>333</v>
      </c>
      <c r="G791" s="249">
        <v>2</v>
      </c>
      <c r="H791" s="196">
        <f>IF(VLOOKUP(J791,'HOURLY RATES'!B$116:C$124,2,0)=0,$J$3,VLOOKUP(J791,'HOURLY RATES'!B$116:C$124,2,0))</f>
        <v>0</v>
      </c>
      <c r="I791" s="251">
        <f t="shared" si="703"/>
        <v>2</v>
      </c>
      <c r="J791" s="183" t="s">
        <v>16</v>
      </c>
      <c r="K791" s="292">
        <f>(1.025)*(2)</f>
        <v>2.0499999999999998</v>
      </c>
      <c r="L791" s="369">
        <f t="shared" si="699"/>
        <v>4.0999999999999996</v>
      </c>
      <c r="M791" s="185">
        <f>IF(VLOOKUP(E791,'HOURLY RATES'!C$6:D$105,2,0)=0,$E$3,VLOOKUP(E791,'HOURLY RATES'!C$6:D$105,2,0))</f>
        <v>45.703973699999999</v>
      </c>
      <c r="N791" s="197">
        <f t="shared" si="704"/>
        <v>187.38629216999999</v>
      </c>
      <c r="O791" s="211">
        <v>104.27</v>
      </c>
      <c r="P791" s="188">
        <f t="shared" si="705"/>
        <v>208.54</v>
      </c>
      <c r="Q791" s="189">
        <f t="shared" si="706"/>
        <v>395.92629217000001</v>
      </c>
      <c r="R791" s="190"/>
      <c r="X791" s="212"/>
    </row>
    <row r="792" spans="1:24" s="12" customFormat="1" x14ac:dyDescent="0.2">
      <c r="A792" s="298">
        <f>IF(J792&lt;&gt;"",1+MAX($A$18:A791),"")</f>
        <v>498</v>
      </c>
      <c r="B792" s="299" t="s">
        <v>321</v>
      </c>
      <c r="C792" s="299" t="s">
        <v>322</v>
      </c>
      <c r="D792" s="208" t="s">
        <v>44</v>
      </c>
      <c r="E792" s="302" t="s">
        <v>147</v>
      </c>
      <c r="F792" s="305" t="s">
        <v>334</v>
      </c>
      <c r="G792" s="249">
        <v>5</v>
      </c>
      <c r="H792" s="196">
        <f>IF(VLOOKUP(J792,'HOURLY RATES'!B$116:C$124,2,0)=0,$J$3,VLOOKUP(J792,'HOURLY RATES'!B$116:C$124,2,0))</f>
        <v>0</v>
      </c>
      <c r="I792" s="251">
        <f t="shared" si="703"/>
        <v>5</v>
      </c>
      <c r="J792" s="183" t="s">
        <v>16</v>
      </c>
      <c r="K792" s="292">
        <f>(0.794)*(2)</f>
        <v>1.5880000000000001</v>
      </c>
      <c r="L792" s="369">
        <f t="shared" si="699"/>
        <v>7.94</v>
      </c>
      <c r="M792" s="185">
        <f>IF(VLOOKUP(E792,'HOURLY RATES'!C$6:D$105,2,0)=0,$E$3,VLOOKUP(E792,'HOURLY RATES'!C$6:D$105,2,0))</f>
        <v>45.703973699999999</v>
      </c>
      <c r="N792" s="197">
        <f t="shared" si="704"/>
        <v>362.88955117800003</v>
      </c>
      <c r="O792" s="211">
        <v>72.8</v>
      </c>
      <c r="P792" s="188">
        <f t="shared" si="705"/>
        <v>364</v>
      </c>
      <c r="Q792" s="189">
        <f t="shared" si="706"/>
        <v>726.88955117800003</v>
      </c>
      <c r="R792" s="190"/>
      <c r="X792" s="212"/>
    </row>
    <row r="793" spans="1:24" s="12" customFormat="1" x14ac:dyDescent="0.2">
      <c r="A793" s="298">
        <f>IF(J793&lt;&gt;"",1+MAX($A$18:A792),"")</f>
        <v>499</v>
      </c>
      <c r="B793" s="299" t="s">
        <v>321</v>
      </c>
      <c r="C793" s="299" t="s">
        <v>322</v>
      </c>
      <c r="D793" s="208" t="s">
        <v>44</v>
      </c>
      <c r="E793" s="302" t="s">
        <v>147</v>
      </c>
      <c r="F793" s="305" t="s">
        <v>335</v>
      </c>
      <c r="G793" s="249">
        <v>1</v>
      </c>
      <c r="H793" s="196">
        <f>IF(VLOOKUP(J793,'HOURLY RATES'!B$116:C$124,2,0)=0,$J$3,VLOOKUP(J793,'HOURLY RATES'!B$116:C$124,2,0))</f>
        <v>0</v>
      </c>
      <c r="I793" s="251">
        <f t="shared" si="703"/>
        <v>1</v>
      </c>
      <c r="J793" s="183" t="s">
        <v>16</v>
      </c>
      <c r="K793" s="292">
        <f>(0.312)*(2)</f>
        <v>0.624</v>
      </c>
      <c r="L793" s="369">
        <f t="shared" si="699"/>
        <v>0.624</v>
      </c>
      <c r="M793" s="185">
        <f>IF(VLOOKUP(E793,'HOURLY RATES'!C$6:D$105,2,0)=0,$E$3,VLOOKUP(E793,'HOURLY RATES'!C$6:D$105,2,0))</f>
        <v>45.703973699999999</v>
      </c>
      <c r="N793" s="197">
        <f t="shared" si="704"/>
        <v>28.5192795888</v>
      </c>
      <c r="O793" s="211">
        <v>13</v>
      </c>
      <c r="P793" s="188">
        <f t="shared" si="705"/>
        <v>13</v>
      </c>
      <c r="Q793" s="189">
        <f t="shared" si="706"/>
        <v>41.519279588800003</v>
      </c>
      <c r="R793" s="190"/>
      <c r="X793" s="212"/>
    </row>
    <row r="794" spans="1:24" s="12" customFormat="1" x14ac:dyDescent="0.2">
      <c r="A794" s="298">
        <f>IF(J794&lt;&gt;"",1+MAX($A$18:A793),"")</f>
        <v>500</v>
      </c>
      <c r="B794" s="299" t="s">
        <v>321</v>
      </c>
      <c r="C794" s="299" t="s">
        <v>322</v>
      </c>
      <c r="D794" s="208" t="s">
        <v>44</v>
      </c>
      <c r="E794" s="302" t="s">
        <v>147</v>
      </c>
      <c r="F794" s="305" t="s">
        <v>336</v>
      </c>
      <c r="G794" s="249">
        <v>1</v>
      </c>
      <c r="H794" s="196">
        <f>IF(VLOOKUP(J794,'HOURLY RATES'!B$116:C$124,2,0)=0,$J$3,VLOOKUP(J794,'HOURLY RATES'!B$116:C$124,2,0))</f>
        <v>0</v>
      </c>
      <c r="I794" s="251">
        <f t="shared" si="703"/>
        <v>1</v>
      </c>
      <c r="J794" s="183" t="s">
        <v>16</v>
      </c>
      <c r="K794" s="292">
        <f>(0.435)*(2)</f>
        <v>0.87</v>
      </c>
      <c r="L794" s="369">
        <f t="shared" si="699"/>
        <v>0.87</v>
      </c>
      <c r="M794" s="185">
        <f>IF(VLOOKUP(E794,'HOURLY RATES'!C$6:D$105,2,0)=0,$E$3,VLOOKUP(E794,'HOURLY RATES'!C$6:D$105,2,0))</f>
        <v>45.703973699999999</v>
      </c>
      <c r="N794" s="197">
        <f t="shared" si="704"/>
        <v>39.762457118999997</v>
      </c>
      <c r="O794" s="211">
        <v>38.58</v>
      </c>
      <c r="P794" s="188">
        <f t="shared" si="705"/>
        <v>38.58</v>
      </c>
      <c r="Q794" s="189">
        <f t="shared" si="706"/>
        <v>78.342457118999988</v>
      </c>
      <c r="R794" s="190"/>
      <c r="X794" s="212"/>
    </row>
    <row r="795" spans="1:24" s="12" customFormat="1" x14ac:dyDescent="0.2">
      <c r="A795" s="298">
        <f>IF(J795&lt;&gt;"",1+MAX($A$18:A794),"")</f>
        <v>501</v>
      </c>
      <c r="B795" s="299" t="s">
        <v>321</v>
      </c>
      <c r="C795" s="299" t="s">
        <v>322</v>
      </c>
      <c r="D795" s="208" t="s">
        <v>44</v>
      </c>
      <c r="E795" s="302" t="s">
        <v>147</v>
      </c>
      <c r="F795" s="305" t="s">
        <v>337</v>
      </c>
      <c r="G795" s="249">
        <v>2</v>
      </c>
      <c r="H795" s="196">
        <f>IF(VLOOKUP(J795,'HOURLY RATES'!B$116:C$124,2,0)=0,$J$3,VLOOKUP(J795,'HOURLY RATES'!B$116:C$124,2,0))</f>
        <v>0</v>
      </c>
      <c r="I795" s="251">
        <f t="shared" si="703"/>
        <v>2</v>
      </c>
      <c r="J795" s="183" t="s">
        <v>16</v>
      </c>
      <c r="K795" s="292">
        <f>(0.523)*(2)</f>
        <v>1.046</v>
      </c>
      <c r="L795" s="369">
        <f t="shared" si="699"/>
        <v>2.0920000000000001</v>
      </c>
      <c r="M795" s="185">
        <f>IF(VLOOKUP(E795,'HOURLY RATES'!C$6:D$105,2,0)=0,$E$3,VLOOKUP(E795,'HOURLY RATES'!C$6:D$105,2,0))</f>
        <v>45.703973699999999</v>
      </c>
      <c r="N795" s="197">
        <f t="shared" si="704"/>
        <v>95.612712980400005</v>
      </c>
      <c r="O795" s="211">
        <v>64.930000000000007</v>
      </c>
      <c r="P795" s="188">
        <f t="shared" si="705"/>
        <v>129.86000000000001</v>
      </c>
      <c r="Q795" s="189">
        <f t="shared" si="706"/>
        <v>225.47271298040002</v>
      </c>
      <c r="R795" s="190"/>
      <c r="X795" s="212"/>
    </row>
    <row r="796" spans="1:24" s="12" customFormat="1" ht="20.100000000000001" customHeight="1" x14ac:dyDescent="0.2">
      <c r="A796" s="298" t="str">
        <f>IF(J796&lt;&gt;"",1+MAX($A$18:A795),"")</f>
        <v/>
      </c>
      <c r="B796" s="299"/>
      <c r="C796" s="299"/>
      <c r="D796" s="208"/>
      <c r="E796" s="302"/>
      <c r="F796" s="305"/>
      <c r="G796" s="249"/>
      <c r="H796" s="196"/>
      <c r="I796" s="251"/>
      <c r="J796" s="183"/>
      <c r="K796" s="199"/>
      <c r="L796" s="210"/>
      <c r="M796" s="185"/>
      <c r="N796" s="197"/>
      <c r="O796" s="211"/>
      <c r="P796" s="188"/>
      <c r="Q796" s="189"/>
      <c r="R796" s="190"/>
      <c r="X796" s="212"/>
    </row>
    <row r="797" spans="1:24" s="12" customFormat="1" ht="20.100000000000001" customHeight="1" x14ac:dyDescent="0.2">
      <c r="A797" s="298" t="str">
        <f>IF(J797&lt;&gt;"",1+MAX($A$18:A796),"")</f>
        <v/>
      </c>
      <c r="B797" s="299"/>
      <c r="C797" s="299"/>
      <c r="D797" s="208"/>
      <c r="E797" s="302"/>
      <c r="F797" s="332" t="s">
        <v>339</v>
      </c>
      <c r="G797" s="249"/>
      <c r="H797" s="196"/>
      <c r="I797" s="251"/>
      <c r="J797" s="183"/>
      <c r="K797" s="199"/>
      <c r="L797" s="210"/>
      <c r="M797" s="185"/>
      <c r="N797" s="197"/>
      <c r="O797" s="211"/>
      <c r="P797" s="188"/>
      <c r="Q797" s="189"/>
      <c r="R797" s="190"/>
      <c r="X797" s="212"/>
    </row>
    <row r="798" spans="1:24" s="12" customFormat="1" x14ac:dyDescent="0.2">
      <c r="A798" s="298">
        <f>IF(J798&lt;&gt;"",1+MAX($A$18:A797),"")</f>
        <v>502</v>
      </c>
      <c r="B798" s="299" t="s">
        <v>343</v>
      </c>
      <c r="C798" s="299" t="s">
        <v>343</v>
      </c>
      <c r="D798" s="208" t="s">
        <v>44</v>
      </c>
      <c r="E798" s="302" t="s">
        <v>147</v>
      </c>
      <c r="F798" s="305" t="s">
        <v>340</v>
      </c>
      <c r="G798" s="249">
        <v>1</v>
      </c>
      <c r="H798" s="196">
        <f>IF(VLOOKUP(J798,'HOURLY RATES'!B$116:C$124,2,0)=0,$J$3,VLOOKUP(J798,'HOURLY RATES'!B$116:C$124,2,0))</f>
        <v>0</v>
      </c>
      <c r="I798" s="251">
        <f t="shared" ref="I798:I800" si="707">(G798*(1+H798))</f>
        <v>1</v>
      </c>
      <c r="J798" s="183" t="s">
        <v>16</v>
      </c>
      <c r="K798" s="292">
        <f>(2.246)*(2)</f>
        <v>4.492</v>
      </c>
      <c r="L798" s="369">
        <f t="shared" ref="L798:L800" si="708">K798*I798</f>
        <v>4.492</v>
      </c>
      <c r="M798" s="185">
        <f>IF(VLOOKUP(E798,'HOURLY RATES'!C$6:D$105,2,0)=0,$E$3,VLOOKUP(E798,'HOURLY RATES'!C$6:D$105,2,0))</f>
        <v>45.703973699999999</v>
      </c>
      <c r="N798" s="197">
        <f t="shared" ref="N798:N800" si="709">M798*L798</f>
        <v>205.3022498604</v>
      </c>
      <c r="O798" s="211">
        <v>1173</v>
      </c>
      <c r="P798" s="188">
        <f t="shared" ref="P798:P800" si="710">O798*I798</f>
        <v>1173</v>
      </c>
      <c r="Q798" s="189">
        <f t="shared" ref="Q798:Q800" si="711">P798+N798</f>
        <v>1378.3022498604</v>
      </c>
      <c r="R798" s="190"/>
      <c r="X798" s="212"/>
    </row>
    <row r="799" spans="1:24" s="12" customFormat="1" x14ac:dyDescent="0.2">
      <c r="A799" s="298">
        <f>IF(J799&lt;&gt;"",1+MAX($A$18:A798),"")</f>
        <v>503</v>
      </c>
      <c r="B799" s="299" t="s">
        <v>343</v>
      </c>
      <c r="C799" s="299" t="s">
        <v>343</v>
      </c>
      <c r="D799" s="208" t="s">
        <v>44</v>
      </c>
      <c r="E799" s="302" t="s">
        <v>147</v>
      </c>
      <c r="F799" s="305" t="s">
        <v>341</v>
      </c>
      <c r="G799" s="249">
        <v>1</v>
      </c>
      <c r="H799" s="196">
        <f>IF(VLOOKUP(J799,'HOURLY RATES'!B$116:C$124,2,0)=0,$J$3,VLOOKUP(J799,'HOURLY RATES'!B$116:C$124,2,0))</f>
        <v>0</v>
      </c>
      <c r="I799" s="251">
        <f t="shared" si="707"/>
        <v>1</v>
      </c>
      <c r="J799" s="183" t="s">
        <v>16</v>
      </c>
      <c r="K799" s="292">
        <f>(2.246)*(2)</f>
        <v>4.492</v>
      </c>
      <c r="L799" s="369">
        <f t="shared" si="708"/>
        <v>4.492</v>
      </c>
      <c r="M799" s="185">
        <f>IF(VLOOKUP(E799,'HOURLY RATES'!C$6:D$105,2,0)=0,$E$3,VLOOKUP(E799,'HOURLY RATES'!C$6:D$105,2,0))</f>
        <v>45.703973699999999</v>
      </c>
      <c r="N799" s="197">
        <f t="shared" si="709"/>
        <v>205.3022498604</v>
      </c>
      <c r="O799" s="211">
        <v>1173</v>
      </c>
      <c r="P799" s="188">
        <f t="shared" si="710"/>
        <v>1173</v>
      </c>
      <c r="Q799" s="189">
        <f t="shared" si="711"/>
        <v>1378.3022498604</v>
      </c>
      <c r="R799" s="190"/>
      <c r="X799" s="212"/>
    </row>
    <row r="800" spans="1:24" s="12" customFormat="1" x14ac:dyDescent="0.2">
      <c r="A800" s="298">
        <f>IF(J800&lt;&gt;"",1+MAX($A$18:A799),"")</f>
        <v>504</v>
      </c>
      <c r="B800" s="299" t="s">
        <v>343</v>
      </c>
      <c r="C800" s="299" t="s">
        <v>343</v>
      </c>
      <c r="D800" s="208" t="s">
        <v>44</v>
      </c>
      <c r="E800" s="302" t="s">
        <v>147</v>
      </c>
      <c r="F800" s="305" t="s">
        <v>342</v>
      </c>
      <c r="G800" s="249">
        <v>1</v>
      </c>
      <c r="H800" s="196">
        <f>IF(VLOOKUP(J800,'HOURLY RATES'!B$116:C$124,2,0)=0,$J$3,VLOOKUP(J800,'HOURLY RATES'!B$116:C$124,2,0))</f>
        <v>0</v>
      </c>
      <c r="I800" s="251">
        <f t="shared" si="707"/>
        <v>1</v>
      </c>
      <c r="J800" s="183" t="s">
        <v>16</v>
      </c>
      <c r="K800" s="292">
        <f>(2.098)*(2)</f>
        <v>4.1959999999999997</v>
      </c>
      <c r="L800" s="369">
        <f t="shared" si="708"/>
        <v>4.1959999999999997</v>
      </c>
      <c r="M800" s="185">
        <f>IF(VLOOKUP(E800,'HOURLY RATES'!C$6:D$105,2,0)=0,$E$3,VLOOKUP(E800,'HOURLY RATES'!C$6:D$105,2,0))</f>
        <v>45.703973699999999</v>
      </c>
      <c r="N800" s="197">
        <f t="shared" si="709"/>
        <v>191.77387364519998</v>
      </c>
      <c r="O800" s="211">
        <v>680</v>
      </c>
      <c r="P800" s="188">
        <f t="shared" si="710"/>
        <v>680</v>
      </c>
      <c r="Q800" s="189">
        <f t="shared" si="711"/>
        <v>871.77387364519996</v>
      </c>
      <c r="R800" s="190"/>
      <c r="X800" s="212"/>
    </row>
    <row r="801" spans="1:26" s="12" customFormat="1" x14ac:dyDescent="0.2">
      <c r="A801" s="298" t="str">
        <f>IF(J801&lt;&gt;"",1+MAX($A$18:A800),"")</f>
        <v/>
      </c>
      <c r="B801" s="299"/>
      <c r="C801" s="299"/>
      <c r="D801" s="208"/>
      <c r="E801" s="302"/>
      <c r="F801" s="305"/>
      <c r="G801" s="249"/>
      <c r="H801" s="196"/>
      <c r="I801" s="251"/>
      <c r="J801" s="183"/>
      <c r="K801" s="292"/>
      <c r="L801" s="369"/>
      <c r="M801" s="185"/>
      <c r="N801" s="197"/>
      <c r="O801" s="211"/>
      <c r="P801" s="188"/>
      <c r="Q801" s="189"/>
      <c r="R801" s="190"/>
      <c r="X801" s="212"/>
    </row>
    <row r="802" spans="1:26" s="12" customFormat="1" ht="20.100000000000001" customHeight="1" x14ac:dyDescent="0.2">
      <c r="A802" s="298" t="str">
        <f>IF(J802&lt;&gt;"",1+MAX($A$18:A801),"")</f>
        <v/>
      </c>
      <c r="B802" s="299"/>
      <c r="C802" s="299"/>
      <c r="D802" s="208"/>
      <c r="E802" s="302"/>
      <c r="F802" s="332" t="s">
        <v>348</v>
      </c>
      <c r="G802" s="249"/>
      <c r="H802" s="196"/>
      <c r="I802" s="251"/>
      <c r="J802" s="183"/>
      <c r="K802" s="199"/>
      <c r="L802" s="210"/>
      <c r="M802" s="185"/>
      <c r="N802" s="197"/>
      <c r="O802" s="211"/>
      <c r="P802" s="188"/>
      <c r="Q802" s="189"/>
      <c r="R802" s="190"/>
      <c r="S802" s="409"/>
      <c r="T802" s="409"/>
      <c r="U802" s="409"/>
      <c r="V802" s="409"/>
      <c r="W802" s="409"/>
      <c r="X802" s="410"/>
      <c r="Y802" s="409"/>
      <c r="Z802" s="409"/>
    </row>
    <row r="803" spans="1:26" s="12" customFormat="1" x14ac:dyDescent="0.2">
      <c r="A803" s="298">
        <f>IF(J803&lt;&gt;"",1+MAX($A$18:A802),"")</f>
        <v>505</v>
      </c>
      <c r="B803" s="299" t="s">
        <v>321</v>
      </c>
      <c r="C803" s="299" t="s">
        <v>322</v>
      </c>
      <c r="D803" s="208" t="s">
        <v>44</v>
      </c>
      <c r="E803" s="302" t="s">
        <v>147</v>
      </c>
      <c r="F803" s="305" t="s">
        <v>936</v>
      </c>
      <c r="G803" s="249">
        <v>6</v>
      </c>
      <c r="H803" s="196">
        <f>IF(VLOOKUP(J803,'HOURLY RATES'!B$116:C$124,2,0)=0,$J$3,VLOOKUP(J803,'HOURLY RATES'!B$116:C$124,2,0))</f>
        <v>0</v>
      </c>
      <c r="I803" s="251">
        <f t="shared" ref="I803:I804" si="712">(G803*(1+H803))</f>
        <v>6</v>
      </c>
      <c r="J803" s="183" t="s">
        <v>16</v>
      </c>
      <c r="K803" s="292">
        <f>(0.638)*(2)</f>
        <v>1.276</v>
      </c>
      <c r="L803" s="369">
        <f t="shared" ref="L803:L805" si="713">K803*I803</f>
        <v>7.6560000000000006</v>
      </c>
      <c r="M803" s="185">
        <f>IF(VLOOKUP(E803,'HOURLY RATES'!C$6:D$105,2,0)=0,$E$3,VLOOKUP(E803,'HOURLY RATES'!C$6:D$105,2,0))</f>
        <v>45.703973699999999</v>
      </c>
      <c r="N803" s="197">
        <f t="shared" ref="N803:N804" si="714">M803*L803</f>
        <v>349.90962264720002</v>
      </c>
      <c r="O803" s="211">
        <v>65.03</v>
      </c>
      <c r="P803" s="188">
        <f t="shared" ref="P803:P804" si="715">O803*I803</f>
        <v>390.18</v>
      </c>
      <c r="Q803" s="189">
        <f t="shared" ref="Q803:Q804" si="716">P803+N803</f>
        <v>740.08962264720003</v>
      </c>
      <c r="R803" s="190"/>
      <c r="S803" s="409"/>
      <c r="T803" s="409"/>
      <c r="U803" s="409"/>
      <c r="V803" s="409"/>
      <c r="W803" s="409"/>
      <c r="X803" s="410"/>
      <c r="Y803" s="409"/>
      <c r="Z803" s="409"/>
    </row>
    <row r="804" spans="1:26" s="12" customFormat="1" x14ac:dyDescent="0.2">
      <c r="A804" s="298">
        <f>IF(J804&lt;&gt;"",1+MAX($A$18:A803),"")</f>
        <v>506</v>
      </c>
      <c r="B804" s="299" t="s">
        <v>321</v>
      </c>
      <c r="C804" s="299" t="s">
        <v>322</v>
      </c>
      <c r="D804" s="208" t="s">
        <v>44</v>
      </c>
      <c r="E804" s="302" t="s">
        <v>147</v>
      </c>
      <c r="F804" s="305" t="s">
        <v>349</v>
      </c>
      <c r="G804" s="249">
        <v>5</v>
      </c>
      <c r="H804" s="196">
        <f>IF(VLOOKUP(J804,'HOURLY RATES'!B$116:C$124,2,0)=0,$J$3,VLOOKUP(J804,'HOURLY RATES'!B$116:C$124,2,0))</f>
        <v>0</v>
      </c>
      <c r="I804" s="251">
        <f t="shared" si="712"/>
        <v>5</v>
      </c>
      <c r="J804" s="183" t="s">
        <v>16</v>
      </c>
      <c r="K804" s="292">
        <f>(0.596)*(2)</f>
        <v>1.1919999999999999</v>
      </c>
      <c r="L804" s="369">
        <f t="shared" si="713"/>
        <v>5.96</v>
      </c>
      <c r="M804" s="185">
        <f>IF(VLOOKUP(E804,'HOURLY RATES'!C$6:D$105,2,0)=0,$E$3,VLOOKUP(E804,'HOURLY RATES'!C$6:D$105,2,0))</f>
        <v>45.703973699999999</v>
      </c>
      <c r="N804" s="197">
        <f t="shared" si="714"/>
        <v>272.39568325199997</v>
      </c>
      <c r="O804" s="211">
        <v>54.5</v>
      </c>
      <c r="P804" s="188">
        <f t="shared" si="715"/>
        <v>272.5</v>
      </c>
      <c r="Q804" s="189">
        <f t="shared" si="716"/>
        <v>544.89568325200003</v>
      </c>
      <c r="R804" s="190"/>
      <c r="S804" s="409"/>
      <c r="T804" s="409"/>
      <c r="U804" s="409"/>
      <c r="V804" s="409"/>
      <c r="W804" s="409"/>
      <c r="X804" s="410"/>
      <c r="Y804" s="409"/>
      <c r="Z804" s="409"/>
    </row>
    <row r="805" spans="1:26" s="12" customFormat="1" x14ac:dyDescent="0.2">
      <c r="A805" s="298">
        <f>IF(J805&lt;&gt;"",1+MAX($A$18:A804),"")</f>
        <v>507</v>
      </c>
      <c r="B805" s="299" t="s">
        <v>321</v>
      </c>
      <c r="C805" s="299" t="s">
        <v>322</v>
      </c>
      <c r="D805" s="208" t="s">
        <v>44</v>
      </c>
      <c r="E805" s="302" t="s">
        <v>147</v>
      </c>
      <c r="F805" s="305" t="s">
        <v>937</v>
      </c>
      <c r="G805" s="249">
        <v>1</v>
      </c>
      <c r="H805" s="196">
        <f>IF(VLOOKUP(J805,'HOURLY RATES'!B$116:C$124,2,0)=0,$J$3,VLOOKUP(J805,'HOURLY RATES'!B$116:C$124,2,0))</f>
        <v>0</v>
      </c>
      <c r="I805" s="251">
        <f t="shared" ref="I805" si="717">(G805*(1+H805))</f>
        <v>1</v>
      </c>
      <c r="J805" s="183" t="s">
        <v>16</v>
      </c>
      <c r="K805" s="292">
        <f>(0.645)*(2)</f>
        <v>1.29</v>
      </c>
      <c r="L805" s="369">
        <f t="shared" si="713"/>
        <v>1.29</v>
      </c>
      <c r="M805" s="185">
        <f>IF(VLOOKUP(E805,'HOURLY RATES'!C$6:D$105,2,0)=0,$E$3,VLOOKUP(E805,'HOURLY RATES'!C$6:D$105,2,0))</f>
        <v>45.703973699999999</v>
      </c>
      <c r="N805" s="197">
        <f t="shared" ref="N805" si="718">M805*L805</f>
        <v>58.958126073000003</v>
      </c>
      <c r="O805" s="211">
        <v>71.53</v>
      </c>
      <c r="P805" s="188">
        <f t="shared" ref="P805" si="719">O805*I805</f>
        <v>71.53</v>
      </c>
      <c r="Q805" s="189">
        <f t="shared" ref="Q805" si="720">P805+N805</f>
        <v>130.48812607299999</v>
      </c>
      <c r="R805" s="190"/>
      <c r="S805" s="409"/>
      <c r="T805" s="409"/>
      <c r="U805" s="409"/>
      <c r="V805" s="409"/>
      <c r="W805" s="409"/>
      <c r="X805" s="410"/>
      <c r="Y805" s="409"/>
      <c r="Z805" s="409"/>
    </row>
    <row r="806" spans="1:26" s="12" customFormat="1" x14ac:dyDescent="0.2">
      <c r="A806" s="298" t="str">
        <f>IF(J806&lt;&gt;"",1+MAX($A$18:A805),"")</f>
        <v/>
      </c>
      <c r="B806" s="299"/>
      <c r="C806" s="299"/>
      <c r="D806" s="208"/>
      <c r="E806" s="302"/>
      <c r="F806" s="305"/>
      <c r="G806" s="249"/>
      <c r="H806" s="196"/>
      <c r="I806" s="251"/>
      <c r="J806" s="183"/>
      <c r="K806" s="292"/>
      <c r="L806" s="369"/>
      <c r="M806" s="185"/>
      <c r="N806" s="197"/>
      <c r="O806" s="211"/>
      <c r="P806" s="188"/>
      <c r="Q806" s="189"/>
      <c r="R806" s="190"/>
      <c r="S806" s="409"/>
      <c r="T806" s="409"/>
      <c r="U806" s="409"/>
      <c r="V806" s="409"/>
      <c r="W806" s="409"/>
      <c r="X806" s="410"/>
      <c r="Y806" s="409"/>
      <c r="Z806" s="409"/>
    </row>
    <row r="807" spans="1:26" s="12" customFormat="1" ht="20.100000000000001" customHeight="1" x14ac:dyDescent="0.2">
      <c r="A807" s="298" t="str">
        <f>IF(J807&lt;&gt;"",1+MAX($A$18:A806),"")</f>
        <v/>
      </c>
      <c r="B807" s="299"/>
      <c r="C807" s="299"/>
      <c r="D807" s="208"/>
      <c r="E807" s="302"/>
      <c r="F807" s="332" t="s">
        <v>102</v>
      </c>
      <c r="G807" s="249"/>
      <c r="H807" s="196"/>
      <c r="I807" s="251"/>
      <c r="J807" s="183"/>
      <c r="K807" s="199"/>
      <c r="L807" s="210"/>
      <c r="M807" s="185"/>
      <c r="N807" s="197"/>
      <c r="O807" s="211"/>
      <c r="P807" s="188"/>
      <c r="Q807" s="189"/>
      <c r="R807" s="190"/>
      <c r="S807" s="409"/>
      <c r="T807" s="409"/>
      <c r="U807" s="409"/>
      <c r="V807" s="409"/>
      <c r="W807" s="409"/>
      <c r="X807" s="410"/>
      <c r="Y807" s="409"/>
      <c r="Z807" s="409"/>
    </row>
    <row r="808" spans="1:26" s="12" customFormat="1" x14ac:dyDescent="0.2">
      <c r="A808" s="298">
        <f>IF(J808&lt;&gt;"",1+MAX($A$18:A807),"")</f>
        <v>508</v>
      </c>
      <c r="B808" s="299" t="s">
        <v>321</v>
      </c>
      <c r="C808" s="299" t="s">
        <v>322</v>
      </c>
      <c r="D808" s="208" t="s">
        <v>44</v>
      </c>
      <c r="E808" s="302" t="s">
        <v>147</v>
      </c>
      <c r="F808" s="305" t="s">
        <v>347</v>
      </c>
      <c r="G808" s="249">
        <v>1</v>
      </c>
      <c r="H808" s="196">
        <f>IF(VLOOKUP(J808,'HOURLY RATES'!B$116:C$124,2,0)=0,$J$3,VLOOKUP(J808,'HOURLY RATES'!B$116:C$124,2,0))</f>
        <v>0</v>
      </c>
      <c r="I808" s="251">
        <f t="shared" ref="I808" si="721">(G808*(1+H808))</f>
        <v>1</v>
      </c>
      <c r="J808" s="183" t="s">
        <v>16</v>
      </c>
      <c r="K808" s="292">
        <f>(0.421)*(2)</f>
        <v>0.84199999999999997</v>
      </c>
      <c r="L808" s="369">
        <f t="shared" ref="L808:L809" si="722">K808*I808</f>
        <v>0.84199999999999997</v>
      </c>
      <c r="M808" s="185">
        <f>IF(VLOOKUP(E808,'HOURLY RATES'!C$6:D$105,2,0)=0,$E$3,VLOOKUP(E808,'HOURLY RATES'!C$6:D$105,2,0))</f>
        <v>45.703973699999999</v>
      </c>
      <c r="N808" s="197">
        <f t="shared" ref="N808" si="723">M808*L808</f>
        <v>38.482745855399997</v>
      </c>
      <c r="O808" s="211">
        <v>38.99</v>
      </c>
      <c r="P808" s="188">
        <f t="shared" ref="P808" si="724">O808*I808</f>
        <v>38.99</v>
      </c>
      <c r="Q808" s="189">
        <f t="shared" ref="Q808" si="725">P808+N808</f>
        <v>77.472745855400007</v>
      </c>
      <c r="R808" s="190"/>
      <c r="S808" s="409"/>
      <c r="T808" s="409"/>
      <c r="U808" s="409"/>
      <c r="V808" s="409"/>
      <c r="W808" s="409"/>
      <c r="X808" s="410"/>
      <c r="Y808" s="409"/>
      <c r="Z808" s="409"/>
    </row>
    <row r="809" spans="1:26" s="12" customFormat="1" x14ac:dyDescent="0.2">
      <c r="A809" s="298">
        <f>IF(J809&lt;&gt;"",1+MAX($A$18:A808),"")</f>
        <v>509</v>
      </c>
      <c r="B809" s="299" t="s">
        <v>321</v>
      </c>
      <c r="C809" s="299" t="s">
        <v>322</v>
      </c>
      <c r="D809" s="208" t="s">
        <v>44</v>
      </c>
      <c r="E809" s="302" t="s">
        <v>147</v>
      </c>
      <c r="F809" s="305" t="s">
        <v>350</v>
      </c>
      <c r="G809" s="249">
        <v>1</v>
      </c>
      <c r="H809" s="196">
        <f>IF(VLOOKUP(J809,'HOURLY RATES'!B$116:C$124,2,0)=0,$J$3,VLOOKUP(J809,'HOURLY RATES'!B$116:C$124,2,0))</f>
        <v>0</v>
      </c>
      <c r="I809" s="251">
        <f t="shared" ref="I809" si="726">(G809*(1+H809))</f>
        <v>1</v>
      </c>
      <c r="J809" s="183" t="s">
        <v>16</v>
      </c>
      <c r="K809" s="292">
        <f>(0.864)*(2)</f>
        <v>1.728</v>
      </c>
      <c r="L809" s="369">
        <f t="shared" si="722"/>
        <v>1.728</v>
      </c>
      <c r="M809" s="185">
        <f>IF(VLOOKUP(E809,'HOURLY RATES'!C$6:D$105,2,0)=0,$E$3,VLOOKUP(E809,'HOURLY RATES'!C$6:D$105,2,0))</f>
        <v>45.703973699999999</v>
      </c>
      <c r="N809" s="197">
        <f t="shared" ref="N809" si="727">M809*L809</f>
        <v>78.976466553599991</v>
      </c>
      <c r="O809" s="211">
        <v>85.99</v>
      </c>
      <c r="P809" s="188">
        <f t="shared" ref="P809" si="728">O809*I809</f>
        <v>85.99</v>
      </c>
      <c r="Q809" s="189">
        <f t="shared" ref="Q809" si="729">P809+N809</f>
        <v>164.96646655359999</v>
      </c>
      <c r="R809" s="190"/>
      <c r="S809" s="409"/>
      <c r="T809" s="409"/>
      <c r="U809" s="409"/>
      <c r="V809" s="409"/>
      <c r="W809" s="409"/>
      <c r="X809" s="212"/>
    </row>
    <row r="810" spans="1:26" s="12" customFormat="1" x14ac:dyDescent="0.2">
      <c r="A810" s="298" t="str">
        <f>IF(J810&lt;&gt;"",1+MAX($A$18:A809),"")</f>
        <v/>
      </c>
      <c r="B810" s="299"/>
      <c r="C810" s="299"/>
      <c r="D810" s="208"/>
      <c r="E810" s="302"/>
      <c r="F810" s="305"/>
      <c r="G810" s="249"/>
      <c r="H810" s="196"/>
      <c r="I810" s="251"/>
      <c r="J810" s="183"/>
      <c r="K810" s="292"/>
      <c r="L810" s="369"/>
      <c r="M810" s="185"/>
      <c r="N810" s="197"/>
      <c r="O810" s="211"/>
      <c r="P810" s="188"/>
      <c r="Q810" s="189"/>
      <c r="R810" s="190"/>
      <c r="S810" s="409"/>
      <c r="T810" s="409"/>
      <c r="U810" s="409"/>
      <c r="V810" s="409"/>
      <c r="W810" s="409"/>
      <c r="X810" s="212"/>
    </row>
    <row r="811" spans="1:26" s="12" customFormat="1" ht="20.100000000000001" customHeight="1" x14ac:dyDescent="0.2">
      <c r="A811" s="324" t="str">
        <f>IF(J811&lt;&gt;"",1+MAX($A$18:A810),"")</f>
        <v/>
      </c>
      <c r="B811" s="334"/>
      <c r="C811" s="334"/>
      <c r="D811" s="335" t="s">
        <v>44</v>
      </c>
      <c r="E811" s="327"/>
      <c r="F811" s="331" t="s">
        <v>351</v>
      </c>
      <c r="G811" s="249"/>
      <c r="H811" s="336"/>
      <c r="I811" s="337"/>
      <c r="J811" s="338"/>
      <c r="K811" s="339"/>
      <c r="L811" s="340"/>
      <c r="M811" s="341"/>
      <c r="N811" s="342"/>
      <c r="O811" s="343"/>
      <c r="P811" s="344"/>
      <c r="Q811" s="345"/>
      <c r="R811" s="190"/>
      <c r="S811" s="409"/>
      <c r="T811" s="409"/>
      <c r="U811" s="409"/>
      <c r="V811" s="409"/>
      <c r="W811" s="409"/>
      <c r="X811" s="212"/>
    </row>
    <row r="812" spans="1:26" s="12" customFormat="1" ht="20.100000000000001" customHeight="1" x14ac:dyDescent="0.2">
      <c r="A812" s="324">
        <f>IF(J812&lt;&gt;"",1+MAX($A$18:A811),"")</f>
        <v>510</v>
      </c>
      <c r="B812" s="334"/>
      <c r="C812" s="334"/>
      <c r="D812" s="326" t="s">
        <v>44</v>
      </c>
      <c r="E812" s="327" t="s">
        <v>147</v>
      </c>
      <c r="F812" s="314" t="s">
        <v>352</v>
      </c>
      <c r="G812" s="249">
        <f>84*16</f>
        <v>1344</v>
      </c>
      <c r="H812" s="196">
        <f>IF(VLOOKUP(J812,'HOURLY RATES'!B$116:C$124,2,0)=0,$J$3,VLOOKUP(J812,'HOURLY RATES'!B$116:C$124,2,0))</f>
        <v>0.05</v>
      </c>
      <c r="I812" s="328">
        <f t="shared" ref="I812:I813" si="730">(G812*(1+H812))</f>
        <v>1411.2</v>
      </c>
      <c r="J812" s="329" t="s">
        <v>19</v>
      </c>
      <c r="K812" s="199">
        <f>0.067</f>
        <v>6.7000000000000004E-2</v>
      </c>
      <c r="L812" s="369">
        <f t="shared" ref="L812:L813" si="731">K812*I812</f>
        <v>94.55040000000001</v>
      </c>
      <c r="M812" s="185">
        <f>IF(VLOOKUP(E812,'HOURLY RATES'!C$6:D$105,2,0)=0,$E$3,VLOOKUP(E812,'HOURLY RATES'!C$6:D$105,2,0))</f>
        <v>45.703973699999999</v>
      </c>
      <c r="N812" s="197">
        <f t="shared" ref="N812:N813" si="732">M812*L812</f>
        <v>4321.32899492448</v>
      </c>
      <c r="O812" s="211">
        <v>1.1000000000000001</v>
      </c>
      <c r="P812" s="188">
        <f t="shared" ref="P812:P813" si="733">O812*I812</f>
        <v>1552.3200000000002</v>
      </c>
      <c r="Q812" s="189">
        <f t="shared" ref="Q812:Q813" si="734">P812+N812</f>
        <v>5873.6489949244806</v>
      </c>
      <c r="R812" s="190"/>
      <c r="S812" s="409"/>
      <c r="T812" s="409"/>
      <c r="U812" s="409"/>
      <c r="V812" s="409"/>
      <c r="W812" s="409"/>
      <c r="X812" s="212"/>
    </row>
    <row r="813" spans="1:26" s="12" customFormat="1" ht="20.100000000000001" customHeight="1" x14ac:dyDescent="0.2">
      <c r="A813" s="324">
        <f>IF(J813&lt;&gt;"",1+MAX($A$18:A812),"")</f>
        <v>511</v>
      </c>
      <c r="B813" s="334"/>
      <c r="C813" s="334"/>
      <c r="D813" s="326" t="s">
        <v>44</v>
      </c>
      <c r="E813" s="327" t="s">
        <v>147</v>
      </c>
      <c r="F813" s="314" t="s">
        <v>353</v>
      </c>
      <c r="G813" s="249">
        <f>G812*3</f>
        <v>4032</v>
      </c>
      <c r="H813" s="196">
        <f>IF(VLOOKUP(J813,'HOURLY RATES'!B$116:C$124,2,0)=0,$J$3,VLOOKUP(J813,'HOURLY RATES'!B$116:C$124,2,0))</f>
        <v>0.05</v>
      </c>
      <c r="I813" s="328">
        <f t="shared" si="730"/>
        <v>4233.6000000000004</v>
      </c>
      <c r="J813" s="329" t="s">
        <v>19</v>
      </c>
      <c r="K813" s="199">
        <f>0.015</f>
        <v>1.4999999999999999E-2</v>
      </c>
      <c r="L813" s="369">
        <f t="shared" si="731"/>
        <v>63.504000000000005</v>
      </c>
      <c r="M813" s="185">
        <f>IF(VLOOKUP(E813,'HOURLY RATES'!C$6:D$105,2,0)=0,$E$3,VLOOKUP(E813,'HOURLY RATES'!C$6:D$105,2,0))</f>
        <v>45.703973699999999</v>
      </c>
      <c r="N813" s="197">
        <f t="shared" si="732"/>
        <v>2902.3851458448003</v>
      </c>
      <c r="O813" s="211">
        <v>0.2</v>
      </c>
      <c r="P813" s="188">
        <f t="shared" si="733"/>
        <v>846.72000000000014</v>
      </c>
      <c r="Q813" s="189">
        <f t="shared" si="734"/>
        <v>3749.1051458448005</v>
      </c>
      <c r="R813" s="190"/>
      <c r="S813" s="409"/>
      <c r="T813" s="409"/>
      <c r="U813" s="409"/>
      <c r="V813" s="409"/>
      <c r="W813" s="409"/>
      <c r="X813" s="212"/>
    </row>
    <row r="814" spans="1:26" s="12" customFormat="1" ht="20.100000000000001" customHeight="1" x14ac:dyDescent="0.2">
      <c r="A814" s="324" t="str">
        <f>IF(J814&lt;&gt;"",1+MAX($A$18:A813),"")</f>
        <v/>
      </c>
      <c r="B814" s="334"/>
      <c r="C814" s="334"/>
      <c r="D814" s="335" t="s">
        <v>44</v>
      </c>
      <c r="E814" s="327"/>
      <c r="F814" s="314"/>
      <c r="G814" s="249"/>
      <c r="H814" s="336"/>
      <c r="I814" s="337"/>
      <c r="J814" s="338"/>
      <c r="K814" s="339"/>
      <c r="L814" s="340"/>
      <c r="M814" s="341"/>
      <c r="N814" s="342"/>
      <c r="O814" s="343"/>
      <c r="P814" s="344"/>
      <c r="Q814" s="345"/>
      <c r="R814" s="190"/>
      <c r="S814" s="409"/>
      <c r="T814" s="409"/>
      <c r="U814" s="409"/>
      <c r="V814" s="409"/>
      <c r="W814" s="409"/>
      <c r="X814" s="212"/>
    </row>
    <row r="815" spans="1:26" s="12" customFormat="1" ht="20.100000000000001" customHeight="1" x14ac:dyDescent="0.2">
      <c r="A815" s="324">
        <f>IF(J815&lt;&gt;"",1+MAX($A$18:A814),"")</f>
        <v>512</v>
      </c>
      <c r="B815" s="334"/>
      <c r="C815" s="334"/>
      <c r="D815" s="326" t="s">
        <v>44</v>
      </c>
      <c r="E815" s="327" t="s">
        <v>147</v>
      </c>
      <c r="F815" s="314" t="s">
        <v>354</v>
      </c>
      <c r="G815" s="249">
        <f>190*16</f>
        <v>3040</v>
      </c>
      <c r="H815" s="196">
        <f>IF(VLOOKUP(J815,'HOURLY RATES'!B$116:C$124,2,0)=0,$J$3,VLOOKUP(J815,'HOURLY RATES'!B$116:C$124,2,0))</f>
        <v>0.05</v>
      </c>
      <c r="I815" s="328">
        <f t="shared" ref="I815:I816" si="735">(G815*(1+H815))</f>
        <v>3192</v>
      </c>
      <c r="J815" s="329" t="s">
        <v>19</v>
      </c>
      <c r="K815" s="199">
        <f>0.067</f>
        <v>6.7000000000000004E-2</v>
      </c>
      <c r="L815" s="369">
        <f t="shared" ref="L815:L816" si="736">K815*I815</f>
        <v>213.864</v>
      </c>
      <c r="M815" s="185">
        <f>IF(VLOOKUP(E815,'HOURLY RATES'!C$6:D$105,2,0)=0,$E$3,VLOOKUP(E815,'HOURLY RATES'!C$6:D$105,2,0))</f>
        <v>45.703973699999999</v>
      </c>
      <c r="N815" s="197">
        <f t="shared" ref="N815:N816" si="737">M815*L815</f>
        <v>9774.4346313768001</v>
      </c>
      <c r="O815" s="211">
        <v>1.1000000000000001</v>
      </c>
      <c r="P815" s="188">
        <f t="shared" ref="P815:P816" si="738">O815*I815</f>
        <v>3511.2000000000003</v>
      </c>
      <c r="Q815" s="189">
        <f t="shared" ref="Q815:Q816" si="739">P815+N815</f>
        <v>13285.634631376801</v>
      </c>
      <c r="R815" s="190"/>
      <c r="S815" s="409"/>
      <c r="T815" s="409"/>
      <c r="U815" s="409"/>
      <c r="V815" s="409"/>
      <c r="W815" s="409"/>
      <c r="X815" s="212"/>
    </row>
    <row r="816" spans="1:26" s="12" customFormat="1" ht="20.100000000000001" customHeight="1" x14ac:dyDescent="0.2">
      <c r="A816" s="324">
        <f>IF(J816&lt;&gt;"",1+MAX($A$18:A815),"")</f>
        <v>513</v>
      </c>
      <c r="B816" s="334"/>
      <c r="C816" s="334"/>
      <c r="D816" s="326" t="s">
        <v>44</v>
      </c>
      <c r="E816" s="327" t="s">
        <v>147</v>
      </c>
      <c r="F816" s="314" t="s">
        <v>355</v>
      </c>
      <c r="G816" s="249">
        <f>G815*3</f>
        <v>9120</v>
      </c>
      <c r="H816" s="196">
        <f>IF(VLOOKUP(J816,'HOURLY RATES'!B$116:C$124,2,0)=0,$J$3,VLOOKUP(J816,'HOURLY RATES'!B$116:C$124,2,0))</f>
        <v>0.05</v>
      </c>
      <c r="I816" s="328">
        <f t="shared" si="735"/>
        <v>9576</v>
      </c>
      <c r="J816" s="329" t="s">
        <v>19</v>
      </c>
      <c r="K816" s="199">
        <f>0.015</f>
        <v>1.4999999999999999E-2</v>
      </c>
      <c r="L816" s="369">
        <f t="shared" si="736"/>
        <v>143.63999999999999</v>
      </c>
      <c r="M816" s="185">
        <f>IF(VLOOKUP(E816,'HOURLY RATES'!C$6:D$105,2,0)=0,$E$3,VLOOKUP(E816,'HOURLY RATES'!C$6:D$105,2,0))</f>
        <v>45.703973699999999</v>
      </c>
      <c r="N816" s="197">
        <f t="shared" si="737"/>
        <v>6564.9187822679996</v>
      </c>
      <c r="O816" s="211">
        <v>0.2</v>
      </c>
      <c r="P816" s="188">
        <f t="shared" si="738"/>
        <v>1915.2</v>
      </c>
      <c r="Q816" s="189">
        <f t="shared" si="739"/>
        <v>8480.1187822680004</v>
      </c>
      <c r="R816" s="190"/>
      <c r="S816" s="409"/>
      <c r="T816" s="409"/>
      <c r="U816" s="409"/>
      <c r="V816" s="409"/>
      <c r="W816" s="409"/>
      <c r="X816" s="212"/>
    </row>
    <row r="817" spans="1:24" s="12" customFormat="1" ht="20.100000000000001" customHeight="1" x14ac:dyDescent="0.2">
      <c r="A817" s="324" t="str">
        <f>IF(J817&lt;&gt;"",1+MAX($A$18:A816),"")</f>
        <v/>
      </c>
      <c r="B817" s="334"/>
      <c r="C817" s="334"/>
      <c r="D817" s="326"/>
      <c r="E817" s="327"/>
      <c r="F817" s="314"/>
      <c r="G817" s="249"/>
      <c r="H817" s="196"/>
      <c r="I817" s="328"/>
      <c r="J817" s="329"/>
      <c r="K817" s="199"/>
      <c r="L817" s="369"/>
      <c r="M817" s="185"/>
      <c r="N817" s="197"/>
      <c r="O817" s="211"/>
      <c r="P817" s="188"/>
      <c r="Q817" s="189"/>
      <c r="R817" s="190"/>
      <c r="S817" s="409"/>
      <c r="T817" s="409"/>
      <c r="U817" s="409"/>
      <c r="V817" s="409"/>
      <c r="W817" s="409"/>
      <c r="X817" s="212"/>
    </row>
    <row r="818" spans="1:24" s="12" customFormat="1" ht="20.100000000000001" customHeight="1" x14ac:dyDescent="0.2">
      <c r="A818" s="324">
        <f>IF(J818&lt;&gt;"",1+MAX($A$18:A817),"")</f>
        <v>514</v>
      </c>
      <c r="B818" s="325"/>
      <c r="C818" s="325"/>
      <c r="D818" s="326" t="s">
        <v>44</v>
      </c>
      <c r="E818" s="327" t="s">
        <v>147</v>
      </c>
      <c r="F818" s="314" t="s">
        <v>310</v>
      </c>
      <c r="G818" s="288">
        <v>3482.1</v>
      </c>
      <c r="H818" s="196">
        <f>IF(VLOOKUP(J818,'HOURLY RATES'!B$116:C$124,2,0)=0,$J$3,VLOOKUP(J818,'HOURLY RATES'!B$116:C$124,2,0))</f>
        <v>0.05</v>
      </c>
      <c r="I818" s="328">
        <f>(G818*(1+H818))</f>
        <v>3656.2049999999999</v>
      </c>
      <c r="J818" s="329" t="s">
        <v>17</v>
      </c>
      <c r="K818" s="199">
        <f>0.4/3.85</f>
        <v>0.1038961038961039</v>
      </c>
      <c r="L818" s="369">
        <f>K818*I818</f>
        <v>379.86545454545455</v>
      </c>
      <c r="M818" s="185">
        <f>IF(VLOOKUP(E818,'HOURLY RATES'!C$6:D$105,2,0)=0,$E$3,VLOOKUP(E818,'HOURLY RATES'!C$6:D$105,2,0))</f>
        <v>45.703973699999999</v>
      </c>
      <c r="N818" s="197">
        <f>M818*L818</f>
        <v>17361.360744083999</v>
      </c>
      <c r="O818" s="211">
        <f>5/3.85</f>
        <v>1.2987012987012987</v>
      </c>
      <c r="P818" s="188">
        <f>O818*I818</f>
        <v>4748.318181818182</v>
      </c>
      <c r="Q818" s="189">
        <f>P818+N818</f>
        <v>22109.678925902183</v>
      </c>
      <c r="R818" s="190"/>
      <c r="S818" s="409"/>
      <c r="T818" s="409"/>
      <c r="U818" s="409"/>
      <c r="V818" s="409"/>
      <c r="W818" s="409"/>
      <c r="X818" s="212"/>
    </row>
    <row r="819" spans="1:24" s="12" customFormat="1" ht="16.5" thickBot="1" x14ac:dyDescent="0.25">
      <c r="A819" s="214" t="str">
        <f>IF(J819&lt;&gt;"",1+MAX($A$18:A818),"")</f>
        <v/>
      </c>
      <c r="B819" s="215"/>
      <c r="C819" s="215"/>
      <c r="D819" s="215"/>
      <c r="E819" s="215"/>
      <c r="F819" s="216"/>
      <c r="G819" s="217"/>
      <c r="H819" s="218"/>
      <c r="I819" s="219"/>
      <c r="J819" s="220"/>
      <c r="K819" s="221"/>
      <c r="L819" s="222"/>
      <c r="M819" s="223"/>
      <c r="N819" s="224"/>
      <c r="O819" s="225"/>
      <c r="P819" s="226"/>
      <c r="Q819" s="227"/>
      <c r="R819" s="228"/>
      <c r="S819" s="409"/>
      <c r="T819" s="409"/>
      <c r="U819" s="409"/>
      <c r="V819" s="409"/>
      <c r="W819" s="409"/>
      <c r="X819" s="212"/>
    </row>
    <row r="820" spans="1:24" s="12" customFormat="1" ht="20.100000000000001" customHeight="1" x14ac:dyDescent="0.2">
      <c r="A820" s="479" t="str">
        <f>IF(J820&lt;&gt;"",1+MAX($A$18:A819),"")</f>
        <v/>
      </c>
      <c r="B820" s="480"/>
      <c r="C820" s="480"/>
      <c r="D820" s="485" t="s">
        <v>121</v>
      </c>
      <c r="E820" s="485"/>
      <c r="F820" s="486" t="s">
        <v>165</v>
      </c>
      <c r="G820" s="481"/>
      <c r="H820" s="482"/>
      <c r="I820" s="483"/>
      <c r="J820" s="483"/>
      <c r="K820" s="482"/>
      <c r="L820" s="482"/>
      <c r="M820" s="482"/>
      <c r="N820" s="482"/>
      <c r="O820" s="482"/>
      <c r="P820" s="482"/>
      <c r="Q820" s="482"/>
      <c r="R820" s="484">
        <f>SUM(Q821:Q832)</f>
        <v>3425.0116505574201</v>
      </c>
      <c r="S820" s="409"/>
      <c r="T820" s="409"/>
      <c r="U820" s="409"/>
      <c r="V820" s="409"/>
      <c r="W820" s="409"/>
      <c r="X820" s="212"/>
    </row>
    <row r="821" spans="1:24" s="12" customFormat="1" ht="20.100000000000001" customHeight="1" x14ac:dyDescent="0.2">
      <c r="A821" s="298" t="str">
        <f>IF(J821&lt;&gt;"",1+MAX($A$18:A820),"")</f>
        <v/>
      </c>
      <c r="B821" s="299"/>
      <c r="C821" s="299"/>
      <c r="D821" s="208"/>
      <c r="E821" s="302"/>
      <c r="F821" s="305"/>
      <c r="G821" s="249"/>
      <c r="H821" s="196"/>
      <c r="I821" s="251"/>
      <c r="J821" s="183"/>
      <c r="K821" s="199"/>
      <c r="L821" s="210"/>
      <c r="M821" s="185"/>
      <c r="N821" s="197"/>
      <c r="O821" s="211"/>
      <c r="P821" s="188"/>
      <c r="Q821" s="189"/>
      <c r="R821" s="190"/>
      <c r="S821" s="409"/>
      <c r="T821" s="409"/>
      <c r="U821" s="409"/>
      <c r="V821" s="409"/>
      <c r="W821" s="409"/>
      <c r="X821" s="212"/>
    </row>
    <row r="822" spans="1:24" s="12" customFormat="1" x14ac:dyDescent="0.2">
      <c r="A822" s="200" t="str">
        <f>IF(J822&lt;&gt;"",1+MAX($A$18:A821),"")</f>
        <v/>
      </c>
      <c r="B822" s="299"/>
      <c r="C822" s="299"/>
      <c r="D822" s="208"/>
      <c r="E822" s="192"/>
      <c r="F822" s="286" t="s">
        <v>291</v>
      </c>
      <c r="G822" s="249"/>
      <c r="H822" s="196"/>
      <c r="I822" s="251"/>
      <c r="J822" s="183"/>
      <c r="K822" s="199"/>
      <c r="L822" s="210"/>
      <c r="M822" s="185"/>
      <c r="N822" s="197"/>
      <c r="O822" s="211"/>
      <c r="P822" s="188"/>
      <c r="Q822" s="189"/>
      <c r="R822" s="304"/>
      <c r="S822" s="409"/>
      <c r="T822" s="409"/>
      <c r="U822" s="409"/>
      <c r="V822" s="409"/>
      <c r="W822" s="409"/>
      <c r="X822" s="212"/>
    </row>
    <row r="823" spans="1:24" s="12" customFormat="1" x14ac:dyDescent="0.2">
      <c r="A823" s="324">
        <f>IF(J823&lt;&gt;"",1+MAX($A$18:A822),"")</f>
        <v>515</v>
      </c>
      <c r="B823" s="334" t="s">
        <v>321</v>
      </c>
      <c r="C823" s="334" t="s">
        <v>322</v>
      </c>
      <c r="D823" s="326" t="s">
        <v>121</v>
      </c>
      <c r="E823" s="327" t="s">
        <v>132</v>
      </c>
      <c r="F823" s="314" t="s">
        <v>344</v>
      </c>
      <c r="G823" s="249">
        <v>7</v>
      </c>
      <c r="H823" s="196">
        <f>IF(VLOOKUP(J823,'HOURLY RATES'!B$116:C$124,2,0)=0,$J$3,VLOOKUP(J823,'HOURLY RATES'!B$116:C$124,2,0))</f>
        <v>0</v>
      </c>
      <c r="I823" s="328">
        <f t="shared" ref="I823:I825" si="740">(G823*(1+H823))</f>
        <v>7</v>
      </c>
      <c r="J823" s="329" t="s">
        <v>16</v>
      </c>
      <c r="K823" s="199">
        <f>0.571</f>
        <v>0.57099999999999995</v>
      </c>
      <c r="L823" s="369">
        <f t="shared" ref="L823:L825" si="741">K823*I823</f>
        <v>3.9969999999999999</v>
      </c>
      <c r="M823" s="185">
        <f>IF(VLOOKUP(E823,'HOURLY RATES'!C$6:D$105,2,0)=0,$E$3,VLOOKUP(E823,'HOURLY RATES'!C$6:D$105,2,0))</f>
        <v>45.703973699999999</v>
      </c>
      <c r="N823" s="197">
        <f t="shared" ref="N823:N825" si="742">M823*L823</f>
        <v>182.67878287889999</v>
      </c>
      <c r="O823" s="211">
        <v>5.99</v>
      </c>
      <c r="P823" s="188">
        <f t="shared" ref="P823:P825" si="743">O823*I823</f>
        <v>41.93</v>
      </c>
      <c r="Q823" s="189">
        <f t="shared" ref="Q823:Q825" si="744">P823+N823</f>
        <v>224.6087828789</v>
      </c>
      <c r="R823" s="190"/>
      <c r="S823" s="409"/>
      <c r="T823" s="409"/>
      <c r="U823" s="409"/>
      <c r="V823" s="409"/>
      <c r="W823" s="409"/>
      <c r="X823" s="212"/>
    </row>
    <row r="824" spans="1:24" s="12" customFormat="1" x14ac:dyDescent="0.2">
      <c r="A824" s="324">
        <f>IF(J824&lt;&gt;"",1+MAX($A$18:A823),"")</f>
        <v>516</v>
      </c>
      <c r="B824" s="334" t="s">
        <v>321</v>
      </c>
      <c r="C824" s="334" t="s">
        <v>322</v>
      </c>
      <c r="D824" s="326" t="s">
        <v>121</v>
      </c>
      <c r="E824" s="327" t="s">
        <v>132</v>
      </c>
      <c r="F824" s="314" t="s">
        <v>345</v>
      </c>
      <c r="G824" s="249">
        <v>7</v>
      </c>
      <c r="H824" s="196">
        <f>IF(VLOOKUP(J824,'HOURLY RATES'!B$116:C$124,2,0)=0,$J$3,VLOOKUP(J824,'HOURLY RATES'!B$116:C$124,2,0))</f>
        <v>0</v>
      </c>
      <c r="I824" s="328">
        <f t="shared" si="740"/>
        <v>7</v>
      </c>
      <c r="J824" s="329" t="s">
        <v>16</v>
      </c>
      <c r="K824" s="199">
        <f>0.563</f>
        <v>0.56299999999999994</v>
      </c>
      <c r="L824" s="369">
        <f t="shared" si="741"/>
        <v>3.9409999999999998</v>
      </c>
      <c r="M824" s="185">
        <f>IF(VLOOKUP(E824,'HOURLY RATES'!C$6:D$105,2,0)=0,$E$3,VLOOKUP(E824,'HOURLY RATES'!C$6:D$105,2,0))</f>
        <v>45.703973699999999</v>
      </c>
      <c r="N824" s="197">
        <f t="shared" si="742"/>
        <v>180.11936035169998</v>
      </c>
      <c r="O824" s="211">
        <v>5.71</v>
      </c>
      <c r="P824" s="188">
        <f t="shared" si="743"/>
        <v>39.97</v>
      </c>
      <c r="Q824" s="189">
        <f t="shared" si="744"/>
        <v>220.08936035169998</v>
      </c>
      <c r="R824" s="190"/>
      <c r="S824" s="409"/>
      <c r="T824" s="409"/>
      <c r="U824" s="409"/>
      <c r="V824" s="409"/>
      <c r="W824" s="409"/>
      <c r="X824" s="212"/>
    </row>
    <row r="825" spans="1:24" s="12" customFormat="1" x14ac:dyDescent="0.2">
      <c r="A825" s="324">
        <f>IF(J825&lt;&gt;"",1+MAX($A$18:A824),"")</f>
        <v>517</v>
      </c>
      <c r="B825" s="334" t="s">
        <v>321</v>
      </c>
      <c r="C825" s="334" t="s">
        <v>322</v>
      </c>
      <c r="D825" s="326" t="s">
        <v>121</v>
      </c>
      <c r="E825" s="327" t="s">
        <v>132</v>
      </c>
      <c r="F825" s="314" t="s">
        <v>346</v>
      </c>
      <c r="G825" s="249">
        <v>7</v>
      </c>
      <c r="H825" s="196">
        <f>IF(VLOOKUP(J825,'HOURLY RATES'!B$116:C$124,2,0)=0,$J$3,VLOOKUP(J825,'HOURLY RATES'!B$116:C$124,2,0))</f>
        <v>0</v>
      </c>
      <c r="I825" s="328">
        <f t="shared" si="740"/>
        <v>7</v>
      </c>
      <c r="J825" s="329" t="s">
        <v>16</v>
      </c>
      <c r="K825" s="199">
        <f>0.594</f>
        <v>0.59399999999999997</v>
      </c>
      <c r="L825" s="369">
        <f t="shared" si="741"/>
        <v>4.1579999999999995</v>
      </c>
      <c r="M825" s="185">
        <f>IF(VLOOKUP(E825,'HOURLY RATES'!C$6:D$105,2,0)=0,$E$3,VLOOKUP(E825,'HOURLY RATES'!C$6:D$105,2,0))</f>
        <v>45.703973699999999</v>
      </c>
      <c r="N825" s="197">
        <f t="shared" si="742"/>
        <v>190.03712264459998</v>
      </c>
      <c r="O825" s="211">
        <v>6.98</v>
      </c>
      <c r="P825" s="188">
        <f t="shared" si="743"/>
        <v>48.86</v>
      </c>
      <c r="Q825" s="189">
        <f t="shared" si="744"/>
        <v>238.89712264459996</v>
      </c>
      <c r="R825" s="190"/>
      <c r="S825" s="409"/>
      <c r="T825" s="409"/>
      <c r="U825" s="409"/>
      <c r="V825" s="409"/>
      <c r="W825" s="409"/>
      <c r="X825" s="212"/>
    </row>
    <row r="826" spans="1:24" s="12" customFormat="1" ht="20.100000000000001" customHeight="1" x14ac:dyDescent="0.25">
      <c r="A826" s="298" t="str">
        <f>IF(J826&lt;&gt;"",1+MAX($A$18:A825),"")</f>
        <v/>
      </c>
      <c r="B826" s="346"/>
      <c r="C826" s="346"/>
      <c r="D826" s="347"/>
      <c r="E826" s="302"/>
      <c r="F826" s="330"/>
      <c r="G826" s="249"/>
      <c r="H826" s="336"/>
      <c r="I826" s="348"/>
      <c r="J826" s="349"/>
      <c r="K826" s="339"/>
      <c r="L826" s="340"/>
      <c r="M826" s="341"/>
      <c r="N826" s="342"/>
      <c r="O826" s="343"/>
      <c r="P826" s="344"/>
      <c r="Q826" s="345"/>
      <c r="R826" s="190"/>
      <c r="S826" s="409"/>
      <c r="T826" s="409"/>
      <c r="U826" s="409"/>
      <c r="V826" s="409"/>
      <c r="W826" s="409"/>
      <c r="X826" s="212"/>
    </row>
    <row r="827" spans="1:24" s="12" customFormat="1" ht="20.100000000000001" customHeight="1" x14ac:dyDescent="0.2">
      <c r="A827" s="298" t="str">
        <f>IF(J827&lt;&gt;"",1+MAX($A$18:A826),"")</f>
        <v/>
      </c>
      <c r="B827" s="346"/>
      <c r="C827" s="346"/>
      <c r="D827" s="347"/>
      <c r="E827" s="302"/>
      <c r="F827" s="331" t="s">
        <v>351</v>
      </c>
      <c r="G827" s="249"/>
      <c r="H827" s="336"/>
      <c r="I827" s="348"/>
      <c r="J827" s="349"/>
      <c r="K827" s="339"/>
      <c r="L827" s="340"/>
      <c r="M827" s="341"/>
      <c r="N827" s="342"/>
      <c r="O827" s="343"/>
      <c r="P827" s="344"/>
      <c r="Q827" s="345"/>
      <c r="R827" s="190"/>
      <c r="S827" s="409"/>
      <c r="T827" s="409"/>
      <c r="U827" s="409"/>
      <c r="V827" s="409"/>
      <c r="W827" s="409"/>
      <c r="X827" s="212"/>
    </row>
    <row r="828" spans="1:24" s="12" customFormat="1" x14ac:dyDescent="0.2">
      <c r="A828" s="324">
        <f>IF(J828&lt;&gt;"",1+MAX($A$18:A827),"")</f>
        <v>518</v>
      </c>
      <c r="B828" s="334"/>
      <c r="C828" s="334"/>
      <c r="D828" s="326" t="s">
        <v>121</v>
      </c>
      <c r="E828" s="327" t="s">
        <v>132</v>
      </c>
      <c r="F828" s="314" t="s">
        <v>356</v>
      </c>
      <c r="G828" s="249">
        <f>21*16</f>
        <v>336</v>
      </c>
      <c r="H828" s="196">
        <f>IF(VLOOKUP(J828,'HOURLY RATES'!B$116:C$124,2,0)=0,$J$3,VLOOKUP(J828,'HOURLY RATES'!B$116:C$124,2,0))</f>
        <v>0.05</v>
      </c>
      <c r="I828" s="328">
        <f t="shared" ref="I828:I829" si="745">(G828*(1+H828))</f>
        <v>352.8</v>
      </c>
      <c r="J828" s="329" t="s">
        <v>19</v>
      </c>
      <c r="K828" s="199">
        <f>0.067</f>
        <v>6.7000000000000004E-2</v>
      </c>
      <c r="L828" s="369">
        <f t="shared" ref="L828:L829" si="746">K828*I828</f>
        <v>23.637600000000003</v>
      </c>
      <c r="M828" s="185">
        <f>IF(VLOOKUP(E828,'HOURLY RATES'!C$6:D$105,2,0)=0,$E$3,VLOOKUP(E828,'HOURLY RATES'!C$6:D$105,2,0))</f>
        <v>45.703973699999999</v>
      </c>
      <c r="N828" s="197">
        <f t="shared" ref="N828:N829" si="747">M828*L828</f>
        <v>1080.33224873112</v>
      </c>
      <c r="O828" s="211">
        <v>1.1000000000000001</v>
      </c>
      <c r="P828" s="188">
        <f t="shared" ref="P828:P829" si="748">O828*I828</f>
        <v>388.08000000000004</v>
      </c>
      <c r="Q828" s="189">
        <f t="shared" ref="Q828:Q829" si="749">P828+N828</f>
        <v>1468.4122487311201</v>
      </c>
      <c r="R828" s="190"/>
      <c r="S828" s="409"/>
      <c r="T828" s="409"/>
      <c r="U828" s="409"/>
      <c r="V828" s="409"/>
      <c r="W828" s="409"/>
      <c r="X828" s="212"/>
    </row>
    <row r="829" spans="1:24" s="12" customFormat="1" x14ac:dyDescent="0.2">
      <c r="A829" s="324">
        <f>IF(J829&lt;&gt;"",1+MAX($A$18:A828),"")</f>
        <v>519</v>
      </c>
      <c r="B829" s="334"/>
      <c r="C829" s="334"/>
      <c r="D829" s="326" t="s">
        <v>121</v>
      </c>
      <c r="E829" s="327" t="s">
        <v>132</v>
      </c>
      <c r="F829" s="314" t="s">
        <v>357</v>
      </c>
      <c r="G829" s="249">
        <f>G828*3</f>
        <v>1008</v>
      </c>
      <c r="H829" s="196">
        <f>IF(VLOOKUP(J829,'HOURLY RATES'!B$116:C$124,2,0)=0,$J$3,VLOOKUP(J829,'HOURLY RATES'!B$116:C$124,2,0))</f>
        <v>0.05</v>
      </c>
      <c r="I829" s="328">
        <f t="shared" si="745"/>
        <v>1058.4000000000001</v>
      </c>
      <c r="J829" s="329" t="s">
        <v>19</v>
      </c>
      <c r="K829" s="199">
        <f>0.015</f>
        <v>1.4999999999999999E-2</v>
      </c>
      <c r="L829" s="369">
        <f t="shared" si="746"/>
        <v>15.876000000000001</v>
      </c>
      <c r="M829" s="185">
        <f>IF(VLOOKUP(E829,'HOURLY RATES'!C$6:D$105,2,0)=0,$E$3,VLOOKUP(E829,'HOURLY RATES'!C$6:D$105,2,0))</f>
        <v>45.703973699999999</v>
      </c>
      <c r="N829" s="197">
        <f t="shared" si="747"/>
        <v>725.59628646120007</v>
      </c>
      <c r="O829" s="211">
        <v>0.2</v>
      </c>
      <c r="P829" s="188">
        <f t="shared" si="748"/>
        <v>211.68000000000004</v>
      </c>
      <c r="Q829" s="189">
        <f t="shared" si="749"/>
        <v>937.27628646120013</v>
      </c>
      <c r="R829" s="190"/>
      <c r="S829" s="409"/>
      <c r="T829" s="409"/>
      <c r="U829" s="409"/>
      <c r="V829" s="409"/>
      <c r="W829" s="409"/>
      <c r="X829" s="212"/>
    </row>
    <row r="830" spans="1:24" s="12" customFormat="1" ht="20.100000000000001" customHeight="1" x14ac:dyDescent="0.25">
      <c r="A830" s="298" t="str">
        <f>IF(J830&lt;&gt;"",1+MAX($A$18:A829),"")</f>
        <v/>
      </c>
      <c r="B830" s="346"/>
      <c r="C830" s="346"/>
      <c r="D830" s="347"/>
      <c r="E830" s="302"/>
      <c r="F830" s="330"/>
      <c r="G830" s="249"/>
      <c r="H830" s="336"/>
      <c r="I830" s="337"/>
      <c r="J830" s="369"/>
      <c r="K830" s="339"/>
      <c r="L830" s="369"/>
      <c r="M830" s="341"/>
      <c r="N830" s="342"/>
      <c r="O830" s="343"/>
      <c r="P830" s="344"/>
      <c r="Q830" s="345"/>
      <c r="R830" s="190"/>
      <c r="S830" s="409"/>
      <c r="T830" s="409"/>
      <c r="U830" s="409"/>
      <c r="V830" s="409"/>
      <c r="W830" s="409"/>
      <c r="X830" s="212"/>
    </row>
    <row r="831" spans="1:24" s="12" customFormat="1" ht="20.100000000000001" customHeight="1" x14ac:dyDescent="0.2">
      <c r="A831" s="324">
        <f>IF(J831&lt;&gt;"",1+MAX($A$18:A830),"")</f>
        <v>520</v>
      </c>
      <c r="B831" s="325"/>
      <c r="C831" s="325"/>
      <c r="D831" s="326" t="s">
        <v>121</v>
      </c>
      <c r="E831" s="302" t="s">
        <v>132</v>
      </c>
      <c r="F831" s="314" t="s">
        <v>950</v>
      </c>
      <c r="G831" s="249">
        <v>229.6</v>
      </c>
      <c r="H831" s="196">
        <f>IF(VLOOKUP(J831,'HOURLY RATES'!B$116:C$124,2,0)=0,$J$3,VLOOKUP(J831,'HOURLY RATES'!B$116:C$124,2,0))</f>
        <v>0.05</v>
      </c>
      <c r="I831" s="328">
        <f t="shared" ref="I831" si="750">(G831*(1+H831))</f>
        <v>241.08</v>
      </c>
      <c r="J831" s="329" t="s">
        <v>17</v>
      </c>
      <c r="K831" s="199">
        <f>0.05*0.5</f>
        <v>2.5000000000000001E-2</v>
      </c>
      <c r="L831" s="369">
        <f>K831*I831</f>
        <v>6.027000000000001</v>
      </c>
      <c r="M831" s="185">
        <f>IF(VLOOKUP(E831,'HOURLY RATES'!C$6:D$105,2,0)=0,$E$3,VLOOKUP(E831,'HOURLY RATES'!C$6:D$105,2,0))</f>
        <v>45.703973699999999</v>
      </c>
      <c r="N831" s="197">
        <f t="shared" ref="N831" si="751">M831*L831</f>
        <v>275.45784948990001</v>
      </c>
      <c r="O831" s="211">
        <f>0.5*0.5</f>
        <v>0.25</v>
      </c>
      <c r="P831" s="188">
        <f t="shared" ref="P831" si="752">O831*I831</f>
        <v>60.27</v>
      </c>
      <c r="Q831" s="345">
        <f t="shared" ref="Q831" si="753">P831+N831</f>
        <v>335.7278494899</v>
      </c>
      <c r="R831" s="190"/>
      <c r="S831" s="409"/>
      <c r="T831" s="409"/>
      <c r="U831" s="409"/>
      <c r="V831" s="409"/>
      <c r="W831" s="409"/>
      <c r="X831" s="212"/>
    </row>
    <row r="832" spans="1:24" s="12" customFormat="1" ht="16.5" thickBot="1" x14ac:dyDescent="0.25">
      <c r="A832" s="214" t="str">
        <f>IF(J832&lt;&gt;"",1+MAX($A$18:A831),"")</f>
        <v/>
      </c>
      <c r="B832" s="215"/>
      <c r="C832" s="215"/>
      <c r="D832" s="215"/>
      <c r="E832" s="215"/>
      <c r="F832" s="216"/>
      <c r="G832" s="217"/>
      <c r="H832" s="218"/>
      <c r="I832" s="219"/>
      <c r="J832" s="220"/>
      <c r="K832" s="221"/>
      <c r="L832" s="222"/>
      <c r="M832" s="223"/>
      <c r="N832" s="224"/>
      <c r="O832" s="225"/>
      <c r="P832" s="226"/>
      <c r="Q832" s="227"/>
      <c r="R832" s="228"/>
      <c r="S832" s="409"/>
      <c r="T832" s="409"/>
      <c r="U832" s="409"/>
      <c r="V832" s="409"/>
      <c r="W832" s="409"/>
      <c r="X832" s="212"/>
    </row>
    <row r="833" spans="1:24" s="12" customFormat="1" ht="20.100000000000001" customHeight="1" x14ac:dyDescent="0.2">
      <c r="A833" s="479" t="str">
        <f>IF(J833&lt;&gt;"",1+MAX($A$18:A832),"")</f>
        <v/>
      </c>
      <c r="B833" s="480"/>
      <c r="C833" s="480"/>
      <c r="D833" s="485" t="s">
        <v>46</v>
      </c>
      <c r="E833" s="485"/>
      <c r="F833" s="486" t="s">
        <v>161</v>
      </c>
      <c r="G833" s="481"/>
      <c r="H833" s="482"/>
      <c r="I833" s="483"/>
      <c r="J833" s="483"/>
      <c r="K833" s="482"/>
      <c r="L833" s="482"/>
      <c r="M833" s="482"/>
      <c r="N833" s="482"/>
      <c r="O833" s="482"/>
      <c r="P833" s="482"/>
      <c r="Q833" s="482"/>
      <c r="R833" s="484">
        <f>SUM(Q834:Q916)</f>
        <v>16779.457557496451</v>
      </c>
      <c r="X833" s="212"/>
    </row>
    <row r="834" spans="1:24" s="12" customFormat="1" ht="20.100000000000001" customHeight="1" x14ac:dyDescent="0.2">
      <c r="A834" s="298" t="str">
        <f>IF(J834&lt;&gt;"",1+MAX($A$18:A833),"")</f>
        <v/>
      </c>
      <c r="B834" s="299"/>
      <c r="C834" s="299"/>
      <c r="D834" s="208"/>
      <c r="E834" s="302"/>
      <c r="F834" s="314"/>
      <c r="G834" s="312"/>
      <c r="H834" s="196"/>
      <c r="I834" s="251"/>
      <c r="J834" s="183"/>
      <c r="K834" s="199"/>
      <c r="L834" s="210"/>
      <c r="M834" s="185"/>
      <c r="N834" s="197"/>
      <c r="O834" s="211"/>
      <c r="P834" s="188"/>
      <c r="Q834" s="189"/>
      <c r="R834" s="190"/>
      <c r="X834" s="212"/>
    </row>
    <row r="835" spans="1:24" s="12" customFormat="1" ht="20.100000000000001" customHeight="1" x14ac:dyDescent="0.2">
      <c r="A835" s="298">
        <f>IF(J835&lt;&gt;"",1+MAX($A$18:A834),"")</f>
        <v>521</v>
      </c>
      <c r="B835" s="364" t="s">
        <v>566</v>
      </c>
      <c r="C835" s="301" t="s">
        <v>688</v>
      </c>
      <c r="D835" s="355" t="s">
        <v>46</v>
      </c>
      <c r="E835" s="302" t="s">
        <v>125</v>
      </c>
      <c r="F835" s="357" t="s">
        <v>858</v>
      </c>
      <c r="G835" s="312">
        <f>22.05*2.34*10/27</f>
        <v>19.11</v>
      </c>
      <c r="H835" s="196">
        <f>IF(VLOOKUP(J835,'HOURLY RATES'!B$116:C$124,2,0)=0,$J$3,VLOOKUP(J835,'HOURLY RATES'!B$116:C$124,2,0))</f>
        <v>0.05</v>
      </c>
      <c r="I835" s="328">
        <f t="shared" ref="I835" si="754">(G835*(1+H835))</f>
        <v>20.0655</v>
      </c>
      <c r="J835" s="369" t="s">
        <v>41</v>
      </c>
      <c r="K835" s="368">
        <v>0.32</v>
      </c>
      <c r="L835" s="369">
        <f t="shared" ref="L835" si="755">K835*I835</f>
        <v>6.42096</v>
      </c>
      <c r="M835" s="185">
        <f>IF(VLOOKUP(E835,'HOURLY RATES'!C$6:D$105,2,0)=0,$E$3,VLOOKUP(E835,'HOURLY RATES'!C$6:D$105,2,0))</f>
        <v>61.712949375000001</v>
      </c>
      <c r="N835" s="197">
        <f t="shared" ref="N835" si="756">M835*L835</f>
        <v>396.2563794189</v>
      </c>
      <c r="O835" s="296"/>
      <c r="P835" s="295">
        <f t="shared" ref="P835" si="757">O835*I835</f>
        <v>0</v>
      </c>
      <c r="Q835" s="297">
        <f t="shared" ref="Q835" si="758">P835+N835</f>
        <v>396.2563794189</v>
      </c>
      <c r="R835" s="190"/>
      <c r="X835" s="212"/>
    </row>
    <row r="836" spans="1:24" s="12" customFormat="1" ht="20.100000000000001" customHeight="1" x14ac:dyDescent="0.2">
      <c r="A836" s="298" t="str">
        <f>IF(J836&lt;&gt;"",1+MAX($A$18:A835),"")</f>
        <v/>
      </c>
      <c r="B836" s="364"/>
      <c r="C836" s="301"/>
      <c r="D836" s="355"/>
      <c r="E836" s="302"/>
      <c r="F836" s="357"/>
      <c r="G836" s="312"/>
      <c r="H836" s="196"/>
      <c r="I836" s="328"/>
      <c r="J836" s="369"/>
      <c r="K836" s="368"/>
      <c r="L836" s="369"/>
      <c r="M836" s="185"/>
      <c r="N836" s="197"/>
      <c r="O836" s="296"/>
      <c r="P836" s="295"/>
      <c r="Q836" s="297"/>
      <c r="R836" s="190"/>
      <c r="X836" s="212"/>
    </row>
    <row r="837" spans="1:24" s="12" customFormat="1" ht="20.100000000000001" customHeight="1" x14ac:dyDescent="0.2">
      <c r="A837" s="298">
        <f>IF(J837&lt;&gt;"",1+MAX($A$18:A836),"")</f>
        <v>522</v>
      </c>
      <c r="B837" s="364" t="s">
        <v>566</v>
      </c>
      <c r="C837" s="301" t="s">
        <v>688</v>
      </c>
      <c r="D837" s="355" t="s">
        <v>46</v>
      </c>
      <c r="E837" s="302" t="s">
        <v>125</v>
      </c>
      <c r="F837" s="357" t="s">
        <v>859</v>
      </c>
      <c r="G837" s="312">
        <f>(22.05*2.34*10/27)-(0.34)</f>
        <v>18.77</v>
      </c>
      <c r="H837" s="196">
        <f>IF(VLOOKUP(J837,'HOURLY RATES'!B$116:C$124,2,0)=0,$J$3,VLOOKUP(J837,'HOURLY RATES'!B$116:C$124,2,0))</f>
        <v>0.05</v>
      </c>
      <c r="I837" s="328">
        <f t="shared" ref="I837" si="759">(G837*(1+H837))</f>
        <v>19.708500000000001</v>
      </c>
      <c r="J837" s="369" t="s">
        <v>41</v>
      </c>
      <c r="K837" s="368">
        <v>0.3</v>
      </c>
      <c r="L837" s="369">
        <f t="shared" ref="L837" si="760">K837*I837</f>
        <v>5.9125500000000004</v>
      </c>
      <c r="M837" s="185">
        <f>IF(VLOOKUP(E837,'HOURLY RATES'!C$6:D$105,2,0)=0,$E$3,VLOOKUP(E837,'HOURLY RATES'!C$6:D$105,2,0))</f>
        <v>61.712949375000001</v>
      </c>
      <c r="N837" s="197">
        <f t="shared" ref="N837" si="761">M837*L837</f>
        <v>364.88089882715627</v>
      </c>
      <c r="O837" s="296"/>
      <c r="P837" s="295">
        <f t="shared" ref="P837" si="762">O837*I837</f>
        <v>0</v>
      </c>
      <c r="Q837" s="297">
        <f t="shared" ref="Q837" si="763">P837+N837</f>
        <v>364.88089882715627</v>
      </c>
      <c r="R837" s="190"/>
      <c r="X837" s="212"/>
    </row>
    <row r="838" spans="1:24" s="12" customFormat="1" ht="20.100000000000001" customHeight="1" x14ac:dyDescent="0.2">
      <c r="A838" s="298" t="str">
        <f>IF(J838&lt;&gt;"",1+MAX($A$18:A837),"")</f>
        <v/>
      </c>
      <c r="B838" s="362"/>
      <c r="C838" s="362"/>
      <c r="D838" s="363"/>
      <c r="E838" s="302"/>
      <c r="F838" s="356"/>
      <c r="G838" s="312"/>
      <c r="H838" s="196"/>
      <c r="I838" s="251"/>
      <c r="J838" s="291"/>
      <c r="K838" s="368"/>
      <c r="L838" s="210"/>
      <c r="M838" s="185"/>
      <c r="N838" s="197"/>
      <c r="O838" s="296"/>
      <c r="P838" s="295"/>
      <c r="Q838" s="297"/>
      <c r="R838" s="190"/>
      <c r="X838" s="212"/>
    </row>
    <row r="839" spans="1:24" s="12" customFormat="1" ht="20.100000000000001" customHeight="1" x14ac:dyDescent="0.2">
      <c r="A839" s="298" t="str">
        <f>IF(J839&lt;&gt;"",1+MAX($A$18:A838),"")</f>
        <v/>
      </c>
      <c r="B839" s="362"/>
      <c r="C839" s="362"/>
      <c r="D839" s="363"/>
      <c r="E839" s="302"/>
      <c r="F839" s="313" t="s">
        <v>534</v>
      </c>
      <c r="G839" s="312"/>
      <c r="H839" s="196"/>
      <c r="I839" s="251"/>
      <c r="J839" s="291"/>
      <c r="K839" s="368"/>
      <c r="L839" s="210"/>
      <c r="M839" s="185"/>
      <c r="N839" s="197"/>
      <c r="O839" s="296"/>
      <c r="P839" s="295"/>
      <c r="Q839" s="297"/>
      <c r="R839" s="190"/>
      <c r="X839" s="212"/>
    </row>
    <row r="840" spans="1:24" s="12" customFormat="1" ht="20.100000000000001" customHeight="1" x14ac:dyDescent="0.2">
      <c r="A840" s="298">
        <f>IF(J840&lt;&gt;"",1+MAX($A$18:A839),"")</f>
        <v>523</v>
      </c>
      <c r="B840" s="364"/>
      <c r="C840" s="301"/>
      <c r="D840" s="355" t="s">
        <v>46</v>
      </c>
      <c r="E840" s="302" t="s">
        <v>125</v>
      </c>
      <c r="F840" s="357" t="s">
        <v>904</v>
      </c>
      <c r="G840" s="312">
        <f>(4*0.83*289/27)</f>
        <v>35.536296296296292</v>
      </c>
      <c r="H840" s="196">
        <f>IF(VLOOKUP(J840,'HOURLY RATES'!B$116:C$124,2,0)=0,$J$3,VLOOKUP(J840,'HOURLY RATES'!B$116:C$124,2,0))</f>
        <v>0.05</v>
      </c>
      <c r="I840" s="328">
        <f t="shared" ref="I840:I842" si="764">(G840*(1+H840))</f>
        <v>37.313111111111105</v>
      </c>
      <c r="J840" s="369" t="s">
        <v>41</v>
      </c>
      <c r="K840" s="368">
        <v>0.42299999999999999</v>
      </c>
      <c r="L840" s="369">
        <f t="shared" ref="L840:L842" si="765">K840*I840</f>
        <v>15.783445999999998</v>
      </c>
      <c r="M840" s="185">
        <f>IF(VLOOKUP(E840,'HOURLY RATES'!C$6:D$105,2,0)=0,$E$3,VLOOKUP(E840,'HOURLY RATES'!C$6:D$105,2,0))</f>
        <v>61.712949375000001</v>
      </c>
      <c r="N840" s="197">
        <f t="shared" ref="N840:N842" si="766">M840*L840</f>
        <v>974.04300396104611</v>
      </c>
      <c r="O840" s="296"/>
      <c r="P840" s="295">
        <f t="shared" ref="P840:P842" si="767">O840*I840</f>
        <v>0</v>
      </c>
      <c r="Q840" s="297">
        <f t="shared" ref="Q840:Q842" si="768">P840+N840</f>
        <v>974.04300396104611</v>
      </c>
      <c r="R840" s="190"/>
      <c r="X840" s="212"/>
    </row>
    <row r="841" spans="1:24" s="12" customFormat="1" ht="20.100000000000001" customHeight="1" x14ac:dyDescent="0.2">
      <c r="A841" s="298">
        <f>IF(J841&lt;&gt;"",1+MAX($A$18:A840),"")</f>
        <v>524</v>
      </c>
      <c r="B841" s="364"/>
      <c r="C841" s="301"/>
      <c r="D841" s="355" t="s">
        <v>46</v>
      </c>
      <c r="E841" s="302" t="s">
        <v>125</v>
      </c>
      <c r="F841" s="357" t="s">
        <v>905</v>
      </c>
      <c r="G841" s="312">
        <f>(0.33*1050/27)</f>
        <v>12.833333333333334</v>
      </c>
      <c r="H841" s="196">
        <f>IF(VLOOKUP(J841,'HOURLY RATES'!B$116:C$124,2,0)=0,$J$3,VLOOKUP(J841,'HOURLY RATES'!B$116:C$124,2,0))</f>
        <v>0.05</v>
      </c>
      <c r="I841" s="328">
        <f t="shared" si="764"/>
        <v>13.475000000000001</v>
      </c>
      <c r="J841" s="369" t="s">
        <v>41</v>
      </c>
      <c r="K841" s="368">
        <v>0.42299999999999999</v>
      </c>
      <c r="L841" s="369">
        <f t="shared" si="765"/>
        <v>5.6999250000000004</v>
      </c>
      <c r="M841" s="185">
        <f>IF(VLOOKUP(E841,'HOURLY RATES'!C$6:D$105,2,0)=0,$E$3,VLOOKUP(E841,'HOURLY RATES'!C$6:D$105,2,0))</f>
        <v>61.712949375000001</v>
      </c>
      <c r="N841" s="197">
        <f t="shared" si="766"/>
        <v>351.75918296629692</v>
      </c>
      <c r="O841" s="296"/>
      <c r="P841" s="295">
        <f t="shared" si="767"/>
        <v>0</v>
      </c>
      <c r="Q841" s="297">
        <f t="shared" si="768"/>
        <v>351.75918296629692</v>
      </c>
      <c r="R841" s="190"/>
      <c r="X841" s="212"/>
    </row>
    <row r="842" spans="1:24" s="12" customFormat="1" ht="20.100000000000001" customHeight="1" x14ac:dyDescent="0.2">
      <c r="A842" s="298">
        <f>IF(J842&lt;&gt;"",1+MAX($A$18:A841),"")</f>
        <v>525</v>
      </c>
      <c r="B842" s="364"/>
      <c r="C842" s="301"/>
      <c r="D842" s="355" t="s">
        <v>46</v>
      </c>
      <c r="E842" s="302" t="s">
        <v>125</v>
      </c>
      <c r="F842" s="357" t="s">
        <v>906</v>
      </c>
      <c r="G842" s="312">
        <f>(210*0.5)/27</f>
        <v>3.8888888888888888</v>
      </c>
      <c r="H842" s="196">
        <f>IF(VLOOKUP(J842,'HOURLY RATES'!B$116:C$124,2,0)=0,$J$3,VLOOKUP(J842,'HOURLY RATES'!B$116:C$124,2,0))</f>
        <v>0.05</v>
      </c>
      <c r="I842" s="328">
        <f t="shared" si="764"/>
        <v>4.083333333333333</v>
      </c>
      <c r="J842" s="369" t="s">
        <v>41</v>
      </c>
      <c r="K842" s="368">
        <v>0.42299999999999999</v>
      </c>
      <c r="L842" s="369">
        <f t="shared" si="765"/>
        <v>1.7272499999999997</v>
      </c>
      <c r="M842" s="185">
        <f>IF(VLOOKUP(E842,'HOURLY RATES'!C$6:D$105,2,0)=0,$E$3,VLOOKUP(E842,'HOURLY RATES'!C$6:D$105,2,0))</f>
        <v>61.712949375000001</v>
      </c>
      <c r="N842" s="197">
        <f t="shared" si="766"/>
        <v>106.59369180796874</v>
      </c>
      <c r="O842" s="296"/>
      <c r="P842" s="295">
        <f t="shared" si="767"/>
        <v>0</v>
      </c>
      <c r="Q842" s="297">
        <f t="shared" si="768"/>
        <v>106.59369180796874</v>
      </c>
      <c r="R842" s="190"/>
      <c r="X842" s="212"/>
    </row>
    <row r="843" spans="1:24" s="12" customFormat="1" ht="20.100000000000001" customHeight="1" x14ac:dyDescent="0.2">
      <c r="A843" s="298" t="str">
        <f>IF(J843&lt;&gt;"",1+MAX($A$18:A842),"")</f>
        <v/>
      </c>
      <c r="B843" s="364"/>
      <c r="C843" s="301"/>
      <c r="D843" s="355"/>
      <c r="E843" s="302"/>
      <c r="F843" s="357"/>
      <c r="G843" s="312"/>
      <c r="H843" s="196"/>
      <c r="I843" s="328"/>
      <c r="J843" s="369"/>
      <c r="K843" s="368"/>
      <c r="L843" s="369"/>
      <c r="M843" s="185"/>
      <c r="N843" s="197"/>
      <c r="O843" s="296"/>
      <c r="P843" s="295"/>
      <c r="Q843" s="297"/>
      <c r="R843" s="190"/>
      <c r="X843" s="212"/>
    </row>
    <row r="844" spans="1:24" s="12" customFormat="1" ht="20.100000000000001" customHeight="1" x14ac:dyDescent="0.2">
      <c r="A844" s="298" t="str">
        <f>IF(J844&lt;&gt;"",1+MAX($A$18:A843),"")</f>
        <v/>
      </c>
      <c r="B844" s="362"/>
      <c r="C844" s="362"/>
      <c r="D844" s="363"/>
      <c r="E844" s="302"/>
      <c r="F844" s="313" t="s">
        <v>535</v>
      </c>
      <c r="G844" s="312"/>
      <c r="H844" s="196"/>
      <c r="I844" s="251"/>
      <c r="J844" s="291"/>
      <c r="K844" s="368"/>
      <c r="L844" s="210"/>
      <c r="M844" s="185"/>
      <c r="N844" s="197"/>
      <c r="O844" s="296"/>
      <c r="P844" s="295"/>
      <c r="Q844" s="297"/>
      <c r="R844" s="190"/>
      <c r="X844" s="212"/>
    </row>
    <row r="845" spans="1:24" s="12" customFormat="1" ht="20.100000000000001" customHeight="1" x14ac:dyDescent="0.2">
      <c r="A845" s="298">
        <f>IF(J845&lt;&gt;"",1+MAX($A$18:A844),"")</f>
        <v>526</v>
      </c>
      <c r="B845" s="364"/>
      <c r="C845" s="301"/>
      <c r="D845" s="355" t="s">
        <v>46</v>
      </c>
      <c r="E845" s="302" t="s">
        <v>125</v>
      </c>
      <c r="F845" s="357" t="s">
        <v>938</v>
      </c>
      <c r="G845" s="312">
        <f>G840-G92</f>
        <v>17.891111111111108</v>
      </c>
      <c r="H845" s="196">
        <f>IF(VLOOKUP(J845,'HOURLY RATES'!B$116:C$124,2,0)=0,$J$3,VLOOKUP(J845,'HOURLY RATES'!B$116:C$124,2,0))</f>
        <v>0.05</v>
      </c>
      <c r="I845" s="328">
        <f t="shared" ref="I845:I847" si="769">(G845*(1+H845))</f>
        <v>18.785666666666664</v>
      </c>
      <c r="J845" s="369" t="s">
        <v>41</v>
      </c>
      <c r="K845" s="368">
        <v>0.41199999999999998</v>
      </c>
      <c r="L845" s="369">
        <f t="shared" ref="L845:L847" si="770">K845*I845</f>
        <v>7.7396946666666651</v>
      </c>
      <c r="M845" s="185">
        <f>IF(VLOOKUP(E845,'HOURLY RATES'!C$6:D$105,2,0)=0,$E$3,VLOOKUP(E845,'HOURLY RATES'!C$6:D$105,2,0))</f>
        <v>61.712949375000001</v>
      </c>
      <c r="N845" s="197">
        <f t="shared" ref="N845:N847" si="771">M845*L845</f>
        <v>477.6393851419574</v>
      </c>
      <c r="O845" s="296"/>
      <c r="P845" s="295">
        <f t="shared" ref="P845:P847" si="772">O845*I845</f>
        <v>0</v>
      </c>
      <c r="Q845" s="297">
        <f t="shared" ref="Q845:Q847" si="773">P845+N845</f>
        <v>477.6393851419574</v>
      </c>
      <c r="R845" s="190"/>
      <c r="X845" s="212"/>
    </row>
    <row r="846" spans="1:24" s="12" customFormat="1" ht="20.100000000000001" customHeight="1" x14ac:dyDescent="0.2">
      <c r="A846" s="298">
        <f>IF(J846&lt;&gt;"",1+MAX($A$18:A845),"")</f>
        <v>527</v>
      </c>
      <c r="B846" s="364"/>
      <c r="C846" s="301"/>
      <c r="D846" s="355" t="s">
        <v>46</v>
      </c>
      <c r="E846" s="302" t="s">
        <v>125</v>
      </c>
      <c r="F846" s="357" t="s">
        <v>939</v>
      </c>
      <c r="G846" s="312">
        <v>4</v>
      </c>
      <c r="H846" s="196">
        <f>IF(VLOOKUP(J846,'HOURLY RATES'!B$116:C$124,2,0)=0,$J$3,VLOOKUP(J846,'HOURLY RATES'!B$116:C$124,2,0))</f>
        <v>0.05</v>
      </c>
      <c r="I846" s="328">
        <f t="shared" si="769"/>
        <v>4.2</v>
      </c>
      <c r="J846" s="369" t="s">
        <v>41</v>
      </c>
      <c r="K846" s="368">
        <v>0.41199999999999998</v>
      </c>
      <c r="L846" s="369">
        <f t="shared" si="770"/>
        <v>1.7303999999999999</v>
      </c>
      <c r="M846" s="185">
        <f>IF(VLOOKUP(E846,'HOURLY RATES'!C$6:D$105,2,0)=0,$E$3,VLOOKUP(E846,'HOURLY RATES'!C$6:D$105,2,0))</f>
        <v>61.712949375000001</v>
      </c>
      <c r="N846" s="197">
        <f t="shared" si="771"/>
        <v>106.7880875985</v>
      </c>
      <c r="O846" s="296"/>
      <c r="P846" s="295">
        <f t="shared" si="772"/>
        <v>0</v>
      </c>
      <c r="Q846" s="297">
        <f t="shared" si="773"/>
        <v>106.7880875985</v>
      </c>
      <c r="R846" s="190"/>
      <c r="X846" s="212"/>
    </row>
    <row r="847" spans="1:24" s="12" customFormat="1" ht="20.100000000000001" customHeight="1" x14ac:dyDescent="0.2">
      <c r="A847" s="298">
        <f>IF(J847&lt;&gt;"",1+MAX($A$18:A846),"")</f>
        <v>528</v>
      </c>
      <c r="B847" s="364"/>
      <c r="C847" s="301"/>
      <c r="D847" s="355" t="s">
        <v>46</v>
      </c>
      <c r="E847" s="302" t="s">
        <v>125</v>
      </c>
      <c r="F847" s="357" t="s">
        <v>940</v>
      </c>
      <c r="G847" s="312">
        <f>G842-(G109+G110)</f>
        <v>1.8888888888888888</v>
      </c>
      <c r="H847" s="196">
        <f>IF(VLOOKUP(J847,'HOURLY RATES'!B$116:C$124,2,0)=0,$J$3,VLOOKUP(J847,'HOURLY RATES'!B$116:C$124,2,0))</f>
        <v>0.05</v>
      </c>
      <c r="I847" s="328">
        <f t="shared" si="769"/>
        <v>1.9833333333333334</v>
      </c>
      <c r="J847" s="369" t="s">
        <v>41</v>
      </c>
      <c r="K847" s="368">
        <v>0.41199999999999998</v>
      </c>
      <c r="L847" s="369">
        <f t="shared" si="770"/>
        <v>0.81713333333333327</v>
      </c>
      <c r="M847" s="185">
        <f>IF(VLOOKUP(E847,'HOURLY RATES'!C$6:D$105,2,0)=0,$E$3,VLOOKUP(E847,'HOURLY RATES'!C$6:D$105,2,0))</f>
        <v>61.712949375000001</v>
      </c>
      <c r="N847" s="197">
        <f t="shared" si="771"/>
        <v>50.427708032624999</v>
      </c>
      <c r="O847" s="296"/>
      <c r="P847" s="295">
        <f t="shared" si="772"/>
        <v>0</v>
      </c>
      <c r="Q847" s="297">
        <f t="shared" si="773"/>
        <v>50.427708032624999</v>
      </c>
      <c r="R847" s="190"/>
      <c r="X847" s="212"/>
    </row>
    <row r="848" spans="1:24" s="12" customFormat="1" ht="20.100000000000001" customHeight="1" x14ac:dyDescent="0.2">
      <c r="A848" s="298" t="str">
        <f>IF(J848&lt;&gt;"",1+MAX($A$18:A847),"")</f>
        <v/>
      </c>
      <c r="B848" s="364"/>
      <c r="C848" s="301"/>
      <c r="D848" s="355"/>
      <c r="E848" s="302"/>
      <c r="F848" s="357"/>
      <c r="G848" s="312"/>
      <c r="H848" s="196"/>
      <c r="I848" s="328"/>
      <c r="J848" s="369"/>
      <c r="K848" s="368"/>
      <c r="L848" s="369"/>
      <c r="M848" s="185"/>
      <c r="N848" s="197"/>
      <c r="O848" s="296"/>
      <c r="P848" s="295"/>
      <c r="Q848" s="297"/>
      <c r="R848" s="190"/>
      <c r="X848" s="212"/>
    </row>
    <row r="849" spans="1:24" s="12" customFormat="1" ht="20.100000000000001" customHeight="1" x14ac:dyDescent="0.2">
      <c r="A849" s="298" t="str">
        <f>IF(J849&lt;&gt;"",1+MAX($A$18:A848),"")</f>
        <v/>
      </c>
      <c r="B849" s="299"/>
      <c r="C849" s="299"/>
      <c r="D849" s="208"/>
      <c r="E849" s="302"/>
      <c r="F849" s="313" t="s">
        <v>532</v>
      </c>
      <c r="G849" s="312"/>
      <c r="H849" s="196"/>
      <c r="I849" s="251"/>
      <c r="J849" s="183"/>
      <c r="K849" s="199"/>
      <c r="L849" s="210"/>
      <c r="M849" s="185"/>
      <c r="N849" s="197"/>
      <c r="O849" s="211"/>
      <c r="P849" s="188"/>
      <c r="Q849" s="189"/>
      <c r="R849" s="190"/>
      <c r="X849" s="212"/>
    </row>
    <row r="850" spans="1:24" s="12" customFormat="1" ht="20.100000000000001" customHeight="1" x14ac:dyDescent="0.2">
      <c r="A850" s="298">
        <f>IF(J850&lt;&gt;"",1+MAX($A$18:A849),"")</f>
        <v>529</v>
      </c>
      <c r="B850" s="364" t="s">
        <v>566</v>
      </c>
      <c r="C850" s="301" t="s">
        <v>567</v>
      </c>
      <c r="D850" s="355" t="s">
        <v>46</v>
      </c>
      <c r="E850" s="302" t="s">
        <v>125</v>
      </c>
      <c r="F850" s="357" t="s">
        <v>908</v>
      </c>
      <c r="G850" s="312">
        <f>1781.71</f>
        <v>1781.71</v>
      </c>
      <c r="H850" s="196">
        <f>IF(VLOOKUP(J850,'HOURLY RATES'!B$116:C$124,2,0)=0,$J$3,VLOOKUP(J850,'HOURLY RATES'!B$116:C$124,2,0))</f>
        <v>0.05</v>
      </c>
      <c r="I850" s="328">
        <f t="shared" ref="I850" si="774">(G850*(1+H850))</f>
        <v>1870.7955000000002</v>
      </c>
      <c r="J850" s="369" t="s">
        <v>17</v>
      </c>
      <c r="K850" s="368">
        <v>0.01</v>
      </c>
      <c r="L850" s="369">
        <f t="shared" ref="L850" si="775">K850*I850</f>
        <v>18.707955000000002</v>
      </c>
      <c r="M850" s="185">
        <f>IF(VLOOKUP(E850,'HOURLY RATES'!C$6:D$105,2,0)=0,$E$3,VLOOKUP(E850,'HOURLY RATES'!C$6:D$105,2,0))</f>
        <v>61.712949375000001</v>
      </c>
      <c r="N850" s="197">
        <f t="shared" ref="N850" si="776">M850*L850</f>
        <v>1154.5230798247783</v>
      </c>
      <c r="O850" s="296"/>
      <c r="P850" s="295">
        <f t="shared" ref="P850" si="777">O850*I850</f>
        <v>0</v>
      </c>
      <c r="Q850" s="297">
        <f t="shared" ref="Q850" si="778">P850+N850</f>
        <v>1154.5230798247783</v>
      </c>
      <c r="R850" s="190"/>
      <c r="X850" s="212"/>
    </row>
    <row r="851" spans="1:24" s="12" customFormat="1" ht="20.100000000000001" customHeight="1" x14ac:dyDescent="0.2">
      <c r="A851" s="298" t="str">
        <f>IF(J851&lt;&gt;"",1+MAX($A$18:A850),"")</f>
        <v/>
      </c>
      <c r="B851" s="362"/>
      <c r="C851" s="362"/>
      <c r="D851" s="363"/>
      <c r="E851" s="302"/>
      <c r="F851" s="356"/>
      <c r="G851" s="312"/>
      <c r="H851" s="196"/>
      <c r="I851" s="251"/>
      <c r="J851" s="291"/>
      <c r="K851" s="368"/>
      <c r="L851" s="210"/>
      <c r="M851" s="185"/>
      <c r="N851" s="197"/>
      <c r="O851" s="296"/>
      <c r="P851" s="295"/>
      <c r="Q851" s="297"/>
      <c r="R851" s="190"/>
      <c r="X851" s="212"/>
    </row>
    <row r="852" spans="1:24" s="12" customFormat="1" ht="20.100000000000001" customHeight="1" x14ac:dyDescent="0.2">
      <c r="A852" s="298" t="str">
        <f>IF(J852&lt;&gt;"",1+MAX($A$18:A851),"")</f>
        <v/>
      </c>
      <c r="B852" s="362"/>
      <c r="C852" s="362"/>
      <c r="D852" s="363"/>
      <c r="E852" s="302"/>
      <c r="F852" s="313" t="s">
        <v>533</v>
      </c>
      <c r="G852" s="312"/>
      <c r="H852" s="196"/>
      <c r="I852" s="251"/>
      <c r="J852" s="291"/>
      <c r="K852" s="368"/>
      <c r="L852" s="210"/>
      <c r="M852" s="185"/>
      <c r="N852" s="197"/>
      <c r="O852" s="296"/>
      <c r="P852" s="295"/>
      <c r="Q852" s="297"/>
      <c r="R852" s="190"/>
      <c r="X852" s="212"/>
    </row>
    <row r="853" spans="1:24" s="12" customFormat="1" ht="20.100000000000001" customHeight="1" x14ac:dyDescent="0.2">
      <c r="A853" s="298">
        <f>IF(J853&lt;&gt;"",1+MAX($A$18:A852),"")</f>
        <v>530</v>
      </c>
      <c r="B853" s="364" t="s">
        <v>568</v>
      </c>
      <c r="C853" s="301" t="s">
        <v>569</v>
      </c>
      <c r="D853" s="355" t="s">
        <v>46</v>
      </c>
      <c r="E853" s="302" t="s">
        <v>125</v>
      </c>
      <c r="F853" s="357" t="s">
        <v>534</v>
      </c>
      <c r="G853" s="312">
        <f>(8*2*2/27)</f>
        <v>1.1851851851851851</v>
      </c>
      <c r="H853" s="196">
        <f>IF(VLOOKUP(J853,'HOURLY RATES'!B$116:C$124,2,0)=0,$J$3,VLOOKUP(J853,'HOURLY RATES'!B$116:C$124,2,0))</f>
        <v>0.05</v>
      </c>
      <c r="I853" s="328">
        <f t="shared" ref="I853" si="779">(G853*(1+H853))</f>
        <v>1.2444444444444445</v>
      </c>
      <c r="J853" s="369" t="s">
        <v>41</v>
      </c>
      <c r="K853" s="368">
        <v>0.52600000000000002</v>
      </c>
      <c r="L853" s="369">
        <f t="shared" ref="L853" si="780">K853*I853</f>
        <v>0.65457777777777781</v>
      </c>
      <c r="M853" s="185">
        <f>IF(VLOOKUP(E853,'HOURLY RATES'!C$6:D$105,2,0)=0,$E$3,VLOOKUP(E853,'HOURLY RATES'!C$6:D$105,2,0))</f>
        <v>61.712949375000001</v>
      </c>
      <c r="N853" s="197">
        <f t="shared" ref="N853" si="781">M853*L853</f>
        <v>40.395925262000006</v>
      </c>
      <c r="O853" s="296"/>
      <c r="P853" s="295">
        <f t="shared" ref="P853" si="782">O853*I853</f>
        <v>0</v>
      </c>
      <c r="Q853" s="297">
        <f t="shared" ref="Q853" si="783">P853+N853</f>
        <v>40.395925262000006</v>
      </c>
      <c r="R853" s="190"/>
      <c r="X853" s="212"/>
    </row>
    <row r="854" spans="1:24" s="12" customFormat="1" ht="20.100000000000001" customHeight="1" x14ac:dyDescent="0.2">
      <c r="A854" s="298" t="str">
        <f>IF(J854&lt;&gt;"",1+MAX($A$18:A853),"")</f>
        <v/>
      </c>
      <c r="B854" s="364"/>
      <c r="C854" s="301"/>
      <c r="D854" s="355"/>
      <c r="E854" s="302"/>
      <c r="F854" s="357"/>
      <c r="G854" s="312"/>
      <c r="H854" s="196"/>
      <c r="I854" s="251"/>
      <c r="J854" s="291"/>
      <c r="K854" s="368"/>
      <c r="L854" s="210"/>
      <c r="M854" s="185"/>
      <c r="N854" s="197"/>
      <c r="O854" s="296"/>
      <c r="P854" s="295"/>
      <c r="Q854" s="297"/>
      <c r="R854" s="190"/>
      <c r="X854" s="212"/>
    </row>
    <row r="855" spans="1:24" s="12" customFormat="1" ht="20.100000000000001" customHeight="1" x14ac:dyDescent="0.2">
      <c r="A855" s="298">
        <f>IF(J855&lt;&gt;"",1+MAX($A$18:A854),"")</f>
        <v>531</v>
      </c>
      <c r="B855" s="364" t="s">
        <v>568</v>
      </c>
      <c r="C855" s="301" t="s">
        <v>569</v>
      </c>
      <c r="D855" s="355" t="s">
        <v>46</v>
      </c>
      <c r="E855" s="302" t="s">
        <v>125</v>
      </c>
      <c r="F855" s="357" t="s">
        <v>535</v>
      </c>
      <c r="G855" s="312">
        <f>1.2-0.6</f>
        <v>0.6</v>
      </c>
      <c r="H855" s="196">
        <f>IF(VLOOKUP(J855,'HOURLY RATES'!B$116:C$124,2,0)=0,$J$3,VLOOKUP(J855,'HOURLY RATES'!B$116:C$124,2,0))</f>
        <v>0.05</v>
      </c>
      <c r="I855" s="328">
        <f t="shared" ref="I855" si="784">(G855*(1+H855))</f>
        <v>0.63</v>
      </c>
      <c r="J855" s="369" t="s">
        <v>41</v>
      </c>
      <c r="K855" s="368">
        <v>0.51</v>
      </c>
      <c r="L855" s="369">
        <f t="shared" ref="L855" si="785">K855*I855</f>
        <v>0.32130000000000003</v>
      </c>
      <c r="M855" s="185">
        <f>IF(VLOOKUP(E855,'HOURLY RATES'!C$6:D$105,2,0)=0,$E$3,VLOOKUP(E855,'HOURLY RATES'!C$6:D$105,2,0))</f>
        <v>61.712949375000001</v>
      </c>
      <c r="N855" s="197">
        <f t="shared" ref="N855" si="786">M855*L855</f>
        <v>19.828370634187504</v>
      </c>
      <c r="O855" s="296"/>
      <c r="P855" s="295">
        <f t="shared" ref="P855" si="787">O855*I855</f>
        <v>0</v>
      </c>
      <c r="Q855" s="297">
        <f t="shared" ref="Q855" si="788">P855+N855</f>
        <v>19.828370634187504</v>
      </c>
      <c r="R855" s="190"/>
      <c r="X855" s="212"/>
    </row>
    <row r="856" spans="1:24" s="12" customFormat="1" ht="20.100000000000001" customHeight="1" x14ac:dyDescent="0.2">
      <c r="A856" s="298" t="str">
        <f>IF(J856&lt;&gt;"",1+MAX($A$18:A855),"")</f>
        <v/>
      </c>
      <c r="B856" s="364"/>
      <c r="C856" s="301"/>
      <c r="D856" s="355"/>
      <c r="E856" s="302"/>
      <c r="F856" s="357"/>
      <c r="G856" s="312"/>
      <c r="H856" s="196"/>
      <c r="I856" s="251"/>
      <c r="J856" s="291"/>
      <c r="K856" s="368"/>
      <c r="L856" s="210"/>
      <c r="M856" s="185"/>
      <c r="N856" s="197"/>
      <c r="O856" s="296"/>
      <c r="P856" s="295"/>
      <c r="Q856" s="297"/>
      <c r="R856" s="190"/>
      <c r="X856" s="212"/>
    </row>
    <row r="857" spans="1:24" s="12" customFormat="1" ht="20.100000000000001" customHeight="1" x14ac:dyDescent="0.2">
      <c r="A857" s="298" t="str">
        <f>IF(J857&lt;&gt;"",1+MAX($A$18:A856),"")</f>
        <v/>
      </c>
      <c r="B857" s="364"/>
      <c r="C857" s="365"/>
      <c r="D857" s="366"/>
      <c r="E857" s="302"/>
      <c r="F857" s="313" t="s">
        <v>536</v>
      </c>
      <c r="G857" s="312"/>
      <c r="H857" s="196"/>
      <c r="I857" s="251"/>
      <c r="J857" s="291"/>
      <c r="K857" s="368"/>
      <c r="L857" s="210"/>
      <c r="M857" s="185"/>
      <c r="N857" s="197"/>
      <c r="O857" s="296"/>
      <c r="P857" s="295"/>
      <c r="Q857" s="297"/>
      <c r="R857" s="190"/>
      <c r="X857" s="212"/>
    </row>
    <row r="858" spans="1:24" s="12" customFormat="1" ht="20.100000000000001" customHeight="1" x14ac:dyDescent="0.2">
      <c r="A858" s="298">
        <f>IF(J858&lt;&gt;"",1+MAX($A$18:A857),"")</f>
        <v>532</v>
      </c>
      <c r="B858" s="364" t="s">
        <v>568</v>
      </c>
      <c r="C858" s="301"/>
      <c r="D858" s="355" t="s">
        <v>46</v>
      </c>
      <c r="E858" s="302" t="s">
        <v>125</v>
      </c>
      <c r="F858" s="357" t="s">
        <v>918</v>
      </c>
      <c r="G858" s="312">
        <f>(2*2*2*19/27)</f>
        <v>5.6296296296296298</v>
      </c>
      <c r="H858" s="196">
        <f>IF(VLOOKUP(J858,'HOURLY RATES'!B$116:C$124,2,0)=0,$J$3,VLOOKUP(J858,'HOURLY RATES'!B$116:C$124,2,0))</f>
        <v>0.05</v>
      </c>
      <c r="I858" s="328">
        <f t="shared" ref="I858" si="789">(G858*(1+H858))</f>
        <v>5.9111111111111114</v>
      </c>
      <c r="J858" s="369" t="s">
        <v>41</v>
      </c>
      <c r="K858" s="368">
        <v>0.47499999999999998</v>
      </c>
      <c r="L858" s="369">
        <f t="shared" ref="L858" si="790">K858*I858</f>
        <v>2.8077777777777779</v>
      </c>
      <c r="M858" s="185">
        <f>IF(VLOOKUP(E858,'HOURLY RATES'!C$6:D$105,2,0)=0,$E$3,VLOOKUP(E858,'HOURLY RATES'!C$6:D$105,2,0))</f>
        <v>61.712949375000001</v>
      </c>
      <c r="N858" s="197">
        <f t="shared" ref="N858" si="791">M858*L858</f>
        <v>173.27624785625002</v>
      </c>
      <c r="O858" s="296"/>
      <c r="P858" s="295">
        <f t="shared" ref="P858" si="792">O858*I858</f>
        <v>0</v>
      </c>
      <c r="Q858" s="297">
        <f t="shared" ref="Q858" si="793">P858+N858</f>
        <v>173.27624785625002</v>
      </c>
      <c r="R858" s="190"/>
      <c r="X858" s="212"/>
    </row>
    <row r="859" spans="1:24" s="12" customFormat="1" ht="20.100000000000001" customHeight="1" x14ac:dyDescent="0.2">
      <c r="A859" s="298" t="str">
        <f>IF(J859&lt;&gt;"",1+MAX($A$18:A858),"")</f>
        <v/>
      </c>
      <c r="B859" s="364"/>
      <c r="C859" s="301"/>
      <c r="D859" s="355"/>
      <c r="E859" s="302"/>
      <c r="F859" s="357"/>
      <c r="G859" s="312"/>
      <c r="H859" s="196"/>
      <c r="I859" s="251"/>
      <c r="J859" s="291"/>
      <c r="K859" s="368"/>
      <c r="L859" s="210"/>
      <c r="M859" s="185"/>
      <c r="N859" s="197"/>
      <c r="O859" s="296"/>
      <c r="P859" s="295"/>
      <c r="Q859" s="297"/>
      <c r="R859" s="190"/>
      <c r="X859" s="212"/>
    </row>
    <row r="860" spans="1:24" s="12" customFormat="1" ht="20.100000000000001" customHeight="1" x14ac:dyDescent="0.2">
      <c r="A860" s="298">
        <f>IF(J860&lt;&gt;"",1+MAX($A$18:A859),"")</f>
        <v>533</v>
      </c>
      <c r="B860" s="364" t="s">
        <v>568</v>
      </c>
      <c r="C860" s="301"/>
      <c r="D860" s="355" t="s">
        <v>46</v>
      </c>
      <c r="E860" s="302" t="s">
        <v>125</v>
      </c>
      <c r="F860" s="357" t="s">
        <v>919</v>
      </c>
      <c r="G860" s="312">
        <f>7-1</f>
        <v>6</v>
      </c>
      <c r="H860" s="196">
        <f>IF(VLOOKUP(J860,'HOURLY RATES'!B$116:C$124,2,0)=0,$J$3,VLOOKUP(J860,'HOURLY RATES'!B$116:C$124,2,0))</f>
        <v>0.05</v>
      </c>
      <c r="I860" s="328">
        <f t="shared" ref="I860" si="794">(G860*(1+H860))</f>
        <v>6.3000000000000007</v>
      </c>
      <c r="J860" s="369" t="s">
        <v>41</v>
      </c>
      <c r="K860" s="368">
        <v>0.46200000000000002</v>
      </c>
      <c r="L860" s="369">
        <f t="shared" ref="L860" si="795">K860*I860</f>
        <v>2.9106000000000005</v>
      </c>
      <c r="M860" s="185">
        <f>IF(VLOOKUP(E860,'HOURLY RATES'!C$6:D$105,2,0)=0,$E$3,VLOOKUP(E860,'HOURLY RATES'!C$6:D$105,2,0))</f>
        <v>61.712949375000001</v>
      </c>
      <c r="N860" s="197">
        <f t="shared" ref="N860" si="796">M860*L860</f>
        <v>179.62171045087504</v>
      </c>
      <c r="O860" s="296"/>
      <c r="P860" s="295">
        <f t="shared" ref="P860" si="797">O860*I860</f>
        <v>0</v>
      </c>
      <c r="Q860" s="297">
        <f t="shared" ref="Q860" si="798">P860+N860</f>
        <v>179.62171045087504</v>
      </c>
      <c r="R860" s="190"/>
      <c r="X860" s="212"/>
    </row>
    <row r="861" spans="1:24" s="12" customFormat="1" ht="20.100000000000001" customHeight="1" x14ac:dyDescent="0.2">
      <c r="A861" s="298" t="str">
        <f>IF(J861&lt;&gt;"",1+MAX($A$18:A860),"")</f>
        <v/>
      </c>
      <c r="B861" s="364"/>
      <c r="C861" s="365"/>
      <c r="D861" s="366"/>
      <c r="E861" s="302"/>
      <c r="F861" s="357"/>
      <c r="G861" s="312"/>
      <c r="H861" s="196"/>
      <c r="I861" s="251"/>
      <c r="J861" s="291"/>
      <c r="K861" s="368"/>
      <c r="L861" s="210"/>
      <c r="M861" s="185"/>
      <c r="N861" s="197"/>
      <c r="O861" s="296"/>
      <c r="P861" s="295"/>
      <c r="Q861" s="297"/>
      <c r="R861" s="190"/>
      <c r="X861" s="212"/>
    </row>
    <row r="862" spans="1:24" s="12" customFormat="1" ht="20.100000000000001" customHeight="1" x14ac:dyDescent="0.2">
      <c r="A862" s="298" t="str">
        <f>IF(J862&lt;&gt;"",1+MAX($A$18:A861),"")</f>
        <v/>
      </c>
      <c r="B862" s="364"/>
      <c r="C862" s="365"/>
      <c r="D862" s="366"/>
      <c r="E862" s="302"/>
      <c r="F862" s="313" t="s">
        <v>537</v>
      </c>
      <c r="G862" s="312"/>
      <c r="H862" s="196"/>
      <c r="I862" s="251"/>
      <c r="J862" s="291"/>
      <c r="K862" s="368"/>
      <c r="L862" s="210"/>
      <c r="M862" s="185"/>
      <c r="N862" s="197"/>
      <c r="O862" s="296"/>
      <c r="P862" s="295"/>
      <c r="Q862" s="297"/>
      <c r="R862" s="190"/>
      <c r="X862" s="212"/>
    </row>
    <row r="863" spans="1:24" s="12" customFormat="1" ht="20.100000000000001" customHeight="1" x14ac:dyDescent="0.2">
      <c r="A863" s="298">
        <f>IF(J863&lt;&gt;"",1+MAX($A$18:A862),"")</f>
        <v>534</v>
      </c>
      <c r="B863" s="364" t="s">
        <v>568</v>
      </c>
      <c r="C863" s="301"/>
      <c r="D863" s="355" t="s">
        <v>46</v>
      </c>
      <c r="E863" s="302" t="s">
        <v>125</v>
      </c>
      <c r="F863" s="357" t="s">
        <v>534</v>
      </c>
      <c r="G863" s="312">
        <f>(8.76*2*5/27)</f>
        <v>3.244444444444444</v>
      </c>
      <c r="H863" s="196">
        <f>IF(VLOOKUP(J863,'HOURLY RATES'!B$116:C$124,2,0)=0,$J$3,VLOOKUP(J863,'HOURLY RATES'!B$116:C$124,2,0))</f>
        <v>0.05</v>
      </c>
      <c r="I863" s="328">
        <f t="shared" ref="I863" si="799">(G863*(1+H863))</f>
        <v>3.4066666666666663</v>
      </c>
      <c r="J863" s="369" t="s">
        <v>41</v>
      </c>
      <c r="K863" s="368">
        <v>0.49299999999999999</v>
      </c>
      <c r="L863" s="369">
        <f t="shared" ref="L863" si="800">K863*I863</f>
        <v>1.6794866666666664</v>
      </c>
      <c r="M863" s="185">
        <f>IF(VLOOKUP(E863,'HOURLY RATES'!C$6:D$105,2,0)=0,$E$3,VLOOKUP(E863,'HOURLY RATES'!C$6:D$105,2,0))</f>
        <v>61.712949375000001</v>
      </c>
      <c r="N863" s="197">
        <f t="shared" ref="N863" si="801">M863*L863</f>
        <v>103.64607563598749</v>
      </c>
      <c r="O863" s="296"/>
      <c r="P863" s="295">
        <f t="shared" ref="P863" si="802">O863*I863</f>
        <v>0</v>
      </c>
      <c r="Q863" s="297">
        <f t="shared" ref="Q863" si="803">P863+N863</f>
        <v>103.64607563598749</v>
      </c>
      <c r="R863" s="190"/>
      <c r="X863" s="212"/>
    </row>
    <row r="864" spans="1:24" s="12" customFormat="1" ht="20.100000000000001" customHeight="1" x14ac:dyDescent="0.2">
      <c r="A864" s="298" t="str">
        <f>IF(J864&lt;&gt;"",1+MAX($A$18:A863),"")</f>
        <v/>
      </c>
      <c r="B864" s="364"/>
      <c r="C864" s="365"/>
      <c r="D864" s="366"/>
      <c r="E864" s="302"/>
      <c r="F864" s="357"/>
      <c r="G864" s="312"/>
      <c r="H864" s="196"/>
      <c r="I864" s="251"/>
      <c r="J864" s="291"/>
      <c r="K864" s="368"/>
      <c r="L864" s="210"/>
      <c r="M864" s="185"/>
      <c r="N864" s="197"/>
      <c r="O864" s="296"/>
      <c r="P864" s="295"/>
      <c r="Q864" s="297"/>
      <c r="R864" s="190"/>
      <c r="X864" s="212"/>
    </row>
    <row r="865" spans="1:24" s="12" customFormat="1" ht="20.100000000000001" customHeight="1" x14ac:dyDescent="0.2">
      <c r="A865" s="298">
        <f>IF(J865&lt;&gt;"",1+MAX($A$18:A864),"")</f>
        <v>535</v>
      </c>
      <c r="B865" s="364" t="s">
        <v>568</v>
      </c>
      <c r="C865" s="301"/>
      <c r="D865" s="355" t="s">
        <v>46</v>
      </c>
      <c r="E865" s="302" t="s">
        <v>125</v>
      </c>
      <c r="F865" s="357" t="s">
        <v>535</v>
      </c>
      <c r="G865" s="312">
        <f>4-1</f>
        <v>3</v>
      </c>
      <c r="H865" s="196">
        <f>IF(VLOOKUP(J865,'HOURLY RATES'!B$116:C$124,2,0)=0,$J$3,VLOOKUP(J865,'HOURLY RATES'!B$116:C$124,2,0))</f>
        <v>0.05</v>
      </c>
      <c r="I865" s="328">
        <f t="shared" ref="I865" si="804">(G865*(1+H865))</f>
        <v>3.1500000000000004</v>
      </c>
      <c r="J865" s="369" t="s">
        <v>41</v>
      </c>
      <c r="K865" s="368">
        <v>0.48899999999999999</v>
      </c>
      <c r="L865" s="369">
        <f t="shared" ref="L865" si="805">K865*I865</f>
        <v>1.5403500000000001</v>
      </c>
      <c r="M865" s="185">
        <f>IF(VLOOKUP(E865,'HOURLY RATES'!C$6:D$105,2,0)=0,$E$3,VLOOKUP(E865,'HOURLY RATES'!C$6:D$105,2,0))</f>
        <v>61.712949375000001</v>
      </c>
      <c r="N865" s="197">
        <f t="shared" ref="N865" si="806">M865*L865</f>
        <v>95.05954156978126</v>
      </c>
      <c r="O865" s="296"/>
      <c r="P865" s="295">
        <f t="shared" ref="P865" si="807">O865*I865</f>
        <v>0</v>
      </c>
      <c r="Q865" s="297">
        <f t="shared" ref="Q865" si="808">P865+N865</f>
        <v>95.05954156978126</v>
      </c>
      <c r="R865" s="190"/>
      <c r="X865" s="212"/>
    </row>
    <row r="866" spans="1:24" s="12" customFormat="1" ht="20.100000000000001" customHeight="1" x14ac:dyDescent="0.2">
      <c r="A866" s="298" t="str">
        <f>IF(J866&lt;&gt;"",1+MAX($A$18:A865),"")</f>
        <v/>
      </c>
      <c r="B866" s="364"/>
      <c r="C866" s="364"/>
      <c r="D866" s="366"/>
      <c r="E866" s="302"/>
      <c r="F866" s="356"/>
      <c r="G866" s="312"/>
      <c r="H866" s="196"/>
      <c r="I866" s="251"/>
      <c r="J866" s="291"/>
      <c r="K866" s="368"/>
      <c r="L866" s="210"/>
      <c r="M866" s="185"/>
      <c r="N866" s="197"/>
      <c r="O866" s="296"/>
      <c r="P866" s="295"/>
      <c r="Q866" s="297"/>
      <c r="R866" s="190"/>
      <c r="X866" s="212"/>
    </row>
    <row r="867" spans="1:24" s="12" customFormat="1" ht="20.100000000000001" customHeight="1" x14ac:dyDescent="0.2">
      <c r="A867" s="298" t="str">
        <f>IF(J867&lt;&gt;"",1+MAX($A$18:A866),"")</f>
        <v/>
      </c>
      <c r="B867" s="364"/>
      <c r="C867" s="364"/>
      <c r="D867" s="366"/>
      <c r="E867" s="302"/>
      <c r="F867" s="313" t="s">
        <v>538</v>
      </c>
      <c r="G867" s="312"/>
      <c r="H867" s="196"/>
      <c r="I867" s="251"/>
      <c r="J867" s="291"/>
      <c r="K867" s="368"/>
      <c r="L867" s="210"/>
      <c r="M867" s="185"/>
      <c r="N867" s="197"/>
      <c r="O867" s="296"/>
      <c r="P867" s="295"/>
      <c r="Q867" s="297"/>
      <c r="R867" s="190"/>
      <c r="X867" s="212"/>
    </row>
    <row r="868" spans="1:24" s="12" customFormat="1" ht="20.100000000000001" customHeight="1" x14ac:dyDescent="0.2">
      <c r="A868" s="298">
        <f>IF(J868&lt;&gt;"",1+MAX($A$18:A867),"")</f>
        <v>536</v>
      </c>
      <c r="B868" s="362" t="s">
        <v>570</v>
      </c>
      <c r="C868" s="362"/>
      <c r="D868" s="355" t="s">
        <v>46</v>
      </c>
      <c r="E868" s="302" t="s">
        <v>125</v>
      </c>
      <c r="F868" s="357" t="s">
        <v>539</v>
      </c>
      <c r="G868" s="312">
        <f>(24.4*2.34*5/27)*1.33</f>
        <v>14.062533333333333</v>
      </c>
      <c r="H868" s="196">
        <f>IF(VLOOKUP(J868,'HOURLY RATES'!B$116:C$124,2,0)=0,$J$3,VLOOKUP(J868,'HOURLY RATES'!B$116:C$124,2,0))</f>
        <v>0.05</v>
      </c>
      <c r="I868" s="328">
        <f t="shared" ref="I868:I873" si="809">(G868*(1+H868))</f>
        <v>14.76566</v>
      </c>
      <c r="J868" s="369" t="s">
        <v>41</v>
      </c>
      <c r="K868" s="368">
        <v>0.28000000000000003</v>
      </c>
      <c r="L868" s="369">
        <f t="shared" ref="L868:L873" si="810">K868*I868</f>
        <v>4.1343848000000003</v>
      </c>
      <c r="M868" s="185">
        <f>IF(VLOOKUP(E868,'HOURLY RATES'!C$6:D$105,2,0)=0,$E$3,VLOOKUP(E868,'HOURLY RATES'!C$6:D$105,2,0))</f>
        <v>61.712949375000001</v>
      </c>
      <c r="N868" s="197">
        <f t="shared" ref="N868:N873" si="811">M868*L868</f>
        <v>255.14507985916953</v>
      </c>
      <c r="O868" s="296"/>
      <c r="P868" s="295">
        <f t="shared" ref="P868:P873" si="812">O868*I868</f>
        <v>0</v>
      </c>
      <c r="Q868" s="297">
        <f t="shared" ref="Q868:Q873" si="813">P868+N868</f>
        <v>255.14507985916953</v>
      </c>
      <c r="R868" s="190"/>
      <c r="X868" s="212"/>
    </row>
    <row r="869" spans="1:24" s="12" customFormat="1" ht="20.100000000000001" customHeight="1" x14ac:dyDescent="0.2">
      <c r="A869" s="298">
        <f>IF(J869&lt;&gt;"",1+MAX($A$18:A868),"")</f>
        <v>537</v>
      </c>
      <c r="B869" s="362" t="s">
        <v>570</v>
      </c>
      <c r="C869" s="362"/>
      <c r="D869" s="355" t="s">
        <v>46</v>
      </c>
      <c r="E869" s="302" t="s">
        <v>125</v>
      </c>
      <c r="F869" s="357" t="s">
        <v>540</v>
      </c>
      <c r="G869" s="312">
        <f>(9.6*2.13*9/27)*1.33</f>
        <v>9.0652799999999996</v>
      </c>
      <c r="H869" s="196">
        <f>IF(VLOOKUP(J869,'HOURLY RATES'!B$116:C$124,2,0)=0,$J$3,VLOOKUP(J869,'HOURLY RATES'!B$116:C$124,2,0))</f>
        <v>0.05</v>
      </c>
      <c r="I869" s="328">
        <f t="shared" si="809"/>
        <v>9.5185440000000003</v>
      </c>
      <c r="J869" s="369" t="s">
        <v>41</v>
      </c>
      <c r="K869" s="368">
        <v>0.28000000000000003</v>
      </c>
      <c r="L869" s="369">
        <f t="shared" si="810"/>
        <v>2.6651923200000005</v>
      </c>
      <c r="M869" s="185">
        <f>IF(VLOOKUP(E869,'HOURLY RATES'!C$6:D$105,2,0)=0,$E$3,VLOOKUP(E869,'HOURLY RATES'!C$6:D$105,2,0))</f>
        <v>61.712949375000001</v>
      </c>
      <c r="N869" s="197">
        <f t="shared" si="811"/>
        <v>164.47687871879884</v>
      </c>
      <c r="O869" s="296"/>
      <c r="P869" s="295">
        <f t="shared" si="812"/>
        <v>0</v>
      </c>
      <c r="Q869" s="297">
        <f t="shared" si="813"/>
        <v>164.47687871879884</v>
      </c>
      <c r="R869" s="190"/>
      <c r="X869" s="212"/>
    </row>
    <row r="870" spans="1:24" s="12" customFormat="1" ht="20.100000000000001" customHeight="1" x14ac:dyDescent="0.2">
      <c r="A870" s="298">
        <f>IF(J870&lt;&gt;"",1+MAX($A$18:A869),"")</f>
        <v>538</v>
      </c>
      <c r="B870" s="362" t="s">
        <v>570</v>
      </c>
      <c r="C870" s="362"/>
      <c r="D870" s="355" t="s">
        <v>46</v>
      </c>
      <c r="E870" s="302" t="s">
        <v>125</v>
      </c>
      <c r="F870" s="357" t="s">
        <v>541</v>
      </c>
      <c r="G870" s="312">
        <f>(12.05*2.13*9/27)*1.33</f>
        <v>11.378814999999999</v>
      </c>
      <c r="H870" s="196">
        <f>IF(VLOOKUP(J870,'HOURLY RATES'!B$116:C$124,2,0)=0,$J$3,VLOOKUP(J870,'HOURLY RATES'!B$116:C$124,2,0))</f>
        <v>0.05</v>
      </c>
      <c r="I870" s="328">
        <f t="shared" si="809"/>
        <v>11.947755750000001</v>
      </c>
      <c r="J870" s="369" t="s">
        <v>41</v>
      </c>
      <c r="K870" s="368">
        <v>0.28000000000000003</v>
      </c>
      <c r="L870" s="369">
        <f t="shared" si="810"/>
        <v>3.3453716100000004</v>
      </c>
      <c r="M870" s="185">
        <f>IF(VLOOKUP(E870,'HOURLY RATES'!C$6:D$105,2,0)=0,$E$3,VLOOKUP(E870,'HOURLY RATES'!C$6:D$105,2,0))</f>
        <v>61.712949375000001</v>
      </c>
      <c r="N870" s="197">
        <f t="shared" si="811"/>
        <v>206.45274880849226</v>
      </c>
      <c r="O870" s="296"/>
      <c r="P870" s="295">
        <f t="shared" si="812"/>
        <v>0</v>
      </c>
      <c r="Q870" s="297">
        <f t="shared" si="813"/>
        <v>206.45274880849226</v>
      </c>
      <c r="R870" s="190"/>
      <c r="X870" s="212"/>
    </row>
    <row r="871" spans="1:24" s="12" customFormat="1" ht="20.100000000000001" customHeight="1" x14ac:dyDescent="0.2">
      <c r="A871" s="298">
        <f>IF(J871&lt;&gt;"",1+MAX($A$18:A870),"")</f>
        <v>539</v>
      </c>
      <c r="B871" s="362" t="s">
        <v>570</v>
      </c>
      <c r="C871" s="362"/>
      <c r="D871" s="355" t="s">
        <v>46</v>
      </c>
      <c r="E871" s="302" t="s">
        <v>125</v>
      </c>
      <c r="F871" s="357" t="s">
        <v>542</v>
      </c>
      <c r="G871" s="312">
        <f>(25*2.13*10/27)*1.33</f>
        <v>26.230555555555554</v>
      </c>
      <c r="H871" s="196">
        <f>IF(VLOOKUP(J871,'HOURLY RATES'!B$116:C$124,2,0)=0,$J$3,VLOOKUP(J871,'HOURLY RATES'!B$116:C$124,2,0))</f>
        <v>0.05</v>
      </c>
      <c r="I871" s="328">
        <f t="shared" si="809"/>
        <v>27.542083333333334</v>
      </c>
      <c r="J871" s="369" t="s">
        <v>41</v>
      </c>
      <c r="K871" s="368">
        <v>0.28000000000000003</v>
      </c>
      <c r="L871" s="369">
        <f t="shared" si="810"/>
        <v>7.7117833333333339</v>
      </c>
      <c r="M871" s="185">
        <f>IF(VLOOKUP(E871,'HOURLY RATES'!C$6:D$105,2,0)=0,$E$3,VLOOKUP(E871,'HOURLY RATES'!C$6:D$105,2,0))</f>
        <v>61.712949375000001</v>
      </c>
      <c r="N871" s="197">
        <f t="shared" si="811"/>
        <v>475.9168944409688</v>
      </c>
      <c r="O871" s="296"/>
      <c r="P871" s="295">
        <f t="shared" si="812"/>
        <v>0</v>
      </c>
      <c r="Q871" s="297">
        <f t="shared" si="813"/>
        <v>475.9168944409688</v>
      </c>
      <c r="R871" s="190"/>
      <c r="X871" s="212"/>
    </row>
    <row r="872" spans="1:24" s="12" customFormat="1" ht="20.100000000000001" customHeight="1" x14ac:dyDescent="0.2">
      <c r="A872" s="298">
        <f>IF(J872&lt;&gt;"",1+MAX($A$18:A871),"")</f>
        <v>540</v>
      </c>
      <c r="B872" s="362" t="s">
        <v>570</v>
      </c>
      <c r="C872" s="362"/>
      <c r="D872" s="355" t="s">
        <v>46</v>
      </c>
      <c r="E872" s="302" t="s">
        <v>125</v>
      </c>
      <c r="F872" s="307" t="s">
        <v>543</v>
      </c>
      <c r="G872" s="312">
        <f>(6.05*2.5*10/27)*1.33</f>
        <v>7.4504629629629635</v>
      </c>
      <c r="H872" s="196">
        <f>IF(VLOOKUP(J872,'HOURLY RATES'!B$116:C$124,2,0)=0,$J$3,VLOOKUP(J872,'HOURLY RATES'!B$116:C$124,2,0))</f>
        <v>0.05</v>
      </c>
      <c r="I872" s="328">
        <f t="shared" si="809"/>
        <v>7.8229861111111116</v>
      </c>
      <c r="J872" s="369" t="s">
        <v>41</v>
      </c>
      <c r="K872" s="368">
        <v>0.28000000000000003</v>
      </c>
      <c r="L872" s="369">
        <f t="shared" si="810"/>
        <v>2.1904361111111115</v>
      </c>
      <c r="M872" s="185">
        <f>IF(VLOOKUP(E872,'HOURLY RATES'!C$6:D$105,2,0)=0,$E$3,VLOOKUP(E872,'HOURLY RATES'!C$6:D$105,2,0))</f>
        <v>61.712949375000001</v>
      </c>
      <c r="N872" s="197">
        <f t="shared" si="811"/>
        <v>135.17827283417191</v>
      </c>
      <c r="O872" s="296"/>
      <c r="P872" s="295">
        <f t="shared" si="812"/>
        <v>0</v>
      </c>
      <c r="Q872" s="297">
        <f t="shared" si="813"/>
        <v>135.17827283417191</v>
      </c>
      <c r="R872" s="190"/>
      <c r="X872" s="212"/>
    </row>
    <row r="873" spans="1:24" s="12" customFormat="1" ht="20.100000000000001" customHeight="1" x14ac:dyDescent="0.2">
      <c r="A873" s="298">
        <f>IF(J873&lt;&gt;"",1+MAX($A$18:A872),"")</f>
        <v>541</v>
      </c>
      <c r="B873" s="362" t="s">
        <v>570</v>
      </c>
      <c r="C873" s="362"/>
      <c r="D873" s="355" t="s">
        <v>46</v>
      </c>
      <c r="E873" s="302" t="s">
        <v>125</v>
      </c>
      <c r="F873" s="307" t="s">
        <v>544</v>
      </c>
      <c r="G873" s="312">
        <f>(6.04*2.34*10/27)*1.33</f>
        <v>6.9621066666666653</v>
      </c>
      <c r="H873" s="196">
        <f>IF(VLOOKUP(J873,'HOURLY RATES'!B$116:C$124,2,0)=0,$J$3,VLOOKUP(J873,'HOURLY RATES'!B$116:C$124,2,0))</f>
        <v>0.05</v>
      </c>
      <c r="I873" s="328">
        <f t="shared" si="809"/>
        <v>7.310211999999999</v>
      </c>
      <c r="J873" s="369" t="s">
        <v>41</v>
      </c>
      <c r="K873" s="368">
        <v>0.28000000000000003</v>
      </c>
      <c r="L873" s="369">
        <f t="shared" si="810"/>
        <v>2.04685936</v>
      </c>
      <c r="M873" s="185">
        <f>IF(VLOOKUP(E873,'HOURLY RATES'!C$6:D$105,2,0)=0,$E$3,VLOOKUP(E873,'HOURLY RATES'!C$6:D$105,2,0))</f>
        <v>61.712949375000001</v>
      </c>
      <c r="N873" s="197">
        <f t="shared" si="811"/>
        <v>126.3177280614249</v>
      </c>
      <c r="O873" s="296"/>
      <c r="P873" s="295">
        <f t="shared" si="812"/>
        <v>0</v>
      </c>
      <c r="Q873" s="297">
        <f t="shared" si="813"/>
        <v>126.3177280614249</v>
      </c>
      <c r="R873" s="190"/>
      <c r="X873" s="212"/>
    </row>
    <row r="874" spans="1:24" s="12" customFormat="1" ht="20.100000000000001" customHeight="1" x14ac:dyDescent="0.2">
      <c r="A874" s="298" t="str">
        <f>IF(J874&lt;&gt;"",1+MAX($A$18:A873),"")</f>
        <v/>
      </c>
      <c r="B874" s="362"/>
      <c r="C874" s="362"/>
      <c r="D874" s="355"/>
      <c r="E874" s="302"/>
      <c r="F874" s="357"/>
      <c r="G874" s="312"/>
      <c r="H874" s="196"/>
      <c r="I874" s="251"/>
      <c r="J874" s="291"/>
      <c r="K874" s="368"/>
      <c r="L874" s="210"/>
      <c r="M874" s="185"/>
      <c r="N874" s="197"/>
      <c r="O874" s="296"/>
      <c r="P874" s="295"/>
      <c r="Q874" s="297"/>
      <c r="R874" s="190"/>
      <c r="X874" s="212"/>
    </row>
    <row r="875" spans="1:24" s="12" customFormat="1" ht="20.100000000000001" customHeight="1" x14ac:dyDescent="0.2">
      <c r="A875" s="298" t="str">
        <f>IF(J875&lt;&gt;"",1+MAX($A$18:A874),"")</f>
        <v/>
      </c>
      <c r="B875" s="362"/>
      <c r="C875" s="362"/>
      <c r="D875" s="355"/>
      <c r="E875" s="302"/>
      <c r="F875" s="352" t="s">
        <v>545</v>
      </c>
      <c r="G875" s="288"/>
      <c r="H875" s="196"/>
      <c r="I875" s="251"/>
      <c r="J875" s="291"/>
      <c r="K875" s="368"/>
      <c r="L875" s="210"/>
      <c r="M875" s="185"/>
      <c r="N875" s="197"/>
      <c r="O875" s="296"/>
      <c r="P875" s="295"/>
      <c r="Q875" s="297"/>
      <c r="R875" s="190"/>
      <c r="X875" s="212"/>
    </row>
    <row r="876" spans="1:24" s="12" customFormat="1" ht="20.100000000000001" customHeight="1" x14ac:dyDescent="0.2">
      <c r="A876" s="298">
        <f>IF(J876&lt;&gt;"",1+MAX($A$18:A875),"")</f>
        <v>542</v>
      </c>
      <c r="B876" s="364" t="s">
        <v>570</v>
      </c>
      <c r="C876" s="301"/>
      <c r="D876" s="355" t="s">
        <v>46</v>
      </c>
      <c r="E876" s="302" t="s">
        <v>125</v>
      </c>
      <c r="F876" s="357" t="s">
        <v>546</v>
      </c>
      <c r="G876" s="312">
        <f>(24.4*2.34*4.34/27)*1.33</f>
        <v>12.206278933333332</v>
      </c>
      <c r="H876" s="196">
        <f>IF(VLOOKUP(J876,'HOURLY RATES'!B$116:C$124,2,0)=0,$J$3,VLOOKUP(J876,'HOURLY RATES'!B$116:C$124,2,0))</f>
        <v>0.05</v>
      </c>
      <c r="I876" s="328">
        <f t="shared" ref="I876:I881" si="814">(G876*(1+H876))</f>
        <v>12.816592879999998</v>
      </c>
      <c r="J876" s="369" t="s">
        <v>41</v>
      </c>
      <c r="K876" s="368">
        <v>0.26500000000000001</v>
      </c>
      <c r="L876" s="369">
        <f t="shared" ref="L876:L881" si="815">K876*I876</f>
        <v>3.3963971131999995</v>
      </c>
      <c r="M876" s="185">
        <f>IF(VLOOKUP(E876,'HOURLY RATES'!C$6:D$105,2,0)=0,$E$3,VLOOKUP(E876,'HOURLY RATES'!C$6:D$105,2,0))</f>
        <v>61.712949375000001</v>
      </c>
      <c r="N876" s="197">
        <f t="shared" ref="N876:N881" si="816">M876*L876</f>
        <v>209.60168310430771</v>
      </c>
      <c r="O876" s="296">
        <f>31.6*1.3</f>
        <v>41.080000000000005</v>
      </c>
      <c r="P876" s="295">
        <f t="shared" ref="P876:P881" si="817">O876*I876</f>
        <v>526.5056355104</v>
      </c>
      <c r="Q876" s="297">
        <f t="shared" ref="Q876:Q881" si="818">P876+N876</f>
        <v>736.10731861470776</v>
      </c>
      <c r="R876" s="190"/>
      <c r="X876" s="212"/>
    </row>
    <row r="877" spans="1:24" s="12" customFormat="1" ht="20.100000000000001" customHeight="1" x14ac:dyDescent="0.2">
      <c r="A877" s="298">
        <f>IF(J877&lt;&gt;"",1+MAX($A$18:A876),"")</f>
        <v>543</v>
      </c>
      <c r="B877" s="364" t="s">
        <v>570</v>
      </c>
      <c r="C877" s="301"/>
      <c r="D877" s="355" t="s">
        <v>46</v>
      </c>
      <c r="E877" s="302" t="s">
        <v>125</v>
      </c>
      <c r="F877" s="357" t="s">
        <v>547</v>
      </c>
      <c r="G877" s="312">
        <f>(9.6*2.13*8.34/27)*1.33</f>
        <v>8.4004927999999985</v>
      </c>
      <c r="H877" s="196">
        <f>IF(VLOOKUP(J877,'HOURLY RATES'!B$116:C$124,2,0)=0,$J$3,VLOOKUP(J877,'HOURLY RATES'!B$116:C$124,2,0))</f>
        <v>0.05</v>
      </c>
      <c r="I877" s="328">
        <f t="shared" si="814"/>
        <v>8.8205174399999997</v>
      </c>
      <c r="J877" s="369" t="s">
        <v>41</v>
      </c>
      <c r="K877" s="368">
        <v>0.26500000000000001</v>
      </c>
      <c r="L877" s="369">
        <f t="shared" si="815"/>
        <v>2.3374371215999998</v>
      </c>
      <c r="M877" s="185">
        <f>IF(VLOOKUP(E877,'HOURLY RATES'!C$6:D$105,2,0)=0,$E$3,VLOOKUP(E877,'HOURLY RATES'!C$6:D$105,2,0))</f>
        <v>61.712949375000001</v>
      </c>
      <c r="N877" s="197">
        <f t="shared" si="816"/>
        <v>144.25013875254652</v>
      </c>
      <c r="O877" s="296">
        <f t="shared" ref="O877:O881" si="819">31.6*1.3</f>
        <v>41.080000000000005</v>
      </c>
      <c r="P877" s="295">
        <f t="shared" si="817"/>
        <v>362.34685643520004</v>
      </c>
      <c r="Q877" s="297">
        <f t="shared" si="818"/>
        <v>506.59699518774653</v>
      </c>
      <c r="R877" s="190"/>
      <c r="X877" s="212"/>
    </row>
    <row r="878" spans="1:24" s="12" customFormat="1" ht="20.100000000000001" customHeight="1" x14ac:dyDescent="0.2">
      <c r="A878" s="298">
        <f>IF(J878&lt;&gt;"",1+MAX($A$18:A877),"")</f>
        <v>544</v>
      </c>
      <c r="B878" s="364" t="s">
        <v>570</v>
      </c>
      <c r="C878" s="301"/>
      <c r="D878" s="355" t="s">
        <v>46</v>
      </c>
      <c r="E878" s="302" t="s">
        <v>125</v>
      </c>
      <c r="F878" s="357" t="s">
        <v>548</v>
      </c>
      <c r="G878" s="312">
        <f>(12.05*2.13*8.34/27)*1.33</f>
        <v>10.544368566666666</v>
      </c>
      <c r="H878" s="196">
        <f>IF(VLOOKUP(J878,'HOURLY RATES'!B$116:C$124,2,0)=0,$J$3,VLOOKUP(J878,'HOURLY RATES'!B$116:C$124,2,0))</f>
        <v>0.05</v>
      </c>
      <c r="I878" s="328">
        <f t="shared" si="814"/>
        <v>11.071586995000001</v>
      </c>
      <c r="J878" s="369" t="s">
        <v>41</v>
      </c>
      <c r="K878" s="368">
        <v>0.26500000000000001</v>
      </c>
      <c r="L878" s="369">
        <f t="shared" si="815"/>
        <v>2.9339705536750005</v>
      </c>
      <c r="M878" s="185">
        <f>IF(VLOOKUP(E878,'HOURLY RATES'!C$6:D$105,2,0)=0,$E$3,VLOOKUP(E878,'HOURLY RATES'!C$6:D$105,2,0))</f>
        <v>61.712949375000001</v>
      </c>
      <c r="N878" s="197">
        <f t="shared" si="816"/>
        <v>181.06397624668602</v>
      </c>
      <c r="O878" s="296">
        <f t="shared" si="819"/>
        <v>41.080000000000005</v>
      </c>
      <c r="P878" s="295">
        <f t="shared" si="817"/>
        <v>454.82079375460006</v>
      </c>
      <c r="Q878" s="297">
        <f t="shared" si="818"/>
        <v>635.88477000128614</v>
      </c>
      <c r="R878" s="190"/>
      <c r="X878" s="212"/>
    </row>
    <row r="879" spans="1:24" s="12" customFormat="1" ht="20.100000000000001" customHeight="1" x14ac:dyDescent="0.2">
      <c r="A879" s="298">
        <f>IF(J879&lt;&gt;"",1+MAX($A$18:A878),"")</f>
        <v>545</v>
      </c>
      <c r="B879" s="364" t="s">
        <v>570</v>
      </c>
      <c r="C879" s="301"/>
      <c r="D879" s="355" t="s">
        <v>46</v>
      </c>
      <c r="E879" s="302" t="s">
        <v>125</v>
      </c>
      <c r="F879" s="357" t="s">
        <v>549</v>
      </c>
      <c r="G879" s="312">
        <f>(25*2.13*9.34/27)*1.33</f>
        <v>24.499338888888889</v>
      </c>
      <c r="H879" s="196">
        <f>IF(VLOOKUP(J879,'HOURLY RATES'!B$116:C$124,2,0)=0,$J$3,VLOOKUP(J879,'HOURLY RATES'!B$116:C$124,2,0))</f>
        <v>0.05</v>
      </c>
      <c r="I879" s="328">
        <f t="shared" si="814"/>
        <v>25.724305833333336</v>
      </c>
      <c r="J879" s="369" t="s">
        <v>41</v>
      </c>
      <c r="K879" s="368">
        <v>0.26500000000000001</v>
      </c>
      <c r="L879" s="369">
        <f t="shared" si="815"/>
        <v>6.8169410458333344</v>
      </c>
      <c r="M879" s="185">
        <f>IF(VLOOKUP(E879,'HOURLY RATES'!C$6:D$105,2,0)=0,$E$3,VLOOKUP(E879,'HOURLY RATES'!C$6:D$105,2,0))</f>
        <v>61.712949375000001</v>
      </c>
      <c r="N879" s="197">
        <f t="shared" si="816"/>
        <v>420.69353765387211</v>
      </c>
      <c r="O879" s="296">
        <f t="shared" si="819"/>
        <v>41.080000000000005</v>
      </c>
      <c r="P879" s="295">
        <f t="shared" si="817"/>
        <v>1056.7544836333336</v>
      </c>
      <c r="Q879" s="297">
        <f t="shared" si="818"/>
        <v>1477.4480212872058</v>
      </c>
      <c r="R879" s="190"/>
      <c r="X879" s="212"/>
    </row>
    <row r="880" spans="1:24" s="12" customFormat="1" ht="20.100000000000001" customHeight="1" x14ac:dyDescent="0.2">
      <c r="A880" s="298">
        <f>IF(J880&lt;&gt;"",1+MAX($A$18:A879),"")</f>
        <v>546</v>
      </c>
      <c r="B880" s="364" t="s">
        <v>570</v>
      </c>
      <c r="C880" s="301"/>
      <c r="D880" s="355" t="s">
        <v>46</v>
      </c>
      <c r="E880" s="302" t="s">
        <v>125</v>
      </c>
      <c r="F880" s="357" t="s">
        <v>550</v>
      </c>
      <c r="G880" s="312">
        <f>(6.05*2.5*9.34/27)*1.33</f>
        <v>6.9587324074074068</v>
      </c>
      <c r="H880" s="196">
        <f>IF(VLOOKUP(J880,'HOURLY RATES'!B$116:C$124,2,0)=0,$J$3,VLOOKUP(J880,'HOURLY RATES'!B$116:C$124,2,0))</f>
        <v>0.05</v>
      </c>
      <c r="I880" s="328">
        <f t="shared" si="814"/>
        <v>7.3066690277777777</v>
      </c>
      <c r="J880" s="369" t="s">
        <v>41</v>
      </c>
      <c r="K880" s="368">
        <v>0.26500000000000001</v>
      </c>
      <c r="L880" s="369">
        <f t="shared" si="815"/>
        <v>1.9362672923611113</v>
      </c>
      <c r="M880" s="185">
        <f>IF(VLOOKUP(E880,'HOURLY RATES'!C$6:D$105,2,0)=0,$E$3,VLOOKUP(E880,'HOURLY RATES'!C$6:D$105,2,0))</f>
        <v>61.712949375000001</v>
      </c>
      <c r="N880" s="197">
        <f t="shared" si="816"/>
        <v>119.49276538994958</v>
      </c>
      <c r="O880" s="296">
        <f t="shared" si="819"/>
        <v>41.080000000000005</v>
      </c>
      <c r="P880" s="295">
        <f t="shared" si="817"/>
        <v>300.15796366111113</v>
      </c>
      <c r="Q880" s="297">
        <f t="shared" si="818"/>
        <v>419.65072905106069</v>
      </c>
      <c r="R880" s="190"/>
      <c r="X880" s="212"/>
    </row>
    <row r="881" spans="1:24" s="12" customFormat="1" ht="20.100000000000001" customHeight="1" x14ac:dyDescent="0.2">
      <c r="A881" s="298">
        <f>IF(J881&lt;&gt;"",1+MAX($A$18:A880),"")</f>
        <v>547</v>
      </c>
      <c r="B881" s="364" t="s">
        <v>570</v>
      </c>
      <c r="C881" s="301"/>
      <c r="D881" s="355" t="s">
        <v>46</v>
      </c>
      <c r="E881" s="302" t="s">
        <v>125</v>
      </c>
      <c r="F881" s="357" t="s">
        <v>551</v>
      </c>
      <c r="G881" s="312">
        <f>(6.04*2.34*9.34/27)*1.33</f>
        <v>6.5026076266666673</v>
      </c>
      <c r="H881" s="196">
        <f>IF(VLOOKUP(J881,'HOURLY RATES'!B$116:C$124,2,0)=0,$J$3,VLOOKUP(J881,'HOURLY RATES'!B$116:C$124,2,0))</f>
        <v>0.05</v>
      </c>
      <c r="I881" s="328">
        <f t="shared" si="814"/>
        <v>6.8277380080000007</v>
      </c>
      <c r="J881" s="369" t="s">
        <v>41</v>
      </c>
      <c r="K881" s="368">
        <v>0.26500000000000001</v>
      </c>
      <c r="L881" s="369">
        <f t="shared" si="815"/>
        <v>1.8093505721200003</v>
      </c>
      <c r="M881" s="185">
        <f>IF(VLOOKUP(E881,'HOURLY RATES'!C$6:D$105,2,0)=0,$E$3,VLOOKUP(E881,'HOURLY RATES'!C$6:D$105,2,0))</f>
        <v>61.712949375000001</v>
      </c>
      <c r="N881" s="197">
        <f t="shared" si="816"/>
        <v>111.66036025886886</v>
      </c>
      <c r="O881" s="296">
        <f t="shared" si="819"/>
        <v>41.080000000000005</v>
      </c>
      <c r="P881" s="295">
        <f t="shared" si="817"/>
        <v>280.48347736864008</v>
      </c>
      <c r="Q881" s="297">
        <f t="shared" si="818"/>
        <v>392.14383762750896</v>
      </c>
      <c r="R881" s="190"/>
      <c r="X881" s="212"/>
    </row>
    <row r="882" spans="1:24" s="12" customFormat="1" ht="20.100000000000001" customHeight="1" x14ac:dyDescent="0.2">
      <c r="A882" s="298" t="str">
        <f>IF(J882&lt;&gt;"",1+MAX($A$18:A881),"")</f>
        <v/>
      </c>
      <c r="B882" s="364"/>
      <c r="C882" s="301"/>
      <c r="D882" s="355"/>
      <c r="E882" s="302"/>
      <c r="F882" s="357"/>
      <c r="G882" s="312"/>
      <c r="H882" s="196"/>
      <c r="I882" s="328"/>
      <c r="J882" s="369"/>
      <c r="K882" s="368"/>
      <c r="L882" s="369"/>
      <c r="M882" s="185"/>
      <c r="N882" s="197"/>
      <c r="O882" s="296"/>
      <c r="P882" s="295"/>
      <c r="Q882" s="297"/>
      <c r="R882" s="190"/>
      <c r="X882" s="212"/>
    </row>
    <row r="883" spans="1:24" s="12" customFormat="1" ht="20.100000000000001" customHeight="1" x14ac:dyDescent="0.2">
      <c r="A883" s="298" t="str">
        <f>IF(J883&lt;&gt;"",1+MAX($A$18:A882),"")</f>
        <v/>
      </c>
      <c r="B883" s="362"/>
      <c r="C883" s="362"/>
      <c r="D883" s="355"/>
      <c r="E883" s="302"/>
      <c r="F883" s="406" t="s">
        <v>915</v>
      </c>
      <c r="G883" s="312"/>
      <c r="H883" s="196"/>
      <c r="I883" s="251"/>
      <c r="J883" s="291"/>
      <c r="K883" s="368"/>
      <c r="L883" s="210"/>
      <c r="M883" s="185"/>
      <c r="N883" s="197"/>
      <c r="O883" s="296"/>
      <c r="P883" s="295"/>
      <c r="Q883" s="297"/>
      <c r="R883" s="190"/>
      <c r="X883" s="212"/>
    </row>
    <row r="884" spans="1:24" s="12" customFormat="1" x14ac:dyDescent="0.2">
      <c r="A884" s="298" t="str">
        <f>IF(J884&lt;&gt;"",1+MAX($A$18:A883),"")</f>
        <v/>
      </c>
      <c r="B884" s="362"/>
      <c r="C884" s="362"/>
      <c r="D884" s="355"/>
      <c r="E884" s="302"/>
      <c r="F884" s="357"/>
      <c r="G884" s="312"/>
      <c r="H884" s="196"/>
      <c r="I884" s="251"/>
      <c r="J884" s="291"/>
      <c r="K884" s="368"/>
      <c r="L884" s="210"/>
      <c r="M884" s="185"/>
      <c r="N884" s="197"/>
      <c r="O884" s="296"/>
      <c r="P884" s="295"/>
      <c r="Q884" s="297"/>
      <c r="R884" s="190"/>
      <c r="X884" s="212"/>
    </row>
    <row r="885" spans="1:24" s="12" customFormat="1" ht="20.100000000000001" customHeight="1" x14ac:dyDescent="0.2">
      <c r="A885" s="298">
        <f>IF(J885&lt;&gt;"",1+MAX($A$18:A884),"")</f>
        <v>548</v>
      </c>
      <c r="B885" s="362" t="s">
        <v>570</v>
      </c>
      <c r="C885" s="362"/>
      <c r="D885" s="355" t="s">
        <v>46</v>
      </c>
      <c r="E885" s="302" t="s">
        <v>125</v>
      </c>
      <c r="F885" s="357" t="s">
        <v>552</v>
      </c>
      <c r="G885" s="312">
        <f>(24.4*2.34*0.5/27)*1.33</f>
        <v>1.4062533333333334</v>
      </c>
      <c r="H885" s="196">
        <f>IF(VLOOKUP(J885,'HOURLY RATES'!B$116:C$124,2,0)=0,$J$3,VLOOKUP(J885,'HOURLY RATES'!B$116:C$124,2,0))</f>
        <v>0.05</v>
      </c>
      <c r="I885" s="328">
        <f t="shared" ref="I885:I890" si="820">(G885*(1+H885))</f>
        <v>1.476566</v>
      </c>
      <c r="J885" s="369" t="s">
        <v>41</v>
      </c>
      <c r="K885" s="368">
        <v>0.26500000000000001</v>
      </c>
      <c r="L885" s="369">
        <f t="shared" ref="L885:L890" si="821">K885*I885</f>
        <v>0.39128999000000003</v>
      </c>
      <c r="M885" s="185">
        <f>IF(VLOOKUP(E885,'HOURLY RATES'!C$6:D$105,2,0)=0,$E$3,VLOOKUP(E885,'HOURLY RATES'!C$6:D$105,2,0))</f>
        <v>61.712949375000001</v>
      </c>
      <c r="N885" s="197">
        <f t="shared" ref="N885:N890" si="822">M885*L885</f>
        <v>24.147659343814258</v>
      </c>
      <c r="O885" s="296">
        <f>32.5+0.1*M885</f>
        <v>38.671294937500001</v>
      </c>
      <c r="P885" s="295">
        <f t="shared" ref="P885:P890" si="823">O885*I885</f>
        <v>57.100719280684629</v>
      </c>
      <c r="Q885" s="297">
        <f t="shared" ref="Q885:Q890" si="824">P885+N885</f>
        <v>81.248378624498883</v>
      </c>
      <c r="R885" s="190"/>
      <c r="X885" s="212"/>
    </row>
    <row r="886" spans="1:24" s="12" customFormat="1" ht="20.100000000000001" customHeight="1" x14ac:dyDescent="0.2">
      <c r="A886" s="298">
        <f>IF(J886&lt;&gt;"",1+MAX($A$18:A885),"")</f>
        <v>549</v>
      </c>
      <c r="B886" s="362" t="s">
        <v>570</v>
      </c>
      <c r="C886" s="362"/>
      <c r="D886" s="355" t="s">
        <v>46</v>
      </c>
      <c r="E886" s="302" t="s">
        <v>125</v>
      </c>
      <c r="F886" s="357" t="s">
        <v>553</v>
      </c>
      <c r="G886" s="312">
        <f>(9.6*2.13*0.5/27)*1.33</f>
        <v>0.50362666666666656</v>
      </c>
      <c r="H886" s="196">
        <f>IF(VLOOKUP(J886,'HOURLY RATES'!B$116:C$124,2,0)=0,$J$3,VLOOKUP(J886,'HOURLY RATES'!B$116:C$124,2,0))</f>
        <v>0.05</v>
      </c>
      <c r="I886" s="328">
        <f t="shared" si="820"/>
        <v>0.52880799999999994</v>
      </c>
      <c r="J886" s="369" t="s">
        <v>41</v>
      </c>
      <c r="K886" s="368">
        <v>0.26500000000000001</v>
      </c>
      <c r="L886" s="369">
        <f t="shared" si="821"/>
        <v>0.14013412</v>
      </c>
      <c r="M886" s="185">
        <f>IF(VLOOKUP(E886,'HOURLY RATES'!C$6:D$105,2,0)=0,$E$3,VLOOKUP(E886,'HOURLY RATES'!C$6:D$105,2,0))</f>
        <v>61.712949375000001</v>
      </c>
      <c r="N886" s="197">
        <f t="shared" si="822"/>
        <v>8.6480898532701751</v>
      </c>
      <c r="O886" s="296">
        <f t="shared" ref="O886:O890" si="825">32.5+0.1*M886</f>
        <v>38.671294937500001</v>
      </c>
      <c r="P886" s="295">
        <f t="shared" si="823"/>
        <v>20.449690133309499</v>
      </c>
      <c r="Q886" s="297">
        <f t="shared" si="824"/>
        <v>29.097779986579674</v>
      </c>
      <c r="R886" s="190"/>
      <c r="X886" s="212"/>
    </row>
    <row r="887" spans="1:24" s="12" customFormat="1" ht="20.100000000000001" customHeight="1" x14ac:dyDescent="0.2">
      <c r="A887" s="298">
        <f>IF(J887&lt;&gt;"",1+MAX($A$18:A886),"")</f>
        <v>550</v>
      </c>
      <c r="B887" s="362" t="s">
        <v>570</v>
      </c>
      <c r="C887" s="362"/>
      <c r="D887" s="355" t="s">
        <v>46</v>
      </c>
      <c r="E887" s="302" t="s">
        <v>125</v>
      </c>
      <c r="F887" s="357" t="s">
        <v>554</v>
      </c>
      <c r="G887" s="359">
        <f>12.05*2.13*0.5/27</f>
        <v>0.47530555555555554</v>
      </c>
      <c r="H887" s="196">
        <f>IF(VLOOKUP(J887,'HOURLY RATES'!B$116:C$124,2,0)=0,$J$3,VLOOKUP(J887,'HOURLY RATES'!B$116:C$124,2,0))</f>
        <v>0.05</v>
      </c>
      <c r="I887" s="328">
        <f t="shared" si="820"/>
        <v>0.49907083333333335</v>
      </c>
      <c r="J887" s="369" t="s">
        <v>41</v>
      </c>
      <c r="K887" s="368">
        <v>0.26500000000000001</v>
      </c>
      <c r="L887" s="369">
        <f t="shared" si="821"/>
        <v>0.13225377083333334</v>
      </c>
      <c r="M887" s="185">
        <f>IF(VLOOKUP(E887,'HOURLY RATES'!C$6:D$105,2,0)=0,$E$3,VLOOKUP(E887,'HOURLY RATES'!C$6:D$105,2,0))</f>
        <v>61.712949375000001</v>
      </c>
      <c r="N887" s="197">
        <f t="shared" si="822"/>
        <v>8.161770264090352</v>
      </c>
      <c r="O887" s="296">
        <f t="shared" si="825"/>
        <v>38.671294937500001</v>
      </c>
      <c r="P887" s="295">
        <f t="shared" si="823"/>
        <v>19.299715390537241</v>
      </c>
      <c r="Q887" s="297">
        <f t="shared" si="824"/>
        <v>27.461485654627594</v>
      </c>
      <c r="R887" s="190"/>
      <c r="X887" s="212"/>
    </row>
    <row r="888" spans="1:24" s="12" customFormat="1" ht="20.100000000000001" customHeight="1" x14ac:dyDescent="0.2">
      <c r="A888" s="298">
        <f>IF(J888&lt;&gt;"",1+MAX($A$18:A887),"")</f>
        <v>551</v>
      </c>
      <c r="B888" s="362" t="s">
        <v>570</v>
      </c>
      <c r="C888" s="362"/>
      <c r="D888" s="355" t="s">
        <v>46</v>
      </c>
      <c r="E888" s="302" t="s">
        <v>125</v>
      </c>
      <c r="F888" s="357" t="s">
        <v>555</v>
      </c>
      <c r="G888" s="312">
        <f>(25*2.13*0.5/27)*1.33</f>
        <v>1.3115277777777778</v>
      </c>
      <c r="H888" s="196">
        <f>IF(VLOOKUP(J888,'HOURLY RATES'!B$116:C$124,2,0)=0,$J$3,VLOOKUP(J888,'HOURLY RATES'!B$116:C$124,2,0))</f>
        <v>0.05</v>
      </c>
      <c r="I888" s="328">
        <f t="shared" si="820"/>
        <v>1.3771041666666668</v>
      </c>
      <c r="J888" s="369" t="s">
        <v>41</v>
      </c>
      <c r="K888" s="368">
        <v>0.26500000000000001</v>
      </c>
      <c r="L888" s="369">
        <f t="shared" si="821"/>
        <v>0.36493260416666673</v>
      </c>
      <c r="M888" s="185">
        <f>IF(VLOOKUP(E888,'HOURLY RATES'!C$6:D$105,2,0)=0,$E$3,VLOOKUP(E888,'HOURLY RATES'!C$6:D$105,2,0))</f>
        <v>61.712949375000001</v>
      </c>
      <c r="N888" s="197">
        <f t="shared" si="822"/>
        <v>22.521067326224419</v>
      </c>
      <c r="O888" s="296">
        <f t="shared" si="825"/>
        <v>38.671294937500001</v>
      </c>
      <c r="P888" s="295">
        <f t="shared" si="823"/>
        <v>53.254401388826828</v>
      </c>
      <c r="Q888" s="297">
        <f t="shared" si="824"/>
        <v>75.775468715051247</v>
      </c>
      <c r="R888" s="190"/>
      <c r="X888" s="212"/>
    </row>
    <row r="889" spans="1:24" s="12" customFormat="1" ht="20.100000000000001" customHeight="1" x14ac:dyDescent="0.2">
      <c r="A889" s="298">
        <f>IF(J889&lt;&gt;"",1+MAX($A$18:A888),"")</f>
        <v>552</v>
      </c>
      <c r="B889" s="362" t="s">
        <v>570</v>
      </c>
      <c r="C889" s="362"/>
      <c r="D889" s="355" t="s">
        <v>46</v>
      </c>
      <c r="E889" s="302" t="s">
        <v>125</v>
      </c>
      <c r="F889" s="307" t="s">
        <v>556</v>
      </c>
      <c r="G889" s="359">
        <f>(6.05*2.5*0.5/27)*1.33</f>
        <v>0.37252314814814819</v>
      </c>
      <c r="H889" s="196">
        <f>IF(VLOOKUP(J889,'HOURLY RATES'!B$116:C$124,2,0)=0,$J$3,VLOOKUP(J889,'HOURLY RATES'!B$116:C$124,2,0))</f>
        <v>0.05</v>
      </c>
      <c r="I889" s="328">
        <f t="shared" si="820"/>
        <v>0.3911493055555556</v>
      </c>
      <c r="J889" s="369" t="s">
        <v>41</v>
      </c>
      <c r="K889" s="368">
        <v>0.26500000000000001</v>
      </c>
      <c r="L889" s="369">
        <f t="shared" si="821"/>
        <v>0.10365456597222224</v>
      </c>
      <c r="M889" s="185">
        <f>IF(VLOOKUP(E889,'HOURLY RATES'!C$6:D$105,2,0)=0,$E$3,VLOOKUP(E889,'HOURLY RATES'!C$6:D$105,2,0))</f>
        <v>61.712949375000001</v>
      </c>
      <c r="N889" s="197">
        <f t="shared" si="822"/>
        <v>6.3968289823313489</v>
      </c>
      <c r="O889" s="296">
        <f t="shared" si="825"/>
        <v>38.671294937500001</v>
      </c>
      <c r="P889" s="295">
        <f t="shared" si="823"/>
        <v>15.126250159737198</v>
      </c>
      <c r="Q889" s="297">
        <f t="shared" si="824"/>
        <v>21.523079142068546</v>
      </c>
      <c r="R889" s="190"/>
      <c r="X889" s="212"/>
    </row>
    <row r="890" spans="1:24" s="12" customFormat="1" ht="20.100000000000001" customHeight="1" x14ac:dyDescent="0.2">
      <c r="A890" s="298">
        <f>IF(J890&lt;&gt;"",1+MAX($A$18:A889),"")</f>
        <v>553</v>
      </c>
      <c r="B890" s="362" t="s">
        <v>570</v>
      </c>
      <c r="C890" s="362"/>
      <c r="D890" s="355" t="s">
        <v>46</v>
      </c>
      <c r="E890" s="302" t="s">
        <v>125</v>
      </c>
      <c r="F890" s="307" t="s">
        <v>557</v>
      </c>
      <c r="G890" s="359">
        <f>(6.04*2.34*0.5/27)*1.33</f>
        <v>0.34810533333333332</v>
      </c>
      <c r="H890" s="196">
        <f>IF(VLOOKUP(J890,'HOURLY RATES'!B$116:C$124,2,0)=0,$J$3,VLOOKUP(J890,'HOURLY RATES'!B$116:C$124,2,0))</f>
        <v>0.05</v>
      </c>
      <c r="I890" s="328">
        <f t="shared" si="820"/>
        <v>0.36551060000000002</v>
      </c>
      <c r="J890" s="369" t="s">
        <v>41</v>
      </c>
      <c r="K890" s="368">
        <v>0.26500000000000001</v>
      </c>
      <c r="L890" s="369">
        <f t="shared" si="821"/>
        <v>9.6860309000000006E-2</v>
      </c>
      <c r="M890" s="185">
        <f>IF(VLOOKUP(E890,'HOURLY RATES'!C$6:D$105,2,0)=0,$E$3,VLOOKUP(E890,'HOURLY RATES'!C$6:D$105,2,0))</f>
        <v>61.712949375000001</v>
      </c>
      <c r="N890" s="197">
        <f t="shared" si="822"/>
        <v>5.9775353457638571</v>
      </c>
      <c r="O890" s="296">
        <f t="shared" si="825"/>
        <v>38.671294937500001</v>
      </c>
      <c r="P890" s="295">
        <f t="shared" si="823"/>
        <v>14.134768215382589</v>
      </c>
      <c r="Q890" s="297">
        <f t="shared" si="824"/>
        <v>20.112303561146447</v>
      </c>
      <c r="R890" s="190"/>
      <c r="X890" s="212"/>
    </row>
    <row r="891" spans="1:24" s="12" customFormat="1" x14ac:dyDescent="0.2">
      <c r="A891" s="298" t="str">
        <f>IF(J891&lt;&gt;"",1+MAX($A$18:A890),"")</f>
        <v/>
      </c>
      <c r="B891" s="362"/>
      <c r="C891" s="362"/>
      <c r="D891" s="355"/>
      <c r="E891" s="302"/>
      <c r="F891" s="357"/>
      <c r="G891" s="360"/>
      <c r="H891" s="196"/>
      <c r="I891" s="251"/>
      <c r="J891" s="291"/>
      <c r="K891" s="368"/>
      <c r="L891" s="210"/>
      <c r="M891" s="185"/>
      <c r="N891" s="197"/>
      <c r="O891" s="296"/>
      <c r="P891" s="295"/>
      <c r="Q891" s="297"/>
      <c r="R891" s="190"/>
      <c r="X891" s="212"/>
    </row>
    <row r="892" spans="1:24" s="12" customFormat="1" ht="20.100000000000001" customHeight="1" x14ac:dyDescent="0.2">
      <c r="A892" s="298" t="str">
        <f>IF(J892&lt;&gt;"",1+MAX($A$18:A891),"")</f>
        <v/>
      </c>
      <c r="B892" s="362"/>
      <c r="C892" s="362"/>
      <c r="D892" s="355"/>
      <c r="E892" s="302"/>
      <c r="F892" s="406" t="s">
        <v>914</v>
      </c>
      <c r="G892" s="360"/>
      <c r="H892" s="196"/>
      <c r="I892" s="251"/>
      <c r="J892" s="291"/>
      <c r="K892" s="368"/>
      <c r="L892" s="210"/>
      <c r="M892" s="185"/>
      <c r="N892" s="197"/>
      <c r="O892" s="296"/>
      <c r="P892" s="295"/>
      <c r="Q892" s="297"/>
      <c r="R892" s="190"/>
      <c r="X892" s="212"/>
    </row>
    <row r="893" spans="1:24" s="12" customFormat="1" x14ac:dyDescent="0.2">
      <c r="A893" s="298" t="str">
        <f>IF(J893&lt;&gt;"",1+MAX($A$18:A892),"")</f>
        <v/>
      </c>
      <c r="B893" s="364"/>
      <c r="C893" s="364"/>
      <c r="D893" s="366"/>
      <c r="E893" s="302"/>
      <c r="F893" s="314"/>
      <c r="G893" s="312"/>
      <c r="H893" s="196"/>
      <c r="I893" s="251"/>
      <c r="J893" s="291"/>
      <c r="K893" s="368"/>
      <c r="L893" s="210"/>
      <c r="M893" s="185"/>
      <c r="N893" s="197"/>
      <c r="O893" s="296"/>
      <c r="P893" s="295"/>
      <c r="Q893" s="297"/>
      <c r="R893" s="190"/>
      <c r="X893" s="212"/>
    </row>
    <row r="894" spans="1:24" s="12" customFormat="1" ht="20.100000000000001" customHeight="1" x14ac:dyDescent="0.2">
      <c r="A894" s="298">
        <f>IF(J894&lt;&gt;"",1+MAX($A$18:A893),"")</f>
        <v>554</v>
      </c>
      <c r="B894" s="362" t="s">
        <v>570</v>
      </c>
      <c r="C894" s="362"/>
      <c r="D894" s="355" t="s">
        <v>46</v>
      </c>
      <c r="E894" s="302" t="s">
        <v>157</v>
      </c>
      <c r="F894" s="314" t="s">
        <v>558</v>
      </c>
      <c r="G894" s="312">
        <f>((9.6+12.05)*9*2)+((25+12)*10*2)</f>
        <v>1129.7</v>
      </c>
      <c r="H894" s="196">
        <f>IF(VLOOKUP(J894,'HOURLY RATES'!B$116:C$124,2,0)=0,$J$3,VLOOKUP(J894,'HOURLY RATES'!B$116:C$124,2,0))</f>
        <v>0.05</v>
      </c>
      <c r="I894" s="328">
        <f t="shared" ref="I894" si="826">(G894*(1+H894))</f>
        <v>1186.1850000000002</v>
      </c>
      <c r="J894" s="369" t="s">
        <v>17</v>
      </c>
      <c r="K894" s="368">
        <f>0.08/2</f>
        <v>0.04</v>
      </c>
      <c r="L894" s="369">
        <f t="shared" ref="L894" si="827">K894*I894</f>
        <v>47.447400000000009</v>
      </c>
      <c r="M894" s="185">
        <f>IF(VLOOKUP(E894,'HOURLY RATES'!C$6:D$105,2,0)=0,$E$3,VLOOKUP(E894,'HOURLY RATES'!C$6:D$105,2,0))</f>
        <v>26.044173499999999</v>
      </c>
      <c r="N894" s="197">
        <f t="shared" ref="N894" si="828">M894*L894</f>
        <v>1235.7283177239003</v>
      </c>
      <c r="O894" s="296"/>
      <c r="P894" s="295">
        <f t="shared" ref="P894" si="829">O894*I894</f>
        <v>0</v>
      </c>
      <c r="Q894" s="297">
        <f t="shared" ref="Q894" si="830">P894+N894</f>
        <v>1235.7283177239003</v>
      </c>
      <c r="R894" s="190"/>
      <c r="X894" s="212"/>
    </row>
    <row r="895" spans="1:24" s="12" customFormat="1" x14ac:dyDescent="0.2">
      <c r="A895" s="298" t="str">
        <f>IF(J895&lt;&gt;"",1+MAX($A$18:A894),"")</f>
        <v/>
      </c>
      <c r="B895" s="364"/>
      <c r="C895" s="364"/>
      <c r="D895" s="366"/>
      <c r="E895" s="302"/>
      <c r="F895" s="356"/>
      <c r="G895" s="312"/>
      <c r="H895" s="196"/>
      <c r="I895" s="251"/>
      <c r="J895" s="291"/>
      <c r="K895" s="368"/>
      <c r="L895" s="210"/>
      <c r="M895" s="185"/>
      <c r="N895" s="197"/>
      <c r="O895" s="296"/>
      <c r="P895" s="295"/>
      <c r="Q895" s="297"/>
      <c r="R895" s="190"/>
      <c r="X895" s="212"/>
    </row>
    <row r="896" spans="1:24" s="12" customFormat="1" ht="20.100000000000001" customHeight="1" x14ac:dyDescent="0.2">
      <c r="A896" s="298" t="str">
        <f>IF(J896&lt;&gt;"",1+MAX($A$18:A895),"")</f>
        <v/>
      </c>
      <c r="B896" s="364"/>
      <c r="C896" s="364"/>
      <c r="D896" s="366"/>
      <c r="E896" s="302"/>
      <c r="F896" s="313" t="s">
        <v>559</v>
      </c>
      <c r="G896" s="312"/>
      <c r="H896" s="196"/>
      <c r="I896" s="251"/>
      <c r="J896" s="291"/>
      <c r="K896" s="368"/>
      <c r="L896" s="210"/>
      <c r="M896" s="185"/>
      <c r="N896" s="197"/>
      <c r="O896" s="296"/>
      <c r="P896" s="295"/>
      <c r="Q896" s="297"/>
      <c r="R896" s="190"/>
      <c r="X896" s="212"/>
    </row>
    <row r="897" spans="1:24" s="12" customFormat="1" ht="20.100000000000001" customHeight="1" x14ac:dyDescent="0.2">
      <c r="A897" s="298">
        <f>IF(J897&lt;&gt;"",1+MAX($A$18:A896),"")</f>
        <v>555</v>
      </c>
      <c r="B897" s="362" t="s">
        <v>570</v>
      </c>
      <c r="C897" s="362"/>
      <c r="D897" s="355" t="s">
        <v>46</v>
      </c>
      <c r="E897" s="302" t="s">
        <v>125</v>
      </c>
      <c r="F897" s="356" t="s">
        <v>560</v>
      </c>
      <c r="G897" s="312">
        <f>(35.05*4/27)*1.33</f>
        <v>6.9061481481481479</v>
      </c>
      <c r="H897" s="196">
        <f>IF(VLOOKUP(J897,'HOURLY RATES'!B$116:C$124,2,0)=0,$J$3,VLOOKUP(J897,'HOURLY RATES'!B$116:C$124,2,0))</f>
        <v>0.05</v>
      </c>
      <c r="I897" s="328">
        <f t="shared" ref="I897" si="831">(G897*(1+H897))</f>
        <v>7.2514555555555553</v>
      </c>
      <c r="J897" s="369" t="s">
        <v>41</v>
      </c>
      <c r="K897" s="368">
        <v>0.48599999999999999</v>
      </c>
      <c r="L897" s="369">
        <f t="shared" ref="L897" si="832">K897*I897</f>
        <v>3.5242073999999999</v>
      </c>
      <c r="M897" s="185">
        <f>IF(VLOOKUP(E897,'HOURLY RATES'!C$6:D$105,2,0)=0,$E$3,VLOOKUP(E897,'HOURLY RATES'!C$6:D$105,2,0))</f>
        <v>61.712949375000001</v>
      </c>
      <c r="N897" s="197">
        <f t="shared" ref="N897" si="833">M897*L897</f>
        <v>217.48923286320036</v>
      </c>
      <c r="O897" s="296"/>
      <c r="P897" s="295">
        <f t="shared" ref="P897" si="834">O897*I897</f>
        <v>0</v>
      </c>
      <c r="Q897" s="297">
        <f t="shared" ref="Q897" si="835">P897+N897</f>
        <v>217.48923286320036</v>
      </c>
      <c r="R897" s="190"/>
      <c r="X897" s="212"/>
    </row>
    <row r="898" spans="1:24" s="12" customFormat="1" ht="20.100000000000001" customHeight="1" x14ac:dyDescent="0.2">
      <c r="A898" s="298" t="str">
        <f>IF(J898&lt;&gt;"",1+MAX($A$18:A897),"")</f>
        <v/>
      </c>
      <c r="B898" s="364"/>
      <c r="C898" s="364"/>
      <c r="D898" s="366"/>
      <c r="E898" s="302"/>
      <c r="F898" s="356"/>
      <c r="G898" s="312"/>
      <c r="H898" s="196"/>
      <c r="I898" s="251"/>
      <c r="J898" s="291"/>
      <c r="K898" s="368"/>
      <c r="L898" s="210"/>
      <c r="M898" s="185"/>
      <c r="N898" s="197"/>
      <c r="O898" s="296"/>
      <c r="P898" s="295"/>
      <c r="Q898" s="297"/>
      <c r="R898" s="190"/>
      <c r="X898" s="212"/>
    </row>
    <row r="899" spans="1:24" s="12" customFormat="1" ht="20.100000000000001" customHeight="1" x14ac:dyDescent="0.2">
      <c r="A899" s="298">
        <f>IF(J899&lt;&gt;"",1+MAX($A$18:A898),"")</f>
        <v>556</v>
      </c>
      <c r="B899" s="362" t="s">
        <v>570</v>
      </c>
      <c r="C899" s="362"/>
      <c r="D899" s="355" t="s">
        <v>46</v>
      </c>
      <c r="E899" s="302" t="s">
        <v>125</v>
      </c>
      <c r="F899" s="356" t="s">
        <v>561</v>
      </c>
      <c r="G899" s="312">
        <f>6.7</f>
        <v>6.7</v>
      </c>
      <c r="H899" s="196">
        <f>IF(VLOOKUP(J899,'HOURLY RATES'!B$116:C$124,2,0)=0,$J$3,VLOOKUP(J899,'HOURLY RATES'!B$116:C$124,2,0))</f>
        <v>0.05</v>
      </c>
      <c r="I899" s="328">
        <f t="shared" ref="I899" si="836">(G899*(1+H899))</f>
        <v>7.0350000000000001</v>
      </c>
      <c r="J899" s="369" t="s">
        <v>41</v>
      </c>
      <c r="K899" s="368">
        <v>0.48099999999999998</v>
      </c>
      <c r="L899" s="369">
        <f t="shared" ref="L899" si="837">K899*I899</f>
        <v>3.3838349999999999</v>
      </c>
      <c r="M899" s="185">
        <f>IF(VLOOKUP(E899,'HOURLY RATES'!C$6:D$105,2,0)=0,$E$3,VLOOKUP(E899,'HOURLY RATES'!C$6:D$105,2,0))</f>
        <v>61.712949375000001</v>
      </c>
      <c r="N899" s="197">
        <f t="shared" ref="N899" si="838">M899*L899</f>
        <v>208.82643804835311</v>
      </c>
      <c r="O899" s="296">
        <f>32.5+0.1*M899</f>
        <v>38.671294937500001</v>
      </c>
      <c r="P899" s="295">
        <f t="shared" ref="P899" si="839">O899*I899</f>
        <v>272.05255988531252</v>
      </c>
      <c r="Q899" s="297">
        <f t="shared" ref="Q899" si="840">P899+N899</f>
        <v>480.87899793366563</v>
      </c>
      <c r="R899" s="190"/>
      <c r="X899" s="212"/>
    </row>
    <row r="900" spans="1:24" s="12" customFormat="1" x14ac:dyDescent="0.2">
      <c r="A900" s="298" t="str">
        <f>IF(J900&lt;&gt;"",1+MAX($A$18:A899),"")</f>
        <v/>
      </c>
      <c r="B900" s="364"/>
      <c r="C900" s="364"/>
      <c r="D900" s="366"/>
      <c r="E900" s="302"/>
      <c r="F900" s="356"/>
      <c r="G900" s="312"/>
      <c r="H900" s="196"/>
      <c r="I900" s="251"/>
      <c r="J900" s="291"/>
      <c r="K900" s="368"/>
      <c r="L900" s="210"/>
      <c r="M900" s="185"/>
      <c r="N900" s="197"/>
      <c r="O900" s="296"/>
      <c r="P900" s="295"/>
      <c r="Q900" s="297"/>
      <c r="R900" s="190"/>
      <c r="X900" s="212"/>
    </row>
    <row r="901" spans="1:24" s="12" customFormat="1" x14ac:dyDescent="0.2">
      <c r="A901" s="298" t="str">
        <f>IF(J901&lt;&gt;"",1+MAX($A$18:A900),"")</f>
        <v/>
      </c>
      <c r="B901" s="364"/>
      <c r="C901" s="364"/>
      <c r="D901" s="366"/>
      <c r="E901" s="302"/>
      <c r="F901" s="361" t="s">
        <v>562</v>
      </c>
      <c r="G901" s="312"/>
      <c r="H901" s="196"/>
      <c r="I901" s="251"/>
      <c r="J901" s="291"/>
      <c r="K901" s="368"/>
      <c r="L901" s="210"/>
      <c r="M901" s="185"/>
      <c r="N901" s="197"/>
      <c r="O901" s="296"/>
      <c r="P901" s="295"/>
      <c r="Q901" s="297"/>
      <c r="R901" s="190"/>
      <c r="X901" s="212"/>
    </row>
    <row r="902" spans="1:24" s="12" customFormat="1" x14ac:dyDescent="0.2">
      <c r="A902" s="298" t="str">
        <f>IF(J902&lt;&gt;"",1+MAX($A$18:A901),"")</f>
        <v/>
      </c>
      <c r="B902" s="364"/>
      <c r="C902" s="364"/>
      <c r="D902" s="366"/>
      <c r="E902" s="302"/>
      <c r="F902" s="356"/>
      <c r="G902" s="312"/>
      <c r="H902" s="196"/>
      <c r="I902" s="251"/>
      <c r="J902" s="291"/>
      <c r="K902" s="368"/>
      <c r="L902" s="210"/>
      <c r="M902" s="185"/>
      <c r="N902" s="197"/>
      <c r="O902" s="296"/>
      <c r="P902" s="295"/>
      <c r="Q902" s="297"/>
      <c r="R902" s="190"/>
      <c r="X902" s="212"/>
    </row>
    <row r="903" spans="1:24" s="12" customFormat="1" ht="20.100000000000001" customHeight="1" x14ac:dyDescent="0.2">
      <c r="A903" s="298">
        <f>IF(J903&lt;&gt;"",1+MAX($A$18:A902),"")</f>
        <v>557</v>
      </c>
      <c r="B903" s="364"/>
      <c r="C903" s="301"/>
      <c r="D903" s="355" t="s">
        <v>46</v>
      </c>
      <c r="E903" s="302" t="s">
        <v>125</v>
      </c>
      <c r="F903" s="357" t="s">
        <v>563</v>
      </c>
      <c r="G903" s="312">
        <f>(SUM(G840:G842,G835,G853,G858,G863,G868:G873,G897)-SUM(G837,G844:G847,G855,G860,G865))*1.33</f>
        <v>148.07379366111115</v>
      </c>
      <c r="H903" s="196">
        <f>IF(VLOOKUP(J903,'HOURLY RATES'!B$116:C$124,2,0)=0,$J$3,VLOOKUP(J903,'HOURLY RATES'!B$116:C$124,2,0))</f>
        <v>0.05</v>
      </c>
      <c r="I903" s="328">
        <f t="shared" ref="I903" si="841">(G903*(1+H903))</f>
        <v>155.47748334416673</v>
      </c>
      <c r="J903" s="369" t="s">
        <v>41</v>
      </c>
      <c r="K903" s="368">
        <v>0.1</v>
      </c>
      <c r="L903" s="369">
        <f t="shared" ref="L903" si="842">K903*I903</f>
        <v>15.547748334416674</v>
      </c>
      <c r="M903" s="185">
        <f>IF(VLOOKUP(E903,'HOURLY RATES'!C$6:D$105,2,0)=0,$E$3,VLOOKUP(E903,'HOURLY RATES'!C$6:D$105,2,0))</f>
        <v>61.712949375000001</v>
      </c>
      <c r="N903" s="197">
        <f t="shared" ref="N903" si="843">M903*L903</f>
        <v>959.49740585709685</v>
      </c>
      <c r="O903" s="296"/>
      <c r="P903" s="295">
        <f t="shared" ref="P903" si="844">O903*I903</f>
        <v>0</v>
      </c>
      <c r="Q903" s="297">
        <f t="shared" ref="Q903" si="845">P903+N903</f>
        <v>959.49740585709685</v>
      </c>
      <c r="R903" s="190"/>
      <c r="X903" s="212"/>
    </row>
    <row r="904" spans="1:24" s="12" customFormat="1" x14ac:dyDescent="0.2">
      <c r="A904" s="298" t="str">
        <f>IF(J904&lt;&gt;"",1+MAX($A$18:A903),"")</f>
        <v/>
      </c>
      <c r="B904" s="364"/>
      <c r="C904" s="364"/>
      <c r="D904" s="366"/>
      <c r="E904" s="302"/>
      <c r="F904" s="356"/>
      <c r="G904" s="312"/>
      <c r="H904" s="196"/>
      <c r="I904" s="251"/>
      <c r="J904" s="291"/>
      <c r="K904" s="368"/>
      <c r="L904" s="210"/>
      <c r="M904" s="185"/>
      <c r="N904" s="197"/>
      <c r="O904" s="296"/>
      <c r="P904" s="295"/>
      <c r="Q904" s="297"/>
      <c r="R904" s="190"/>
      <c r="X904" s="212"/>
    </row>
    <row r="905" spans="1:24" s="12" customFormat="1" ht="20.100000000000001" customHeight="1" x14ac:dyDescent="0.2">
      <c r="A905" s="298" t="str">
        <f>IF(J905&lt;&gt;"",1+MAX($A$18:A904),"")</f>
        <v/>
      </c>
      <c r="B905" s="364"/>
      <c r="C905" s="364"/>
      <c r="D905" s="366"/>
      <c r="E905" s="302"/>
      <c r="F905" s="313" t="s">
        <v>564</v>
      </c>
      <c r="G905" s="312"/>
      <c r="H905" s="196"/>
      <c r="I905" s="251"/>
      <c r="J905" s="291"/>
      <c r="K905" s="368"/>
      <c r="L905" s="210"/>
      <c r="M905" s="185"/>
      <c r="N905" s="197"/>
      <c r="O905" s="296"/>
      <c r="P905" s="295"/>
      <c r="Q905" s="297"/>
      <c r="R905" s="190"/>
      <c r="X905" s="212"/>
    </row>
    <row r="906" spans="1:24" s="12" customFormat="1" ht="47.25" x14ac:dyDescent="0.2">
      <c r="A906" s="298">
        <f>IF(J906&lt;&gt;"",1+MAX($A$18:A905),"")</f>
        <v>558</v>
      </c>
      <c r="B906" s="362" t="s">
        <v>570</v>
      </c>
      <c r="C906" s="301"/>
      <c r="D906" s="355" t="s">
        <v>46</v>
      </c>
      <c r="E906" s="302" t="s">
        <v>125</v>
      </c>
      <c r="F906" s="357" t="s">
        <v>861</v>
      </c>
      <c r="G906" s="312">
        <f>24.4*2.34</f>
        <v>57.095999999999997</v>
      </c>
      <c r="H906" s="196">
        <f>IF(VLOOKUP(J906,'HOURLY RATES'!B$116:C$124,2,0)=0,$J$3,VLOOKUP(J906,'HOURLY RATES'!B$116:C$124,2,0))</f>
        <v>0.05</v>
      </c>
      <c r="I906" s="328">
        <f t="shared" ref="I906:I908" si="846">(G906*(1+H906))</f>
        <v>59.950800000000001</v>
      </c>
      <c r="J906" s="369" t="s">
        <v>17</v>
      </c>
      <c r="K906" s="368">
        <f>0.0025*5*12/8</f>
        <v>1.8750000000000003E-2</v>
      </c>
      <c r="L906" s="369">
        <f t="shared" ref="L906:L908" si="847">K906*I906</f>
        <v>1.1240775000000003</v>
      </c>
      <c r="M906" s="185">
        <f>IF(VLOOKUP(E906,'HOURLY RATES'!C$6:D$105,2,0)=0,$E$3,VLOOKUP(E906,'HOURLY RATES'!C$6:D$105,2,0))</f>
        <v>61.712949375000001</v>
      </c>
      <c r="N906" s="197">
        <f t="shared" ref="N906:N908" si="848">M906*L906</f>
        <v>69.370137851076578</v>
      </c>
      <c r="O906" s="296"/>
      <c r="P906" s="295">
        <f t="shared" ref="P906:P908" si="849">O906*I906</f>
        <v>0</v>
      </c>
      <c r="Q906" s="297">
        <f t="shared" ref="Q906:Q908" si="850">P906+N906</f>
        <v>69.370137851076578</v>
      </c>
      <c r="R906" s="190"/>
      <c r="X906" s="212"/>
    </row>
    <row r="907" spans="1:24" s="12" customFormat="1" ht="47.25" x14ac:dyDescent="0.2">
      <c r="A907" s="298">
        <f>IF(J907&lt;&gt;"",1+MAX($A$18:A906),"")</f>
        <v>559</v>
      </c>
      <c r="B907" s="362" t="s">
        <v>570</v>
      </c>
      <c r="C907" s="301"/>
      <c r="D907" s="355" t="s">
        <v>46</v>
      </c>
      <c r="E907" s="302" t="s">
        <v>125</v>
      </c>
      <c r="F907" s="357" t="s">
        <v>862</v>
      </c>
      <c r="G907" s="312">
        <f>(9.6+12.05)*2.13</f>
        <v>46.114499999999992</v>
      </c>
      <c r="H907" s="196">
        <f>IF(VLOOKUP(J907,'HOURLY RATES'!B$116:C$124,2,0)=0,$J$3,VLOOKUP(J907,'HOURLY RATES'!B$116:C$124,2,0))</f>
        <v>0.05</v>
      </c>
      <c r="I907" s="328">
        <f t="shared" si="846"/>
        <v>48.420224999999995</v>
      </c>
      <c r="J907" s="369" t="s">
        <v>17</v>
      </c>
      <c r="K907" s="368">
        <f>0.0025*9*12/8</f>
        <v>3.3750000000000002E-2</v>
      </c>
      <c r="L907" s="369">
        <f t="shared" si="847"/>
        <v>1.6341825937499999</v>
      </c>
      <c r="M907" s="185">
        <f>IF(VLOOKUP(E907,'HOURLY RATES'!C$6:D$105,2,0)=0,$E$3,VLOOKUP(E907,'HOURLY RATES'!C$6:D$105,2,0))</f>
        <v>61.712949375000001</v>
      </c>
      <c r="N907" s="197">
        <f t="shared" si="848"/>
        <v>100.85022767759993</v>
      </c>
      <c r="O907" s="296"/>
      <c r="P907" s="295">
        <f t="shared" si="849"/>
        <v>0</v>
      </c>
      <c r="Q907" s="297">
        <f t="shared" si="850"/>
        <v>100.85022767759993</v>
      </c>
      <c r="R907" s="190"/>
      <c r="X907" s="212"/>
    </row>
    <row r="908" spans="1:24" s="12" customFormat="1" ht="47.25" x14ac:dyDescent="0.2">
      <c r="A908" s="298">
        <f>IF(J908&lt;&gt;"",1+MAX($A$18:A907),"")</f>
        <v>560</v>
      </c>
      <c r="B908" s="362" t="s">
        <v>570</v>
      </c>
      <c r="C908" s="301"/>
      <c r="D908" s="355" t="s">
        <v>46</v>
      </c>
      <c r="E908" s="302" t="s">
        <v>125</v>
      </c>
      <c r="F908" s="357" t="s">
        <v>863</v>
      </c>
      <c r="G908" s="312">
        <f>(25)*2.13+(12*2.5)</f>
        <v>83.25</v>
      </c>
      <c r="H908" s="196">
        <f>IF(VLOOKUP(J908,'HOURLY RATES'!B$116:C$124,2,0)=0,$J$3,VLOOKUP(J908,'HOURLY RATES'!B$116:C$124,2,0))</f>
        <v>0.05</v>
      </c>
      <c r="I908" s="328">
        <f t="shared" si="846"/>
        <v>87.412500000000009</v>
      </c>
      <c r="J908" s="369" t="s">
        <v>17</v>
      </c>
      <c r="K908" s="368">
        <f>0.0025*10*12/8</f>
        <v>3.7500000000000006E-2</v>
      </c>
      <c r="L908" s="369">
        <f t="shared" si="847"/>
        <v>3.2779687500000008</v>
      </c>
      <c r="M908" s="185">
        <f>IF(VLOOKUP(E908,'HOURLY RATES'!C$6:D$105,2,0)=0,$E$3,VLOOKUP(E908,'HOURLY RATES'!C$6:D$105,2,0))</f>
        <v>61.712949375000001</v>
      </c>
      <c r="N908" s="197">
        <f t="shared" si="848"/>
        <v>202.29311952158207</v>
      </c>
      <c r="O908" s="296"/>
      <c r="P908" s="295">
        <f t="shared" si="849"/>
        <v>0</v>
      </c>
      <c r="Q908" s="297">
        <f t="shared" si="850"/>
        <v>202.29311952158207</v>
      </c>
      <c r="R908" s="190"/>
      <c r="X908" s="212"/>
    </row>
    <row r="909" spans="1:24" s="12" customFormat="1" ht="20.100000000000001" customHeight="1" x14ac:dyDescent="0.2">
      <c r="A909" s="298" t="str">
        <f>IF(J909&lt;&gt;"",1+MAX($A$18:A908),"")</f>
        <v/>
      </c>
      <c r="B909" s="364"/>
      <c r="C909" s="364"/>
      <c r="D909" s="366"/>
      <c r="E909" s="302"/>
      <c r="F909" s="356"/>
      <c r="G909" s="312"/>
      <c r="H909" s="196"/>
      <c r="I909" s="251"/>
      <c r="J909" s="291"/>
      <c r="K909" s="368"/>
      <c r="L909" s="210"/>
      <c r="M909" s="185"/>
      <c r="N909" s="197"/>
      <c r="O909" s="296"/>
      <c r="P909" s="295"/>
      <c r="Q909" s="297"/>
      <c r="R909" s="190"/>
      <c r="X909" s="212"/>
    </row>
    <row r="910" spans="1:24" s="12" customFormat="1" ht="20.100000000000001" customHeight="1" x14ac:dyDescent="0.2">
      <c r="A910" s="298" t="str">
        <f>IF(J910&lt;&gt;"",1+MAX($A$18:A909),"")</f>
        <v/>
      </c>
      <c r="B910" s="364"/>
      <c r="C910" s="364"/>
      <c r="D910" s="366"/>
      <c r="E910" s="302"/>
      <c r="F910" s="313" t="s">
        <v>102</v>
      </c>
      <c r="G910" s="312"/>
      <c r="H910" s="196"/>
      <c r="I910" s="251"/>
      <c r="J910" s="291"/>
      <c r="K910" s="368"/>
      <c r="L910" s="210"/>
      <c r="M910" s="185"/>
      <c r="N910" s="197"/>
      <c r="O910" s="296"/>
      <c r="P910" s="295"/>
      <c r="Q910" s="297"/>
      <c r="R910" s="190"/>
      <c r="X910" s="212"/>
    </row>
    <row r="911" spans="1:24" s="12" customFormat="1" x14ac:dyDescent="0.2">
      <c r="A911" s="298">
        <f>IF(J911&lt;&gt;"",1+MAX($A$18:A910),"")</f>
        <v>561</v>
      </c>
      <c r="B911" s="364" t="s">
        <v>571</v>
      </c>
      <c r="C911" s="355"/>
      <c r="D911" s="355" t="s">
        <v>46</v>
      </c>
      <c r="E911" s="302" t="s">
        <v>125</v>
      </c>
      <c r="F911" s="357" t="s">
        <v>951</v>
      </c>
      <c r="G911" s="312">
        <f>62.8+178+12+8+250+38+186+(1.41*2)+100</f>
        <v>837.62</v>
      </c>
      <c r="H911" s="196">
        <f>IF(VLOOKUP(J911,'HOURLY RATES'!B$116:C$124,2,0)=0,$J$3,VLOOKUP(J911,'HOURLY RATES'!B$116:C$124,2,0))</f>
        <v>0.05</v>
      </c>
      <c r="I911" s="328">
        <f t="shared" ref="I911:I913" si="851">(G911*(1+H911))</f>
        <v>879.50100000000009</v>
      </c>
      <c r="J911" s="369" t="s">
        <v>17</v>
      </c>
      <c r="K911" s="368">
        <v>0.01</v>
      </c>
      <c r="L911" s="369">
        <f t="shared" ref="L911:L913" si="852">K911*I911</f>
        <v>8.7950100000000013</v>
      </c>
      <c r="M911" s="185">
        <f>IF(VLOOKUP(E911,'HOURLY RATES'!C$6:D$105,2,0)=0,$E$3,VLOOKUP(E911,'HOURLY RATES'!C$6:D$105,2,0))</f>
        <v>61.712949375000001</v>
      </c>
      <c r="N911" s="197">
        <f t="shared" ref="N911:N913" si="853">M911*L911</f>
        <v>542.76600688261885</v>
      </c>
      <c r="O911" s="296"/>
      <c r="P911" s="295">
        <f t="shared" ref="P911:P913" si="854">O911*I911</f>
        <v>0</v>
      </c>
      <c r="Q911" s="297">
        <f t="shared" ref="Q911:Q913" si="855">P911+N911</f>
        <v>542.76600688261885</v>
      </c>
      <c r="R911" s="190"/>
      <c r="X911" s="212"/>
    </row>
    <row r="912" spans="1:24" s="12" customFormat="1" ht="31.9" customHeight="1" x14ac:dyDescent="0.2">
      <c r="A912" s="298">
        <f>IF(J912&lt;&gt;"",1+MAX($A$18:A911),"")</f>
        <v>562</v>
      </c>
      <c r="B912" s="364"/>
      <c r="C912" s="355"/>
      <c r="D912" s="355" t="s">
        <v>46</v>
      </c>
      <c r="E912" s="302" t="s">
        <v>201</v>
      </c>
      <c r="F912" s="357" t="s">
        <v>916</v>
      </c>
      <c r="G912" s="288">
        <v>1</v>
      </c>
      <c r="H912" s="196">
        <f>IF(VLOOKUP(J912,'HOURLY RATES'!B$116:C$124,2,0)=0,$J$3,VLOOKUP(J912,'HOURLY RATES'!B$116:C$124,2,0))</f>
        <v>0</v>
      </c>
      <c r="I912" s="328">
        <f t="shared" si="851"/>
        <v>1</v>
      </c>
      <c r="J912" s="369" t="s">
        <v>18</v>
      </c>
      <c r="K912" s="368">
        <f>0.01*2025</f>
        <v>20.25</v>
      </c>
      <c r="L912" s="369">
        <f t="shared" si="852"/>
        <v>20.25</v>
      </c>
      <c r="M912" s="185">
        <f>IF(VLOOKUP(E912,'HOURLY RATES'!C$6:D$105,2,0)=0,$E$3,VLOOKUP(E912,'HOURLY RATES'!C$6:D$105,2,0))</f>
        <v>61.712949375000001</v>
      </c>
      <c r="N912" s="197">
        <f t="shared" si="853"/>
        <v>1249.6872248437501</v>
      </c>
      <c r="O912" s="296"/>
      <c r="P912" s="295">
        <f t="shared" si="854"/>
        <v>0</v>
      </c>
      <c r="Q912" s="297">
        <f t="shared" si="855"/>
        <v>1249.6872248437501</v>
      </c>
      <c r="R912" s="190"/>
      <c r="X912" s="212"/>
    </row>
    <row r="913" spans="1:24" s="12" customFormat="1" ht="20.100000000000001" customHeight="1" x14ac:dyDescent="0.2">
      <c r="A913" s="298">
        <f>IF(J913&lt;&gt;"",1+MAX($A$18:A912),"")</f>
        <v>563</v>
      </c>
      <c r="B913" s="364" t="s">
        <v>568</v>
      </c>
      <c r="C913" s="355"/>
      <c r="D913" s="355" t="s">
        <v>46</v>
      </c>
      <c r="E913" s="302" t="s">
        <v>125</v>
      </c>
      <c r="F913" s="356" t="s">
        <v>917</v>
      </c>
      <c r="G913" s="312">
        <f>250</f>
        <v>250</v>
      </c>
      <c r="H913" s="196">
        <f>IF(VLOOKUP(J913,'HOURLY RATES'!B$116:C$124,2,0)=0,$J$3,VLOOKUP(J913,'HOURLY RATES'!B$116:C$124,2,0))</f>
        <v>0.05</v>
      </c>
      <c r="I913" s="328">
        <f t="shared" si="851"/>
        <v>262.5</v>
      </c>
      <c r="J913" s="369" t="s">
        <v>17</v>
      </c>
      <c r="K913" s="368">
        <f>0.0025*(M913/M923)</f>
        <v>5.782372559170211E-3</v>
      </c>
      <c r="L913" s="369">
        <f t="shared" si="852"/>
        <v>1.5178727967821803</v>
      </c>
      <c r="M913" s="185">
        <f>IF(VLOOKUP(E913,'HOURLY RATES'!C$6:D$105,2,0)=0,$E$3,VLOOKUP(E913,'HOURLY RATES'!C$6:D$105,2,0))</f>
        <v>61.712949375000001</v>
      </c>
      <c r="N913" s="197">
        <f t="shared" si="853"/>
        <v>93.672407065508366</v>
      </c>
      <c r="O913" s="296"/>
      <c r="P913" s="295">
        <f t="shared" si="854"/>
        <v>0</v>
      </c>
      <c r="Q913" s="297">
        <f t="shared" si="855"/>
        <v>93.672407065508366</v>
      </c>
      <c r="R913" s="190"/>
      <c r="X913" s="212"/>
    </row>
    <row r="914" spans="1:24" s="12" customFormat="1" ht="20.100000000000001" customHeight="1" x14ac:dyDescent="0.2">
      <c r="A914" s="298" t="str">
        <f>IF(J914&lt;&gt;"",1+MAX($A$18:A913),"")</f>
        <v/>
      </c>
      <c r="B914" s="364"/>
      <c r="C914" s="364"/>
      <c r="D914" s="366"/>
      <c r="E914" s="302"/>
      <c r="F914" s="356"/>
      <c r="G914" s="312"/>
      <c r="H914" s="196"/>
      <c r="I914" s="251"/>
      <c r="J914" s="291"/>
      <c r="K914" s="368"/>
      <c r="L914" s="210"/>
      <c r="M914" s="185"/>
      <c r="N914" s="197"/>
      <c r="O914" s="296"/>
      <c r="P914" s="295"/>
      <c r="Q914" s="297"/>
      <c r="R914" s="190"/>
      <c r="X914" s="212"/>
    </row>
    <row r="915" spans="1:24" s="12" customFormat="1" ht="20.100000000000001" customHeight="1" x14ac:dyDescent="0.2">
      <c r="A915" s="298">
        <f>IF(J915&lt;&gt;"",1+MAX($A$18:A914),"")</f>
        <v>564</v>
      </c>
      <c r="B915" s="355" t="s">
        <v>566</v>
      </c>
      <c r="C915" s="355"/>
      <c r="D915" s="355" t="s">
        <v>46</v>
      </c>
      <c r="E915" s="302" t="s">
        <v>125</v>
      </c>
      <c r="F915" s="356" t="s">
        <v>565</v>
      </c>
      <c r="G915" s="288">
        <f>1782+63+179</f>
        <v>2024</v>
      </c>
      <c r="H915" s="196">
        <f>IF(VLOOKUP(J915,'HOURLY RATES'!B$116:C$124,2,0)=0,$J$3,VLOOKUP(J915,'HOURLY RATES'!B$116:C$124,2,0))</f>
        <v>0.05</v>
      </c>
      <c r="I915" s="328">
        <f t="shared" ref="I915" si="856">(G915*(1+H915))</f>
        <v>2125.2000000000003</v>
      </c>
      <c r="J915" s="369" t="s">
        <v>17</v>
      </c>
      <c r="K915" s="368">
        <v>9.4999999999999998E-3</v>
      </c>
      <c r="L915" s="369">
        <f t="shared" ref="L915" si="857">K915*I915</f>
        <v>20.189400000000003</v>
      </c>
      <c r="M915" s="185">
        <f>IF(VLOOKUP(E915,'HOURLY RATES'!C$6:D$105,2,0)=0,$E$3,VLOOKUP(E915,'HOURLY RATES'!C$6:D$105,2,0))</f>
        <v>61.712949375000001</v>
      </c>
      <c r="N915" s="197">
        <f t="shared" ref="N915" si="858">M915*L915</f>
        <v>1245.9474201116252</v>
      </c>
      <c r="O915" s="296"/>
      <c r="P915" s="295">
        <f t="shared" ref="P915" si="859">O915*I915</f>
        <v>0</v>
      </c>
      <c r="Q915" s="297">
        <f t="shared" ref="Q915" si="860">P915+N915</f>
        <v>1245.9474201116252</v>
      </c>
      <c r="R915" s="190"/>
      <c r="X915" s="212"/>
    </row>
    <row r="916" spans="1:24" s="12" customFormat="1" ht="16.5" thickBot="1" x14ac:dyDescent="0.25">
      <c r="A916" s="214" t="str">
        <f>IF(J916&lt;&gt;"",1+MAX($A$18:A915),"")</f>
        <v/>
      </c>
      <c r="B916" s="215"/>
      <c r="C916" s="215"/>
      <c r="D916" s="215"/>
      <c r="E916" s="215"/>
      <c r="F916" s="216"/>
      <c r="G916" s="217"/>
      <c r="H916" s="218"/>
      <c r="I916" s="219"/>
      <c r="J916" s="400"/>
      <c r="K916" s="390"/>
      <c r="L916" s="222"/>
      <c r="M916" s="223"/>
      <c r="N916" s="224"/>
      <c r="O916" s="392"/>
      <c r="P916" s="401"/>
      <c r="Q916" s="402"/>
      <c r="R916" s="228"/>
      <c r="X916" s="212"/>
    </row>
    <row r="917" spans="1:24" s="12" customFormat="1" ht="20.100000000000001" customHeight="1" x14ac:dyDescent="0.2">
      <c r="A917" s="479" t="str">
        <f>IF(J917&lt;&gt;"",1+MAX($A$18:A916),"")</f>
        <v/>
      </c>
      <c r="B917" s="480"/>
      <c r="C917" s="480"/>
      <c r="D917" s="485" t="s">
        <v>76</v>
      </c>
      <c r="E917" s="485"/>
      <c r="F917" s="486" t="s">
        <v>162</v>
      </c>
      <c r="G917" s="481"/>
      <c r="H917" s="482"/>
      <c r="I917" s="483"/>
      <c r="J917" s="483"/>
      <c r="K917" s="482"/>
      <c r="L917" s="482"/>
      <c r="M917" s="482"/>
      <c r="N917" s="482"/>
      <c r="O917" s="482"/>
      <c r="P917" s="482"/>
      <c r="Q917" s="482"/>
      <c r="R917" s="484">
        <f>SUM(Q918:Q970)</f>
        <v>14811.89441332251</v>
      </c>
      <c r="X917" s="212"/>
    </row>
    <row r="918" spans="1:24" s="12" customFormat="1" ht="20.100000000000001" customHeight="1" x14ac:dyDescent="0.25">
      <c r="A918" s="298" t="str">
        <f>IF(J918&lt;&gt;"",1+MAX($A$18:A917),"")</f>
        <v/>
      </c>
      <c r="B918" s="299"/>
      <c r="C918" s="299"/>
      <c r="D918" s="208"/>
      <c r="E918" s="302"/>
      <c r="F918" s="357" t="s">
        <v>27</v>
      </c>
      <c r="G918" s="330"/>
      <c r="H918" s="196"/>
      <c r="I918" s="251"/>
      <c r="J918" s="291"/>
      <c r="K918" s="368"/>
      <c r="L918" s="210"/>
      <c r="M918" s="185"/>
      <c r="N918" s="197"/>
      <c r="O918" s="296"/>
      <c r="P918" s="295"/>
      <c r="Q918" s="297"/>
      <c r="R918" s="190"/>
      <c r="X918" s="212"/>
    </row>
    <row r="919" spans="1:24" s="12" customFormat="1" ht="20.100000000000001" customHeight="1" x14ac:dyDescent="0.25">
      <c r="A919" s="298" t="str">
        <f>IF(J919&lt;&gt;"",1+MAX($A$18:A918),"")</f>
        <v/>
      </c>
      <c r="B919" s="299"/>
      <c r="C919" s="299"/>
      <c r="D919" s="208"/>
      <c r="E919" s="302"/>
      <c r="F919" s="313" t="s">
        <v>572</v>
      </c>
      <c r="G919" s="330"/>
      <c r="H919" s="196"/>
      <c r="I919" s="251"/>
      <c r="J919" s="291"/>
      <c r="K919" s="368"/>
      <c r="L919" s="210"/>
      <c r="M919" s="185"/>
      <c r="N919" s="197"/>
      <c r="O919" s="296"/>
      <c r="P919" s="295"/>
      <c r="Q919" s="297"/>
      <c r="R919" s="190"/>
      <c r="X919" s="212"/>
    </row>
    <row r="920" spans="1:24" s="12" customFormat="1" ht="36" customHeight="1" x14ac:dyDescent="0.2">
      <c r="A920" s="298">
        <f>IF(J920&lt;&gt;"",1+MAX($A$18:A919),"")</f>
        <v>565</v>
      </c>
      <c r="B920" s="364" t="s">
        <v>568</v>
      </c>
      <c r="C920" s="301" t="s">
        <v>603</v>
      </c>
      <c r="D920" s="355" t="s">
        <v>76</v>
      </c>
      <c r="E920" s="302" t="s">
        <v>223</v>
      </c>
      <c r="F920" s="357" t="s">
        <v>573</v>
      </c>
      <c r="G920" s="312">
        <v>70.709999999999994</v>
      </c>
      <c r="H920" s="196">
        <f>IF(VLOOKUP(J920,'HOURLY RATES'!B$116:C$124,2,0)=0,$J$3,VLOOKUP(J920,'HOURLY RATES'!B$116:C$124,2,0))</f>
        <v>0.05</v>
      </c>
      <c r="I920" s="328">
        <f t="shared" ref="I920:I921" si="861">(G920*(1+H920))</f>
        <v>74.245499999999993</v>
      </c>
      <c r="J920" s="369" t="s">
        <v>19</v>
      </c>
      <c r="K920" s="368">
        <v>0.13500000000000001</v>
      </c>
      <c r="L920" s="369">
        <f t="shared" ref="L920:L921" si="862">K920*I920</f>
        <v>10.023142500000001</v>
      </c>
      <c r="M920" s="185">
        <f>IF(VLOOKUP(E920,'HOURLY RATES'!C$6:D$105,2,0)=0,$E$3,VLOOKUP(E920,'HOURLY RATES'!C$6:D$105,2,0))</f>
        <v>29.5563775</v>
      </c>
      <c r="N920" s="197">
        <f t="shared" ref="N920:N921" si="863">M920*L920</f>
        <v>296.24778346629375</v>
      </c>
      <c r="O920" s="296">
        <f>117.72/8</f>
        <v>14.715</v>
      </c>
      <c r="P920" s="295">
        <f t="shared" ref="P920:P921" si="864">O920*I920</f>
        <v>1092.5225324999999</v>
      </c>
      <c r="Q920" s="297">
        <f t="shared" ref="Q920:Q921" si="865">P920+N920</f>
        <v>1388.7703159662938</v>
      </c>
      <c r="R920" s="190"/>
      <c r="X920" s="212"/>
    </row>
    <row r="921" spans="1:24" s="12" customFormat="1" ht="49.15" customHeight="1" x14ac:dyDescent="0.2">
      <c r="A921" s="298">
        <f>IF(J921&lt;&gt;"",1+MAX($A$18:A920),"")</f>
        <v>566</v>
      </c>
      <c r="B921" s="364" t="s">
        <v>568</v>
      </c>
      <c r="C921" s="301" t="s">
        <v>604</v>
      </c>
      <c r="D921" s="355" t="s">
        <v>76</v>
      </c>
      <c r="E921" s="302" t="s">
        <v>223</v>
      </c>
      <c r="F921" s="317" t="s">
        <v>574</v>
      </c>
      <c r="G921" s="312">
        <v>7.94</v>
      </c>
      <c r="H921" s="196">
        <f>IF(VLOOKUP(J921,'HOURLY RATES'!B$116:C$124,2,0)=0,$J$3,VLOOKUP(J921,'HOURLY RATES'!B$116:C$124,2,0))</f>
        <v>0.05</v>
      </c>
      <c r="I921" s="328">
        <f t="shared" si="861"/>
        <v>8.3370000000000015</v>
      </c>
      <c r="J921" s="369" t="s">
        <v>19</v>
      </c>
      <c r="K921" s="368">
        <v>0.13500000000000001</v>
      </c>
      <c r="L921" s="369">
        <f t="shared" si="862"/>
        <v>1.1254950000000004</v>
      </c>
      <c r="M921" s="185">
        <f>IF(VLOOKUP(E921,'HOURLY RATES'!C$6:D$105,2,0)=0,$E$3,VLOOKUP(E921,'HOURLY RATES'!C$6:D$105,2,0))</f>
        <v>29.5563775</v>
      </c>
      <c r="N921" s="197">
        <f t="shared" si="863"/>
        <v>33.265555094362512</v>
      </c>
      <c r="O921" s="296">
        <f>117.72/8</f>
        <v>14.715</v>
      </c>
      <c r="P921" s="295">
        <f t="shared" si="864"/>
        <v>122.67895500000002</v>
      </c>
      <c r="Q921" s="297">
        <f t="shared" si="865"/>
        <v>155.94451009436253</v>
      </c>
      <c r="R921" s="190"/>
      <c r="X921" s="212"/>
    </row>
    <row r="922" spans="1:24" s="12" customFormat="1" ht="20.100000000000001" customHeight="1" x14ac:dyDescent="0.2">
      <c r="A922" s="298" t="str">
        <f>IF(J922&lt;&gt;"",1+MAX($A$18:A921),"")</f>
        <v/>
      </c>
      <c r="B922" s="364"/>
      <c r="C922" s="301"/>
      <c r="D922" s="355"/>
      <c r="E922" s="302"/>
      <c r="F922" s="357"/>
      <c r="G922" s="312"/>
      <c r="H922" s="196"/>
      <c r="I922" s="251"/>
      <c r="J922" s="291"/>
      <c r="K922" s="368"/>
      <c r="L922" s="210"/>
      <c r="M922" s="185"/>
      <c r="N922" s="197"/>
      <c r="O922" s="296"/>
      <c r="P922" s="295"/>
      <c r="Q922" s="297"/>
      <c r="R922" s="190"/>
      <c r="X922" s="212"/>
    </row>
    <row r="923" spans="1:24" s="12" customFormat="1" ht="20.100000000000001" customHeight="1" x14ac:dyDescent="0.2">
      <c r="A923" s="298">
        <f>IF(J923&lt;&gt;"",1+MAX($A$18:A922),"")</f>
        <v>567</v>
      </c>
      <c r="B923" s="364" t="s">
        <v>568</v>
      </c>
      <c r="C923" s="301"/>
      <c r="D923" s="355" t="s">
        <v>76</v>
      </c>
      <c r="E923" s="302" t="s">
        <v>145</v>
      </c>
      <c r="F923" s="357" t="s">
        <v>575</v>
      </c>
      <c r="G923" s="312">
        <f>1*1*2*19/27</f>
        <v>1.4074074074074074</v>
      </c>
      <c r="H923" s="196">
        <f>IF(VLOOKUP(J923,'HOURLY RATES'!B$116:C$124,2,0)=0,$J$3,VLOOKUP(J923,'HOURLY RATES'!B$116:C$124,2,0))</f>
        <v>0.05</v>
      </c>
      <c r="I923" s="328">
        <f t="shared" ref="I923" si="866">(G923*(1+H923))</f>
        <v>1.4777777777777779</v>
      </c>
      <c r="J923" s="369" t="s">
        <v>41</v>
      </c>
      <c r="K923" s="368">
        <f>2*10</f>
        <v>20</v>
      </c>
      <c r="L923" s="369">
        <f t="shared" ref="L923" si="867">K923*I923</f>
        <v>29.555555555555557</v>
      </c>
      <c r="M923" s="185">
        <f>IF(VLOOKUP(E923,'HOURLY RATES'!C$6:D$105,2,0)=0,$E$3,VLOOKUP(E923,'HOURLY RATES'!C$6:D$105,2,0))</f>
        <v>26.6815</v>
      </c>
      <c r="N923" s="197">
        <f t="shared" ref="N923" si="868">M923*L923</f>
        <v>788.58655555555561</v>
      </c>
      <c r="O923" s="296">
        <f>180+0.3*M923</f>
        <v>188.00444999999999</v>
      </c>
      <c r="P923" s="295">
        <f t="shared" ref="P923" si="869">O923*I923</f>
        <v>277.82879833333334</v>
      </c>
      <c r="Q923" s="297">
        <f t="shared" ref="Q923" si="870">P923+N923</f>
        <v>1066.4153538888891</v>
      </c>
      <c r="R923" s="190"/>
      <c r="X923" s="212"/>
    </row>
    <row r="924" spans="1:24" s="12" customFormat="1" ht="20.100000000000001" customHeight="1" x14ac:dyDescent="0.2">
      <c r="A924" s="298" t="str">
        <f>IF(J924&lt;&gt;"",1+MAX($A$18:A923),"")</f>
        <v/>
      </c>
      <c r="B924" s="364"/>
      <c r="C924" s="301"/>
      <c r="D924" s="355"/>
      <c r="E924" s="302"/>
      <c r="F924" s="357"/>
      <c r="G924" s="312"/>
      <c r="H924" s="196"/>
      <c r="I924" s="251"/>
      <c r="J924" s="291"/>
      <c r="K924" s="368"/>
      <c r="L924" s="210"/>
      <c r="M924" s="185"/>
      <c r="N924" s="197"/>
      <c r="O924" s="296"/>
      <c r="P924" s="295"/>
      <c r="Q924" s="297"/>
      <c r="R924" s="190"/>
      <c r="X924" s="212"/>
    </row>
    <row r="925" spans="1:24" s="12" customFormat="1" ht="20.100000000000001" customHeight="1" x14ac:dyDescent="0.2">
      <c r="A925" s="298" t="str">
        <f>IF(J925&lt;&gt;"",1+MAX($A$18:A924),"")</f>
        <v/>
      </c>
      <c r="B925" s="364"/>
      <c r="C925" s="301"/>
      <c r="D925" s="355"/>
      <c r="E925" s="302"/>
      <c r="F925" s="313" t="s">
        <v>576</v>
      </c>
      <c r="G925" s="312"/>
      <c r="H925" s="196"/>
      <c r="I925" s="251"/>
      <c r="J925" s="291"/>
      <c r="K925" s="368"/>
      <c r="L925" s="210"/>
      <c r="M925" s="185"/>
      <c r="N925" s="197"/>
      <c r="O925" s="296"/>
      <c r="P925" s="295"/>
      <c r="Q925" s="297"/>
      <c r="R925" s="190"/>
      <c r="X925" s="212"/>
    </row>
    <row r="926" spans="1:24" s="12" customFormat="1" ht="20.100000000000001" customHeight="1" x14ac:dyDescent="0.2">
      <c r="A926" s="298">
        <f>IF(J926&lt;&gt;"",1+MAX($A$18:A925),"")</f>
        <v>568</v>
      </c>
      <c r="B926" s="364" t="s">
        <v>605</v>
      </c>
      <c r="C926" s="301" t="s">
        <v>569</v>
      </c>
      <c r="D926" s="355" t="s">
        <v>76</v>
      </c>
      <c r="E926" s="302" t="s">
        <v>145</v>
      </c>
      <c r="F926" s="357" t="s">
        <v>577</v>
      </c>
      <c r="G926" s="312">
        <f>(62.8+178+12)*0.41/27</f>
        <v>3.8388148148148145</v>
      </c>
      <c r="H926" s="196">
        <f>IF(VLOOKUP(J926,'HOURLY RATES'!B$116:C$124,2,0)=0,$J$3,VLOOKUP(J926,'HOURLY RATES'!B$116:C$124,2,0))</f>
        <v>0.05</v>
      </c>
      <c r="I926" s="328">
        <f t="shared" ref="I926" si="871">(G926*(1+H926))</f>
        <v>4.0307555555555554</v>
      </c>
      <c r="J926" s="369" t="s">
        <v>41</v>
      </c>
      <c r="K926" s="368">
        <v>2.1</v>
      </c>
      <c r="L926" s="369">
        <f t="shared" ref="L926:L928" si="872">K926*I926</f>
        <v>8.4645866666666674</v>
      </c>
      <c r="M926" s="185">
        <f>IF(VLOOKUP(E926,'HOURLY RATES'!C$6:D$105,2,0)=0,$E$3,VLOOKUP(E926,'HOURLY RATES'!C$6:D$105,2,0))</f>
        <v>26.6815</v>
      </c>
      <c r="N926" s="197">
        <f t="shared" ref="N926:N928" si="873">M926*L926</f>
        <v>225.84786914666668</v>
      </c>
      <c r="O926" s="296">
        <f>180+0.3*M926</f>
        <v>188.00444999999999</v>
      </c>
      <c r="P926" s="295">
        <f t="shared" ref="P926:P928" si="874">O926*I926</f>
        <v>757.79998130666661</v>
      </c>
      <c r="Q926" s="297">
        <f t="shared" ref="Q926:Q928" si="875">P926+N926</f>
        <v>983.64785045333326</v>
      </c>
      <c r="R926" s="190"/>
      <c r="X926" s="212"/>
    </row>
    <row r="927" spans="1:24" s="12" customFormat="1" ht="20.100000000000001" customHeight="1" x14ac:dyDescent="0.2">
      <c r="A927" s="298">
        <f>IF(J927&lt;&gt;"",1+MAX($A$18:A926),"")</f>
        <v>569</v>
      </c>
      <c r="B927" s="364" t="s">
        <v>605</v>
      </c>
      <c r="C927" s="301" t="s">
        <v>569</v>
      </c>
      <c r="D927" s="355" t="s">
        <v>76</v>
      </c>
      <c r="E927" s="302" t="s">
        <v>145</v>
      </c>
      <c r="F927" s="357" t="s">
        <v>578</v>
      </c>
      <c r="G927" s="312">
        <f>62.8+178+12</f>
        <v>252.8</v>
      </c>
      <c r="H927" s="196">
        <f>IF(VLOOKUP(J927,'HOURLY RATES'!B$116:C$124,2,0)=0,$J$3,VLOOKUP(J927,'HOURLY RATES'!B$116:C$124,2,0))</f>
        <v>0.05</v>
      </c>
      <c r="I927" s="328">
        <f t="shared" ref="I927:I928" si="876">(G927*(1+H927))</f>
        <v>265.44</v>
      </c>
      <c r="J927" s="369" t="s">
        <v>17</v>
      </c>
      <c r="K927" s="368">
        <v>4.0000000000000001E-3</v>
      </c>
      <c r="L927" s="369">
        <f t="shared" si="872"/>
        <v>1.06176</v>
      </c>
      <c r="M927" s="185">
        <f>IF(VLOOKUP(E927,'HOURLY RATES'!C$6:D$105,2,0)=0,$E$3,VLOOKUP(E927,'HOURLY RATES'!C$6:D$105,2,0))</f>
        <v>26.6815</v>
      </c>
      <c r="N927" s="197">
        <f t="shared" si="873"/>
        <v>28.329349440000001</v>
      </c>
      <c r="O927" s="296">
        <f>71.71/100</f>
        <v>0.71709999999999996</v>
      </c>
      <c r="P927" s="295">
        <f t="shared" si="874"/>
        <v>190.34702399999998</v>
      </c>
      <c r="Q927" s="297">
        <f t="shared" si="875"/>
        <v>218.67637343999996</v>
      </c>
      <c r="R927" s="190"/>
      <c r="X927" s="212"/>
    </row>
    <row r="928" spans="1:24" s="12" customFormat="1" ht="20.100000000000001" customHeight="1" x14ac:dyDescent="0.2">
      <c r="A928" s="298">
        <f>IF(J928&lt;&gt;"",1+MAX($A$18:A927),"")</f>
        <v>570</v>
      </c>
      <c r="B928" s="364" t="s">
        <v>605</v>
      </c>
      <c r="C928" s="301" t="s">
        <v>569</v>
      </c>
      <c r="D928" s="355" t="s">
        <v>76</v>
      </c>
      <c r="E928" s="302" t="s">
        <v>145</v>
      </c>
      <c r="F928" s="357" t="s">
        <v>579</v>
      </c>
      <c r="G928" s="312">
        <f>(253*0.34/27)*1.1</f>
        <v>3.5045185185185193</v>
      </c>
      <c r="H928" s="196">
        <f>IF(VLOOKUP(J928,'HOURLY RATES'!B$116:C$124,2,0)=0,$J$3,VLOOKUP(J928,'HOURLY RATES'!B$116:C$124,2,0))</f>
        <v>0.05</v>
      </c>
      <c r="I928" s="328">
        <f t="shared" si="876"/>
        <v>3.6797444444444456</v>
      </c>
      <c r="J928" s="369" t="s">
        <v>41</v>
      </c>
      <c r="K928" s="368">
        <v>0.67500000000000004</v>
      </c>
      <c r="L928" s="369">
        <f t="shared" si="872"/>
        <v>2.4838275000000007</v>
      </c>
      <c r="M928" s="185">
        <f>IF(VLOOKUP(E928,'HOURLY RATES'!C$6:D$105,2,0)=0,$E$3,VLOOKUP(E928,'HOURLY RATES'!C$6:D$105,2,0))</f>
        <v>26.6815</v>
      </c>
      <c r="N928" s="197">
        <f t="shared" si="873"/>
        <v>66.272243441250026</v>
      </c>
      <c r="O928" s="296">
        <f>32.5+0.1*M928</f>
        <v>35.168149999999997</v>
      </c>
      <c r="P928" s="295">
        <f t="shared" si="874"/>
        <v>129.40980458388893</v>
      </c>
      <c r="Q928" s="297">
        <f t="shared" si="875"/>
        <v>195.68204802513895</v>
      </c>
      <c r="R928" s="190"/>
      <c r="X928" s="212"/>
    </row>
    <row r="929" spans="1:24" s="12" customFormat="1" ht="20.100000000000001" customHeight="1" x14ac:dyDescent="0.2">
      <c r="A929" s="298" t="str">
        <f>IF(J929&lt;&gt;"",1+MAX($A$18:A928),"")</f>
        <v/>
      </c>
      <c r="B929" s="364"/>
      <c r="C929" s="301"/>
      <c r="D929" s="355"/>
      <c r="E929" s="302"/>
      <c r="F929" s="357"/>
      <c r="G929" s="312"/>
      <c r="H929" s="196"/>
      <c r="I929" s="328"/>
      <c r="J929" s="369"/>
      <c r="K929" s="368"/>
      <c r="L929" s="369"/>
      <c r="M929" s="185"/>
      <c r="N929" s="197"/>
      <c r="O929" s="296"/>
      <c r="P929" s="295"/>
      <c r="Q929" s="297"/>
      <c r="R929" s="190"/>
      <c r="X929" s="212"/>
    </row>
    <row r="930" spans="1:24" s="12" customFormat="1" ht="20.100000000000001" customHeight="1" x14ac:dyDescent="0.2">
      <c r="A930" s="298">
        <f>IF(J930&lt;&gt;"",1+MAX($A$18:A929),"")</f>
        <v>571</v>
      </c>
      <c r="B930" s="364" t="s">
        <v>605</v>
      </c>
      <c r="C930" s="301" t="s">
        <v>569</v>
      </c>
      <c r="D930" s="355" t="s">
        <v>76</v>
      </c>
      <c r="E930" s="302" t="s">
        <v>145</v>
      </c>
      <c r="F930" s="357" t="s">
        <v>847</v>
      </c>
      <c r="G930" s="312">
        <f>123*2</f>
        <v>246</v>
      </c>
      <c r="H930" s="196">
        <f>IF(VLOOKUP(J930,'HOURLY RATES'!B$116:C$124,2,0)=0,$J$3,VLOOKUP(J930,'HOURLY RATES'!B$116:C$124,2,0))</f>
        <v>0.05</v>
      </c>
      <c r="I930" s="328">
        <f t="shared" ref="I930" si="877">(G930*(1+H930))</f>
        <v>258.3</v>
      </c>
      <c r="J930" s="369" t="s">
        <v>112</v>
      </c>
      <c r="K930" s="368">
        <v>0.01</v>
      </c>
      <c r="L930" s="369">
        <f t="shared" ref="L930" si="878">K930*I930</f>
        <v>2.5830000000000002</v>
      </c>
      <c r="M930" s="185">
        <f>IF(VLOOKUP(E930,'HOURLY RATES'!C$6:D$105,2,0)=0,$E$3,VLOOKUP(E930,'HOURLY RATES'!C$6:D$105,2,0))</f>
        <v>26.6815</v>
      </c>
      <c r="N930" s="197">
        <f t="shared" ref="N930" si="879">M930*L930</f>
        <v>68.918314500000008</v>
      </c>
      <c r="O930" s="296">
        <v>0.93</v>
      </c>
      <c r="P930" s="295">
        <f t="shared" ref="P930" si="880">O930*I930</f>
        <v>240.21900000000002</v>
      </c>
      <c r="Q930" s="297">
        <f t="shared" ref="Q930" si="881">P930+N930</f>
        <v>309.1373145</v>
      </c>
      <c r="R930" s="190"/>
      <c r="X930" s="212"/>
    </row>
    <row r="931" spans="1:24" s="12" customFormat="1" ht="20.100000000000001" customHeight="1" x14ac:dyDescent="0.2">
      <c r="A931" s="298" t="str">
        <f>IF(J931&lt;&gt;"",1+MAX($A$18:A930),"")</f>
        <v/>
      </c>
      <c r="B931" s="364"/>
      <c r="C931" s="301"/>
      <c r="D931" s="355"/>
      <c r="E931" s="302"/>
      <c r="F931" s="357"/>
      <c r="G931" s="312"/>
      <c r="H931" s="196"/>
      <c r="I931" s="328"/>
      <c r="J931" s="369"/>
      <c r="K931" s="368"/>
      <c r="L931" s="369"/>
      <c r="M931" s="185"/>
      <c r="N931" s="197"/>
      <c r="O931" s="296"/>
      <c r="P931" s="295"/>
      <c r="Q931" s="297"/>
      <c r="R931" s="190"/>
      <c r="X931" s="212"/>
    </row>
    <row r="932" spans="1:24" s="12" customFormat="1" ht="20.100000000000001" customHeight="1" x14ac:dyDescent="0.2">
      <c r="A932" s="298">
        <f>IF(J932&lt;&gt;"",1+MAX($A$18:A931),"")</f>
        <v>572</v>
      </c>
      <c r="B932" s="364" t="s">
        <v>605</v>
      </c>
      <c r="C932" s="301" t="s">
        <v>569</v>
      </c>
      <c r="D932" s="355" t="s">
        <v>76</v>
      </c>
      <c r="E932" s="302" t="s">
        <v>145</v>
      </c>
      <c r="F932" s="357" t="s">
        <v>580</v>
      </c>
      <c r="G932" s="312">
        <f>253</f>
        <v>253</v>
      </c>
      <c r="H932" s="196">
        <f>IF(VLOOKUP(J932,'HOURLY RATES'!B$116:C$124,2,0)=0,$J$3,VLOOKUP(J932,'HOURLY RATES'!B$116:C$124,2,0))</f>
        <v>0.05</v>
      </c>
      <c r="I932" s="328">
        <f t="shared" ref="I932" si="882">(G932*(1+H932))</f>
        <v>265.65000000000003</v>
      </c>
      <c r="J932" s="369" t="s">
        <v>17</v>
      </c>
      <c r="K932" s="368">
        <v>1.2E-2</v>
      </c>
      <c r="L932" s="369">
        <f t="shared" ref="L932" si="883">K932*I932</f>
        <v>3.1878000000000006</v>
      </c>
      <c r="M932" s="185">
        <f>IF(VLOOKUP(E932,'HOURLY RATES'!C$6:D$105,2,0)=0,$E$3,VLOOKUP(E932,'HOURLY RATES'!C$6:D$105,2,0))</f>
        <v>26.6815</v>
      </c>
      <c r="N932" s="197">
        <f t="shared" ref="N932" si="884">M932*L932</f>
        <v>85.055285700000013</v>
      </c>
      <c r="O932" s="296"/>
      <c r="P932" s="295">
        <f t="shared" ref="P932" si="885">O932*I932</f>
        <v>0</v>
      </c>
      <c r="Q932" s="297">
        <f t="shared" ref="Q932" si="886">P932+N932</f>
        <v>85.055285700000013</v>
      </c>
      <c r="R932" s="190"/>
      <c r="X932" s="212"/>
    </row>
    <row r="933" spans="1:24" s="12" customFormat="1" ht="20.100000000000001" customHeight="1" x14ac:dyDescent="0.2">
      <c r="A933" s="298" t="str">
        <f>IF(J933&lt;&gt;"",1+MAX($A$18:A932),"")</f>
        <v/>
      </c>
      <c r="B933" s="364"/>
      <c r="C933" s="301"/>
      <c r="D933" s="355"/>
      <c r="E933" s="302"/>
      <c r="F933" s="357"/>
      <c r="G933" s="312"/>
      <c r="H933" s="196"/>
      <c r="I933" s="251"/>
      <c r="J933" s="291"/>
      <c r="K933" s="368"/>
      <c r="L933" s="210"/>
      <c r="M933" s="185"/>
      <c r="N933" s="197"/>
      <c r="O933" s="296"/>
      <c r="P933" s="295"/>
      <c r="Q933" s="297"/>
      <c r="R933" s="190"/>
      <c r="X933" s="212"/>
    </row>
    <row r="934" spans="1:24" s="12" customFormat="1" ht="20.100000000000001" customHeight="1" x14ac:dyDescent="0.2">
      <c r="A934" s="298">
        <f>IF(J934&lt;&gt;"",1+MAX($A$18:A933),"")</f>
        <v>573</v>
      </c>
      <c r="B934" s="364" t="s">
        <v>605</v>
      </c>
      <c r="C934" s="301" t="s">
        <v>569</v>
      </c>
      <c r="D934" s="355" t="s">
        <v>76</v>
      </c>
      <c r="E934" s="302" t="s">
        <v>220</v>
      </c>
      <c r="F934" s="357" t="s">
        <v>581</v>
      </c>
      <c r="G934" s="312">
        <f>253/6</f>
        <v>42.166666666666664</v>
      </c>
      <c r="H934" s="196">
        <f>IF(VLOOKUP(J934,'HOURLY RATES'!B$116:C$124,2,0)=0,$J$3,VLOOKUP(J934,'HOURLY RATES'!B$116:C$124,2,0))</f>
        <v>0.05</v>
      </c>
      <c r="I934" s="328">
        <f t="shared" ref="I934:I935" si="887">(G934*(1+H934))</f>
        <v>44.274999999999999</v>
      </c>
      <c r="J934" s="369" t="s">
        <v>19</v>
      </c>
      <c r="K934" s="368">
        <v>0.22</v>
      </c>
      <c r="L934" s="369">
        <f t="shared" ref="L934:L935" si="888">K934*I934</f>
        <v>9.740499999999999</v>
      </c>
      <c r="M934" s="185">
        <f>IF(VLOOKUP(E934,'HOURLY RATES'!C$6:D$105,2,0)=0,$E$3,VLOOKUP(E934,'HOURLY RATES'!C$6:D$105,2,0))</f>
        <v>23.2578</v>
      </c>
      <c r="N934" s="197">
        <f t="shared" ref="N934:N935" si="889">M934*L934</f>
        <v>226.54260089999997</v>
      </c>
      <c r="O934" s="296"/>
      <c r="P934" s="295">
        <f t="shared" ref="P934:P935" si="890">O934*I934</f>
        <v>0</v>
      </c>
      <c r="Q934" s="297">
        <f t="shared" ref="Q934:Q935" si="891">P934+N934</f>
        <v>226.54260089999997</v>
      </c>
      <c r="R934" s="190"/>
      <c r="X934" s="212"/>
    </row>
    <row r="935" spans="1:24" s="12" customFormat="1" ht="20.100000000000001" customHeight="1" x14ac:dyDescent="0.2">
      <c r="A935" s="298">
        <f>IF(J935&lt;&gt;"",1+MAX($A$18:A934),"")</f>
        <v>574</v>
      </c>
      <c r="B935" s="364" t="s">
        <v>605</v>
      </c>
      <c r="C935" s="301" t="s">
        <v>569</v>
      </c>
      <c r="D935" s="355" t="s">
        <v>76</v>
      </c>
      <c r="E935" s="302" t="s">
        <v>220</v>
      </c>
      <c r="F935" s="357" t="s">
        <v>582</v>
      </c>
      <c r="G935" s="312">
        <f>4+12+12+11+15.67</f>
        <v>54.67</v>
      </c>
      <c r="H935" s="196">
        <f>IF(VLOOKUP(J935,'HOURLY RATES'!B$116:C$124,2,0)=0,$J$3,VLOOKUP(J935,'HOURLY RATES'!B$116:C$124,2,0))</f>
        <v>0.05</v>
      </c>
      <c r="I935" s="328">
        <f t="shared" si="887"/>
        <v>57.403500000000001</v>
      </c>
      <c r="J935" s="369" t="s">
        <v>19</v>
      </c>
      <c r="K935" s="368">
        <v>0.154</v>
      </c>
      <c r="L935" s="369">
        <f t="shared" si="888"/>
        <v>8.8401390000000006</v>
      </c>
      <c r="M935" s="185">
        <f>IF(VLOOKUP(E935,'HOURLY RATES'!C$6:D$105,2,0)=0,$E$3,VLOOKUP(E935,'HOURLY RATES'!C$6:D$105,2,0))</f>
        <v>23.2578</v>
      </c>
      <c r="N935" s="197">
        <f t="shared" si="889"/>
        <v>205.60218483420002</v>
      </c>
      <c r="O935" s="296">
        <v>0.496</v>
      </c>
      <c r="P935" s="295">
        <f t="shared" si="890"/>
        <v>28.472135999999999</v>
      </c>
      <c r="Q935" s="297">
        <f t="shared" si="891"/>
        <v>234.07432083420002</v>
      </c>
      <c r="R935" s="190"/>
      <c r="X935" s="212"/>
    </row>
    <row r="936" spans="1:24" s="12" customFormat="1" ht="20.100000000000001" customHeight="1" x14ac:dyDescent="0.2">
      <c r="A936" s="298" t="str">
        <f>IF(J936&lt;&gt;"",1+MAX($A$18:A935),"")</f>
        <v/>
      </c>
      <c r="B936" s="364"/>
      <c r="C936" s="301"/>
      <c r="D936" s="355"/>
      <c r="E936" s="302"/>
      <c r="F936" s="357"/>
      <c r="G936" s="312"/>
      <c r="H936" s="196"/>
      <c r="I936" s="251"/>
      <c r="J936" s="291"/>
      <c r="K936" s="368"/>
      <c r="L936" s="210"/>
      <c r="M936" s="185"/>
      <c r="N936" s="197"/>
      <c r="O936" s="296"/>
      <c r="P936" s="295"/>
      <c r="Q936" s="297"/>
      <c r="R936" s="190"/>
      <c r="X936" s="212"/>
    </row>
    <row r="937" spans="1:24" s="12" customFormat="1" ht="20.100000000000001" customHeight="1" x14ac:dyDescent="0.2">
      <c r="A937" s="298">
        <f>IF(J937&lt;&gt;"",1+MAX($A$18:A936),"")</f>
        <v>575</v>
      </c>
      <c r="B937" s="364" t="s">
        <v>606</v>
      </c>
      <c r="C937" s="301" t="s">
        <v>607</v>
      </c>
      <c r="D937" s="355" t="s">
        <v>76</v>
      </c>
      <c r="E937" s="302" t="s">
        <v>65</v>
      </c>
      <c r="F937" s="357" t="s">
        <v>583</v>
      </c>
      <c r="G937" s="312">
        <f>45*5</f>
        <v>225</v>
      </c>
      <c r="H937" s="196">
        <f>IF(VLOOKUP(J937,'HOURLY RATES'!B$116:C$124,2,0)=0,$J$3,VLOOKUP(J937,'HOURLY RATES'!B$116:C$124,2,0))</f>
        <v>0.05</v>
      </c>
      <c r="I937" s="328">
        <f t="shared" ref="I937" si="892">(G937*(1+H937))</f>
        <v>236.25</v>
      </c>
      <c r="J937" s="369" t="s">
        <v>17</v>
      </c>
      <c r="K937" s="368">
        <f>0.022+0.055</f>
        <v>7.6999999999999999E-2</v>
      </c>
      <c r="L937" s="369">
        <f t="shared" ref="L937" si="893">K937*I937</f>
        <v>18.19125</v>
      </c>
      <c r="M937" s="185">
        <f>IF(VLOOKUP(E937,'HOURLY RATES'!C$6:D$105,2,0)=0,$E$3,VLOOKUP(E937,'HOURLY RATES'!C$6:D$105,2,0))</f>
        <v>26.6815</v>
      </c>
      <c r="N937" s="197">
        <f t="shared" ref="N937" si="894">M937*L937</f>
        <v>485.36983687499998</v>
      </c>
      <c r="O937" s="296">
        <v>2.75</v>
      </c>
      <c r="P937" s="295">
        <f t="shared" ref="P937" si="895">O937*I937</f>
        <v>649.6875</v>
      </c>
      <c r="Q937" s="297">
        <f t="shared" ref="Q937" si="896">P937+N937</f>
        <v>1135.0573368749999</v>
      </c>
      <c r="R937" s="190"/>
      <c r="X937" s="212"/>
    </row>
    <row r="938" spans="1:24" s="12" customFormat="1" ht="20.100000000000001" customHeight="1" x14ac:dyDescent="0.2">
      <c r="A938" s="298" t="str">
        <f>IF(J938&lt;&gt;"",1+MAX($A$18:A937),"")</f>
        <v/>
      </c>
      <c r="B938" s="364"/>
      <c r="C938" s="301"/>
      <c r="D938" s="355"/>
      <c r="E938" s="302"/>
      <c r="F938" s="357"/>
      <c r="G938" s="312"/>
      <c r="H938" s="196"/>
      <c r="I938" s="251"/>
      <c r="J938" s="291"/>
      <c r="K938" s="368"/>
      <c r="L938" s="210"/>
      <c r="M938" s="185"/>
      <c r="N938" s="197"/>
      <c r="O938" s="296"/>
      <c r="P938" s="295"/>
      <c r="Q938" s="297"/>
      <c r="R938" s="190"/>
      <c r="X938" s="212"/>
    </row>
    <row r="939" spans="1:24" s="12" customFormat="1" ht="20.100000000000001" customHeight="1" x14ac:dyDescent="0.2">
      <c r="A939" s="298" t="str">
        <f>IF(J939&lt;&gt;"",1+MAX($A$18:A938),"")</f>
        <v/>
      </c>
      <c r="B939" s="364"/>
      <c r="C939" s="301"/>
      <c r="D939" s="355"/>
      <c r="E939" s="302"/>
      <c r="F939" s="313" t="s">
        <v>533</v>
      </c>
      <c r="G939" s="312"/>
      <c r="H939" s="196"/>
      <c r="I939" s="251"/>
      <c r="J939" s="291"/>
      <c r="K939" s="368"/>
      <c r="L939" s="210"/>
      <c r="M939" s="185"/>
      <c r="N939" s="197"/>
      <c r="O939" s="296"/>
      <c r="P939" s="295"/>
      <c r="Q939" s="297"/>
      <c r="R939" s="190"/>
      <c r="X939" s="212"/>
    </row>
    <row r="940" spans="1:24" s="12" customFormat="1" ht="42.75" customHeight="1" x14ac:dyDescent="0.2">
      <c r="A940" s="298">
        <f>IF(J940&lt;&gt;"",1+MAX($A$18:A939),"")</f>
        <v>576</v>
      </c>
      <c r="B940" s="364" t="s">
        <v>568</v>
      </c>
      <c r="C940" s="301" t="s">
        <v>569</v>
      </c>
      <c r="D940" s="355" t="s">
        <v>76</v>
      </c>
      <c r="E940" s="302" t="s">
        <v>206</v>
      </c>
      <c r="F940" s="357" t="s">
        <v>584</v>
      </c>
      <c r="G940" s="312">
        <v>1</v>
      </c>
      <c r="H940" s="196">
        <f>IF(VLOOKUP(J940,'HOURLY RATES'!B$116:C$124,2,0)=0,$J$3,VLOOKUP(J940,'HOURLY RATES'!B$116:C$124,2,0))</f>
        <v>0</v>
      </c>
      <c r="I940" s="328">
        <f t="shared" ref="I940" si="897">(G940*(1+H940))</f>
        <v>1</v>
      </c>
      <c r="J940" s="369" t="s">
        <v>16</v>
      </c>
      <c r="K940" s="368">
        <v>1.5229999999999999</v>
      </c>
      <c r="L940" s="369">
        <f t="shared" ref="L940" si="898">K940*I940</f>
        <v>1.5229999999999999</v>
      </c>
      <c r="M940" s="185">
        <f>IF(VLOOKUP(E940,'HOURLY RATES'!C$6:D$105,2,0)=0,$E$3,VLOOKUP(E940,'HOURLY RATES'!C$6:D$105,2,0))</f>
        <v>29.5563775</v>
      </c>
      <c r="N940" s="197">
        <f t="shared" ref="N940" si="899">M940*L940</f>
        <v>45.014362932499999</v>
      </c>
      <c r="O940" s="296">
        <v>144</v>
      </c>
      <c r="P940" s="295">
        <f t="shared" ref="P940" si="900">O940*I940</f>
        <v>144</v>
      </c>
      <c r="Q940" s="297">
        <f t="shared" ref="Q940" si="901">P940+N940</f>
        <v>189.01436293250001</v>
      </c>
      <c r="R940" s="190"/>
      <c r="X940" s="212"/>
    </row>
    <row r="941" spans="1:24" s="12" customFormat="1" ht="20.100000000000001" customHeight="1" x14ac:dyDescent="0.2">
      <c r="A941" s="298" t="str">
        <f>IF(J941&lt;&gt;"",1+MAX($A$18:A940),"")</f>
        <v/>
      </c>
      <c r="B941" s="364"/>
      <c r="C941" s="301"/>
      <c r="D941" s="355"/>
      <c r="E941" s="302"/>
      <c r="F941" s="357"/>
      <c r="G941" s="312"/>
      <c r="H941" s="196"/>
      <c r="I941" s="328"/>
      <c r="J941" s="369"/>
      <c r="K941" s="368"/>
      <c r="L941" s="369"/>
      <c r="M941" s="185"/>
      <c r="N941" s="197"/>
      <c r="O941" s="296"/>
      <c r="P941" s="295"/>
      <c r="Q941" s="297"/>
      <c r="R941" s="190"/>
      <c r="X941" s="212"/>
    </row>
    <row r="942" spans="1:24" s="12" customFormat="1" ht="20.100000000000001" customHeight="1" x14ac:dyDescent="0.2">
      <c r="A942" s="298">
        <f>IF(J942&lt;&gt;"",1+MAX($A$18:A941),"")</f>
        <v>577</v>
      </c>
      <c r="B942" s="364" t="s">
        <v>568</v>
      </c>
      <c r="C942" s="301" t="s">
        <v>569</v>
      </c>
      <c r="D942" s="355" t="s">
        <v>76</v>
      </c>
      <c r="E942" s="302" t="s">
        <v>145</v>
      </c>
      <c r="F942" s="357" t="s">
        <v>585</v>
      </c>
      <c r="G942" s="312">
        <f>8*1*2/27</f>
        <v>0.59259259259259256</v>
      </c>
      <c r="H942" s="196">
        <f>IF(VLOOKUP(J942,'HOURLY RATES'!B$116:C$124,2,0)=0,$J$3,VLOOKUP(J942,'HOURLY RATES'!B$116:C$124,2,0))</f>
        <v>0.05</v>
      </c>
      <c r="I942" s="328">
        <f t="shared" ref="I942:I943" si="902">(G942*(1+H942))</f>
        <v>0.62222222222222223</v>
      </c>
      <c r="J942" s="369" t="s">
        <v>41</v>
      </c>
      <c r="K942" s="368">
        <v>10</v>
      </c>
      <c r="L942" s="369">
        <f t="shared" ref="L942:L943" si="903">K942*I942</f>
        <v>6.2222222222222223</v>
      </c>
      <c r="M942" s="185">
        <f>IF(VLOOKUP(E942,'HOURLY RATES'!C$6:D$105,2,0)=0,$E$3,VLOOKUP(E942,'HOURLY RATES'!C$6:D$105,2,0))</f>
        <v>26.6815</v>
      </c>
      <c r="N942" s="197">
        <f t="shared" ref="N942:N943" si="904">M942*L942</f>
        <v>166.01822222222222</v>
      </c>
      <c r="O942" s="296">
        <f>180+0.3*M942</f>
        <v>188.00444999999999</v>
      </c>
      <c r="P942" s="295">
        <f t="shared" ref="P942:P943" si="905">O942*I942</f>
        <v>116.98054666666667</v>
      </c>
      <c r="Q942" s="297">
        <f t="shared" ref="Q942:Q943" si="906">P942+N942</f>
        <v>282.99876888888889</v>
      </c>
      <c r="R942" s="190"/>
      <c r="X942" s="212"/>
    </row>
    <row r="943" spans="1:24" s="12" customFormat="1" ht="20.100000000000001" customHeight="1" x14ac:dyDescent="0.2">
      <c r="A943" s="298">
        <f>IF(J943&lt;&gt;"",1+MAX($A$18:A942),"")</f>
        <v>578</v>
      </c>
      <c r="B943" s="364" t="s">
        <v>568</v>
      </c>
      <c r="C943" s="301" t="s">
        <v>569</v>
      </c>
      <c r="D943" s="355" t="s">
        <v>76</v>
      </c>
      <c r="E943" s="302" t="s">
        <v>145</v>
      </c>
      <c r="F943" s="357" t="s">
        <v>586</v>
      </c>
      <c r="G943" s="312">
        <f>(2*8+6)*0.668</f>
        <v>14.696000000000002</v>
      </c>
      <c r="H943" s="196">
        <f>IF(VLOOKUP(J943,'HOURLY RATES'!B$116:C$124,2,0)=0,$J$3,VLOOKUP(J943,'HOURLY RATES'!B$116:C$124,2,0))</f>
        <v>0.05</v>
      </c>
      <c r="I943" s="328">
        <f t="shared" si="902"/>
        <v>15.430800000000001</v>
      </c>
      <c r="J943" s="369" t="s">
        <v>112</v>
      </c>
      <c r="K943" s="368">
        <v>0.01</v>
      </c>
      <c r="L943" s="369">
        <f t="shared" si="903"/>
        <v>0.15430800000000003</v>
      </c>
      <c r="M943" s="185">
        <f>IF(VLOOKUP(E943,'HOURLY RATES'!C$6:D$105,2,0)=0,$E$3,VLOOKUP(E943,'HOURLY RATES'!C$6:D$105,2,0))</f>
        <v>26.6815</v>
      </c>
      <c r="N943" s="197">
        <f t="shared" si="904"/>
        <v>4.1171689020000004</v>
      </c>
      <c r="O943" s="296">
        <v>0.93</v>
      </c>
      <c r="P943" s="295">
        <f t="shared" si="905"/>
        <v>14.350644000000003</v>
      </c>
      <c r="Q943" s="297">
        <f t="shared" si="906"/>
        <v>18.467812902000002</v>
      </c>
      <c r="R943" s="190"/>
      <c r="X943" s="212"/>
    </row>
    <row r="944" spans="1:24" s="12" customFormat="1" ht="20.100000000000001" customHeight="1" x14ac:dyDescent="0.2">
      <c r="A944" s="298" t="str">
        <f>IF(J944&lt;&gt;"",1+MAX($A$18:A943),"")</f>
        <v/>
      </c>
      <c r="B944" s="364"/>
      <c r="C944" s="301"/>
      <c r="D944" s="355"/>
      <c r="E944" s="302"/>
      <c r="F944" s="357"/>
      <c r="G944" s="312"/>
      <c r="H944" s="196"/>
      <c r="I944" s="251"/>
      <c r="J944" s="291"/>
      <c r="K944" s="368"/>
      <c r="L944" s="210"/>
      <c r="M944" s="185"/>
      <c r="N944" s="197"/>
      <c r="O944" s="296"/>
      <c r="P944" s="295"/>
      <c r="Q944" s="297"/>
      <c r="R944" s="190"/>
      <c r="X944" s="212"/>
    </row>
    <row r="945" spans="1:24" s="12" customFormat="1" ht="20.100000000000001" customHeight="1" x14ac:dyDescent="0.2">
      <c r="A945" s="298" t="str">
        <f>IF(J945&lt;&gt;"",1+MAX($A$18:A944),"")</f>
        <v/>
      </c>
      <c r="B945" s="364"/>
      <c r="C945" s="301"/>
      <c r="D945" s="355"/>
      <c r="E945" s="302"/>
      <c r="F945" s="313" t="s">
        <v>587</v>
      </c>
      <c r="G945" s="312"/>
      <c r="H945" s="196"/>
      <c r="I945" s="251"/>
      <c r="J945" s="291"/>
      <c r="K945" s="368"/>
      <c r="L945" s="210"/>
      <c r="M945" s="185"/>
      <c r="N945" s="197"/>
      <c r="O945" s="296"/>
      <c r="P945" s="295"/>
      <c r="Q945" s="297"/>
      <c r="R945" s="190"/>
      <c r="X945" s="212"/>
    </row>
    <row r="946" spans="1:24" s="12" customFormat="1" ht="20.100000000000001" customHeight="1" x14ac:dyDescent="0.2">
      <c r="A946" s="298">
        <f>IF(J946&lt;&gt;"",1+MAX($A$18:A945),"")</f>
        <v>579</v>
      </c>
      <c r="B946" s="364" t="s">
        <v>605</v>
      </c>
      <c r="C946" s="301" t="s">
        <v>608</v>
      </c>
      <c r="D946" s="355" t="s">
        <v>76</v>
      </c>
      <c r="E946" s="302" t="s">
        <v>156</v>
      </c>
      <c r="F946" s="357" t="s">
        <v>588</v>
      </c>
      <c r="G946" s="312">
        <f>83</f>
        <v>83</v>
      </c>
      <c r="H946" s="196">
        <f>IF(VLOOKUP(J946,'HOURLY RATES'!B$116:C$124,2,0)=0,$J$3,VLOOKUP(J946,'HOURLY RATES'!B$116:C$124,2,0))</f>
        <v>0.05</v>
      </c>
      <c r="I946" s="328">
        <f t="shared" ref="I946:I947" si="907">(G946*(1+H946))</f>
        <v>87.15</v>
      </c>
      <c r="J946" s="369" t="s">
        <v>17</v>
      </c>
      <c r="K946" s="368">
        <v>6.0000000000000001E-3</v>
      </c>
      <c r="L946" s="369">
        <f t="shared" ref="L946:L947" si="908">K946*I946</f>
        <v>0.52290000000000003</v>
      </c>
      <c r="M946" s="185">
        <f>IF(VLOOKUP(E946,'HOURLY RATES'!C$6:D$105,2,0)=0,$E$3,VLOOKUP(E946,'HOURLY RATES'!C$6:D$105,2,0))</f>
        <v>18.806625</v>
      </c>
      <c r="N946" s="197">
        <f t="shared" ref="N946:N947" si="909">M946*L946</f>
        <v>9.8339842125000008</v>
      </c>
      <c r="O946" s="296">
        <v>0.3</v>
      </c>
      <c r="P946" s="295">
        <f t="shared" ref="P946:P947" si="910">O946*I946</f>
        <v>26.145</v>
      </c>
      <c r="Q946" s="297">
        <f t="shared" ref="Q946:Q947" si="911">P946+N946</f>
        <v>35.978984212500002</v>
      </c>
      <c r="R946" s="190"/>
      <c r="X946" s="212"/>
    </row>
    <row r="947" spans="1:24" s="12" customFormat="1" ht="20.100000000000001" customHeight="1" x14ac:dyDescent="0.2">
      <c r="A947" s="298">
        <f>IF(J947&lt;&gt;"",1+MAX($A$18:A946),"")</f>
        <v>580</v>
      </c>
      <c r="B947" s="364" t="s">
        <v>605</v>
      </c>
      <c r="C947" s="301" t="s">
        <v>608</v>
      </c>
      <c r="D947" s="355" t="s">
        <v>76</v>
      </c>
      <c r="E947" s="302" t="s">
        <v>156</v>
      </c>
      <c r="F947" s="357" t="s">
        <v>589</v>
      </c>
      <c r="G947" s="312">
        <f>(83*1/27)</f>
        <v>3.074074074074074</v>
      </c>
      <c r="H947" s="196">
        <f>IF(VLOOKUP(J947,'HOURLY RATES'!B$116:C$124,2,0)=0,$J$3,VLOOKUP(J947,'HOURLY RATES'!B$116:C$124,2,0))</f>
        <v>0.05</v>
      </c>
      <c r="I947" s="328">
        <f t="shared" si="907"/>
        <v>3.2277777777777779</v>
      </c>
      <c r="J947" s="369" t="s">
        <v>41</v>
      </c>
      <c r="K947" s="368">
        <v>1</v>
      </c>
      <c r="L947" s="369">
        <f t="shared" si="908"/>
        <v>3.2277777777777779</v>
      </c>
      <c r="M947" s="185">
        <f>IF(VLOOKUP(E947,'HOURLY RATES'!C$6:D$105,2,0)=0,$E$3,VLOOKUP(E947,'HOURLY RATES'!C$6:D$105,2,0))</f>
        <v>18.806625</v>
      </c>
      <c r="N947" s="197">
        <f t="shared" si="909"/>
        <v>60.70360625</v>
      </c>
      <c r="O947" s="296">
        <f>17.5+0.1*M947</f>
        <v>19.3806625</v>
      </c>
      <c r="P947" s="295">
        <f t="shared" si="910"/>
        <v>62.556471736111114</v>
      </c>
      <c r="Q947" s="297">
        <f t="shared" si="911"/>
        <v>123.26007798611111</v>
      </c>
      <c r="R947" s="190"/>
      <c r="X947" s="212"/>
    </row>
    <row r="948" spans="1:24" s="12" customFormat="1" ht="20.100000000000001" customHeight="1" x14ac:dyDescent="0.2">
      <c r="A948" s="298" t="str">
        <f>IF(J948&lt;&gt;"",1+MAX($A$18:A947),"")</f>
        <v/>
      </c>
      <c r="B948" s="364"/>
      <c r="C948" s="301"/>
      <c r="D948" s="355"/>
      <c r="E948" s="302"/>
      <c r="F948" s="357"/>
      <c r="G948" s="312"/>
      <c r="H948" s="196"/>
      <c r="I948" s="251"/>
      <c r="J948" s="291"/>
      <c r="K948" s="368"/>
      <c r="L948" s="369"/>
      <c r="M948" s="185"/>
      <c r="N948" s="197"/>
      <c r="O948" s="296"/>
      <c r="P948" s="295"/>
      <c r="Q948" s="297"/>
      <c r="R948" s="190"/>
      <c r="X948" s="212"/>
    </row>
    <row r="949" spans="1:24" s="12" customFormat="1" ht="31.15" customHeight="1" x14ac:dyDescent="0.2">
      <c r="A949" s="298">
        <f>IF(J949&lt;&gt;"",1+MAX($A$18:A948),"")</f>
        <v>581</v>
      </c>
      <c r="B949" s="364" t="s">
        <v>605</v>
      </c>
      <c r="C949" s="301" t="s">
        <v>608</v>
      </c>
      <c r="D949" s="355" t="s">
        <v>76</v>
      </c>
      <c r="E949" s="302" t="s">
        <v>156</v>
      </c>
      <c r="F949" s="357" t="s">
        <v>590</v>
      </c>
      <c r="G949" s="312">
        <f>41.5*2</f>
        <v>83</v>
      </c>
      <c r="H949" s="196">
        <f>IF(VLOOKUP(J949,'HOURLY RATES'!B$116:C$124,2,0)=0,$J$3,VLOOKUP(J949,'HOURLY RATES'!B$116:C$124,2,0))</f>
        <v>0.05</v>
      </c>
      <c r="I949" s="328">
        <f t="shared" ref="I949:I950" si="912">(G949*(1+H949))</f>
        <v>87.15</v>
      </c>
      <c r="J949" s="369" t="s">
        <v>17</v>
      </c>
      <c r="K949" s="368">
        <v>0.45</v>
      </c>
      <c r="L949" s="369">
        <f t="shared" ref="L949:L950" si="913">K949*I949</f>
        <v>39.217500000000001</v>
      </c>
      <c r="M949" s="185">
        <f>IF(VLOOKUP(E949,'HOURLY RATES'!C$6:D$105,2,0)=0,$E$3,VLOOKUP(E949,'HOURLY RATES'!C$6:D$105,2,0))</f>
        <v>18.806625</v>
      </c>
      <c r="N949" s="197">
        <f t="shared" ref="N949:N950" si="914">M949*L949</f>
        <v>737.54881593750008</v>
      </c>
      <c r="O949" s="296">
        <f>462.52/((70/12)*(60/12))</f>
        <v>15.857828571428572</v>
      </c>
      <c r="P949" s="295">
        <f t="shared" ref="P949:P950" si="915">O949*I949</f>
        <v>1382.0097600000001</v>
      </c>
      <c r="Q949" s="297">
        <f t="shared" ref="Q949:Q950" si="916">P949+N949</f>
        <v>2119.5585759375003</v>
      </c>
      <c r="R949" s="190"/>
      <c r="X949" s="212"/>
    </row>
    <row r="950" spans="1:24" s="12" customFormat="1" ht="29.45" customHeight="1" x14ac:dyDescent="0.2">
      <c r="A950" s="298">
        <f>IF(J950&lt;&gt;"",1+MAX($A$18:A949),"")</f>
        <v>582</v>
      </c>
      <c r="B950" s="364" t="s">
        <v>568</v>
      </c>
      <c r="C950" s="301" t="s">
        <v>608</v>
      </c>
      <c r="D950" s="355" t="s">
        <v>76</v>
      </c>
      <c r="E950" s="302" t="s">
        <v>156</v>
      </c>
      <c r="F950" s="357" t="s">
        <v>591</v>
      </c>
      <c r="G950" s="312">
        <f>9.92*1.5</f>
        <v>14.879999999999999</v>
      </c>
      <c r="H950" s="196">
        <f>IF(VLOOKUP(J950,'HOURLY RATES'!B$116:C$124,2,0)=0,$J$3,VLOOKUP(J950,'HOURLY RATES'!B$116:C$124,2,0))</f>
        <v>0.05</v>
      </c>
      <c r="I950" s="328">
        <f t="shared" si="912"/>
        <v>15.623999999999999</v>
      </c>
      <c r="J950" s="369" t="s">
        <v>17</v>
      </c>
      <c r="K950" s="368">
        <v>0.45</v>
      </c>
      <c r="L950" s="369">
        <f t="shared" si="913"/>
        <v>7.0307999999999993</v>
      </c>
      <c r="M950" s="185">
        <f>IF(VLOOKUP(E950,'HOURLY RATES'!C$6:D$105,2,0)=0,$E$3,VLOOKUP(E950,'HOURLY RATES'!C$6:D$105,2,0))</f>
        <v>18.806625</v>
      </c>
      <c r="N950" s="197">
        <f t="shared" si="914"/>
        <v>132.22561904999998</v>
      </c>
      <c r="O950" s="296">
        <f>462.52/((70/12)*(60/12))</f>
        <v>15.857828571428572</v>
      </c>
      <c r="P950" s="295">
        <f t="shared" si="915"/>
        <v>247.76271359999998</v>
      </c>
      <c r="Q950" s="297">
        <f t="shared" si="916"/>
        <v>379.98833264999996</v>
      </c>
      <c r="R950" s="190"/>
      <c r="X950" s="212"/>
    </row>
    <row r="951" spans="1:24" s="12" customFormat="1" ht="20.100000000000001" customHeight="1" x14ac:dyDescent="0.2">
      <c r="A951" s="298" t="str">
        <f>IF(J951&lt;&gt;"",1+MAX($A$18:A950),"")</f>
        <v/>
      </c>
      <c r="B951" s="364"/>
      <c r="C951" s="301"/>
      <c r="D951" s="355"/>
      <c r="E951" s="302"/>
      <c r="F951" s="357"/>
      <c r="G951" s="312"/>
      <c r="H951" s="196"/>
      <c r="I951" s="251"/>
      <c r="J951" s="291"/>
      <c r="K951" s="368"/>
      <c r="L951" s="369"/>
      <c r="M951" s="185"/>
      <c r="N951" s="197"/>
      <c r="O951" s="296"/>
      <c r="P951" s="295"/>
      <c r="Q951" s="297"/>
      <c r="R951" s="190"/>
      <c r="X951" s="212"/>
    </row>
    <row r="952" spans="1:24" s="12" customFormat="1" ht="20.100000000000001" customHeight="1" x14ac:dyDescent="0.2">
      <c r="A952" s="298">
        <f>IF(J952&lt;&gt;"",1+MAX($A$18:A951),"")</f>
        <v>583</v>
      </c>
      <c r="B952" s="364" t="s">
        <v>609</v>
      </c>
      <c r="C952" s="301" t="s">
        <v>610</v>
      </c>
      <c r="D952" s="355" t="s">
        <v>76</v>
      </c>
      <c r="E952" s="302" t="s">
        <v>156</v>
      </c>
      <c r="F952" s="357" t="s">
        <v>592</v>
      </c>
      <c r="G952" s="312">
        <f>31</f>
        <v>31</v>
      </c>
      <c r="H952" s="196">
        <f>IF(VLOOKUP(J952,'HOURLY RATES'!B$116:C$124,2,0)=0,$J$3,VLOOKUP(J952,'HOURLY RATES'!B$116:C$124,2,0))</f>
        <v>0.05</v>
      </c>
      <c r="I952" s="328">
        <f t="shared" ref="I952" si="917">(G952*(1+H952))</f>
        <v>32.550000000000004</v>
      </c>
      <c r="J952" s="369" t="s">
        <v>19</v>
      </c>
      <c r="K952" s="368">
        <v>6.5000000000000002E-2</v>
      </c>
      <c r="L952" s="369">
        <f t="shared" ref="L952" si="918">K952*I952</f>
        <v>2.1157500000000002</v>
      </c>
      <c r="M952" s="185">
        <f>IF(VLOOKUP(E952,'HOURLY RATES'!C$6:D$105,2,0)=0,$E$3,VLOOKUP(E952,'HOURLY RATES'!C$6:D$105,2,0))</f>
        <v>18.806625</v>
      </c>
      <c r="N952" s="197">
        <f t="shared" ref="N952" si="919">M952*L952</f>
        <v>39.790116843750006</v>
      </c>
      <c r="O952" s="296">
        <v>1.2</v>
      </c>
      <c r="P952" s="295">
        <f t="shared" ref="P952" si="920">O952*I952</f>
        <v>39.06</v>
      </c>
      <c r="Q952" s="297">
        <f t="shared" ref="Q952" si="921">P952+N952</f>
        <v>78.850116843750016</v>
      </c>
      <c r="R952" s="190"/>
      <c r="X952" s="212"/>
    </row>
    <row r="953" spans="1:24" s="12" customFormat="1" ht="20.100000000000001" customHeight="1" x14ac:dyDescent="0.2">
      <c r="A953" s="298" t="str">
        <f>IF(J953&lt;&gt;"",1+MAX($A$18:A952),"")</f>
        <v/>
      </c>
      <c r="B953" s="364"/>
      <c r="C953" s="301"/>
      <c r="D953" s="355"/>
      <c r="E953" s="302"/>
      <c r="F953" s="357"/>
      <c r="G953" s="312"/>
      <c r="H953" s="196"/>
      <c r="I953" s="251"/>
      <c r="J953" s="291"/>
      <c r="K953" s="368"/>
      <c r="L953" s="369"/>
      <c r="M953" s="185"/>
      <c r="N953" s="197"/>
      <c r="O953" s="296"/>
      <c r="P953" s="295"/>
      <c r="Q953" s="297"/>
      <c r="R953" s="190"/>
      <c r="X953" s="212"/>
    </row>
    <row r="954" spans="1:24" s="12" customFormat="1" ht="20.100000000000001" customHeight="1" x14ac:dyDescent="0.2">
      <c r="A954" s="298">
        <f>IF(J954&lt;&gt;"",1+MAX($A$18:A953),"")</f>
        <v>584</v>
      </c>
      <c r="B954" s="355" t="s">
        <v>611</v>
      </c>
      <c r="C954" s="355"/>
      <c r="D954" s="355" t="s">
        <v>76</v>
      </c>
      <c r="E954" s="302" t="s">
        <v>156</v>
      </c>
      <c r="F954" s="356" t="s">
        <v>593</v>
      </c>
      <c r="G954" s="288">
        <f>1782+63+179</f>
        <v>2024</v>
      </c>
      <c r="H954" s="196">
        <f>IF(VLOOKUP(J954,'HOURLY RATES'!B$116:C$124,2,0)=0,$J$3,VLOOKUP(J954,'HOURLY RATES'!B$116:C$124,2,0))</f>
        <v>0.05</v>
      </c>
      <c r="I954" s="328">
        <f t="shared" ref="I954" si="922">(G954*(1+H954))</f>
        <v>2125.2000000000003</v>
      </c>
      <c r="J954" s="369" t="s">
        <v>17</v>
      </c>
      <c r="K954" s="368">
        <v>3.0000000000000001E-3</v>
      </c>
      <c r="L954" s="369">
        <f t="shared" ref="L954" si="923">K954*I954</f>
        <v>6.3756000000000013</v>
      </c>
      <c r="M954" s="185">
        <f>IF(VLOOKUP(E954,'HOURLY RATES'!C$6:D$105,2,0)=0,$E$3,VLOOKUP(E954,'HOURLY RATES'!C$6:D$105,2,0))</f>
        <v>18.806625</v>
      </c>
      <c r="N954" s="197">
        <f t="shared" ref="N954" si="924">M954*L954</f>
        <v>119.90351835000003</v>
      </c>
      <c r="O954" s="296">
        <v>0.1</v>
      </c>
      <c r="P954" s="295">
        <f t="shared" ref="P954" si="925">O954*I954</f>
        <v>212.52000000000004</v>
      </c>
      <c r="Q954" s="297">
        <f t="shared" ref="Q954" si="926">P954+N954</f>
        <v>332.42351835000005</v>
      </c>
      <c r="R954" s="190"/>
      <c r="X954" s="212"/>
    </row>
    <row r="955" spans="1:24" s="12" customFormat="1" ht="20.100000000000001" customHeight="1" x14ac:dyDescent="0.2">
      <c r="A955" s="298" t="str">
        <f>IF(J955&lt;&gt;"",1+MAX($A$18:A954),"")</f>
        <v/>
      </c>
      <c r="B955" s="364"/>
      <c r="C955" s="301"/>
      <c r="D955" s="355"/>
      <c r="E955" s="302"/>
      <c r="F955" s="357"/>
      <c r="G955" s="312"/>
      <c r="H955" s="196"/>
      <c r="I955" s="328"/>
      <c r="J955" s="399"/>
      <c r="K955" s="368"/>
      <c r="L955" s="369"/>
      <c r="M955" s="185"/>
      <c r="N955" s="197"/>
      <c r="O955" s="296"/>
      <c r="P955" s="295"/>
      <c r="Q955" s="297"/>
      <c r="R955" s="190"/>
      <c r="X955" s="212"/>
    </row>
    <row r="956" spans="1:24" s="12" customFormat="1" ht="20.100000000000001" customHeight="1" x14ac:dyDescent="0.2">
      <c r="A956" s="298" t="str">
        <f>IF(J956&lt;&gt;"",1+MAX($A$18:A955),"")</f>
        <v/>
      </c>
      <c r="B956" s="364"/>
      <c r="C956" s="301"/>
      <c r="D956" s="355"/>
      <c r="E956" s="302"/>
      <c r="F956" s="313" t="s">
        <v>594</v>
      </c>
      <c r="G956" s="312"/>
      <c r="H956" s="196"/>
      <c r="I956" s="328"/>
      <c r="J956" s="399"/>
      <c r="K956" s="368"/>
      <c r="L956" s="369"/>
      <c r="M956" s="185"/>
      <c r="N956" s="197"/>
      <c r="O956" s="296"/>
      <c r="P956" s="295"/>
      <c r="Q956" s="297"/>
      <c r="R956" s="190"/>
      <c r="X956" s="212"/>
    </row>
    <row r="957" spans="1:24" s="12" customFormat="1" ht="20.100000000000001" customHeight="1" x14ac:dyDescent="0.2">
      <c r="A957" s="298">
        <f>IF(J957&lt;&gt;"",1+MAX($A$18:A956),"")</f>
        <v>585</v>
      </c>
      <c r="B957" s="364" t="s">
        <v>609</v>
      </c>
      <c r="C957" s="301"/>
      <c r="D957" s="355" t="s">
        <v>76</v>
      </c>
      <c r="E957" s="302" t="s">
        <v>70</v>
      </c>
      <c r="F957" s="357" t="s">
        <v>595</v>
      </c>
      <c r="G957" s="312">
        <f>13.2</f>
        <v>13.2</v>
      </c>
      <c r="H957" s="196">
        <f>IF(VLOOKUP(J957,'HOURLY RATES'!B$116:C$124,2,0)=0,$J$3,VLOOKUP(J957,'HOURLY RATES'!B$116:C$124,2,0))</f>
        <v>0.05</v>
      </c>
      <c r="I957" s="328">
        <f t="shared" ref="I957:I964" si="927">(G957*(1+H957))</f>
        <v>13.86</v>
      </c>
      <c r="J957" s="369" t="s">
        <v>19</v>
      </c>
      <c r="K957" s="368">
        <v>0.1</v>
      </c>
      <c r="L957" s="369">
        <f t="shared" ref="L957:L964" si="928">K957*I957</f>
        <v>1.3860000000000001</v>
      </c>
      <c r="M957" s="185">
        <f>IF(VLOOKUP(E957,'HOURLY RATES'!C$6:D$105,2,0)=0,$E$3,VLOOKUP(E957,'HOURLY RATES'!C$6:D$105,2,0))</f>
        <v>22.56795</v>
      </c>
      <c r="N957" s="197">
        <f t="shared" ref="N957:N964" si="929">M957*L957</f>
        <v>31.279178700000003</v>
      </c>
      <c r="O957" s="296">
        <v>2.71</v>
      </c>
      <c r="P957" s="295">
        <f t="shared" ref="P957:P964" si="930">O957*I957</f>
        <v>37.560600000000001</v>
      </c>
      <c r="Q957" s="297">
        <f t="shared" ref="Q957:Q964" si="931">P957+N957</f>
        <v>68.839778700000011</v>
      </c>
      <c r="R957" s="190"/>
      <c r="X957" s="212"/>
    </row>
    <row r="958" spans="1:24" s="12" customFormat="1" ht="31.9" customHeight="1" x14ac:dyDescent="0.2">
      <c r="A958" s="298">
        <f>IF(J958&lt;&gt;"",1+MAX($A$18:A957),"")</f>
        <v>586</v>
      </c>
      <c r="B958" s="364" t="s">
        <v>609</v>
      </c>
      <c r="C958" s="301" t="s">
        <v>612</v>
      </c>
      <c r="D958" s="355" t="s">
        <v>76</v>
      </c>
      <c r="E958" s="302" t="s">
        <v>70</v>
      </c>
      <c r="F958" s="357" t="s">
        <v>596</v>
      </c>
      <c r="G958" s="312">
        <f>207.76</f>
        <v>207.76</v>
      </c>
      <c r="H958" s="196">
        <f>IF(VLOOKUP(J958,'HOURLY RATES'!B$116:C$124,2,0)=0,$J$3,VLOOKUP(J958,'HOURLY RATES'!B$116:C$124,2,0))</f>
        <v>0.05</v>
      </c>
      <c r="I958" s="328">
        <f t="shared" si="927"/>
        <v>218.148</v>
      </c>
      <c r="J958" s="369" t="s">
        <v>19</v>
      </c>
      <c r="K958" s="368">
        <v>0.05</v>
      </c>
      <c r="L958" s="369">
        <f t="shared" si="928"/>
        <v>10.907400000000001</v>
      </c>
      <c r="M958" s="185">
        <f>IF(VLOOKUP(E958,'HOURLY RATES'!C$6:D$105,2,0)=0,$E$3,VLOOKUP(E958,'HOURLY RATES'!C$6:D$105,2,0))</f>
        <v>22.56795</v>
      </c>
      <c r="N958" s="197">
        <f t="shared" si="929"/>
        <v>246.15765783000001</v>
      </c>
      <c r="O958" s="296">
        <v>1.32</v>
      </c>
      <c r="P958" s="295">
        <f t="shared" si="930"/>
        <v>287.95535999999998</v>
      </c>
      <c r="Q958" s="297">
        <f t="shared" si="931"/>
        <v>534.11301782999999</v>
      </c>
      <c r="R958" s="190"/>
      <c r="X958" s="212"/>
    </row>
    <row r="959" spans="1:24" s="12" customFormat="1" x14ac:dyDescent="0.2">
      <c r="A959" s="298" t="str">
        <f>IF(J959&lt;&gt;"",1+MAX($A$18:A958),"")</f>
        <v/>
      </c>
      <c r="B959" s="364"/>
      <c r="C959" s="301"/>
      <c r="D959" s="355"/>
      <c r="E959" s="302"/>
      <c r="F959" s="357"/>
      <c r="G959" s="312"/>
      <c r="H959" s="196"/>
      <c r="I959" s="328"/>
      <c r="J959" s="369"/>
      <c r="K959" s="368"/>
      <c r="L959" s="369"/>
      <c r="M959" s="185"/>
      <c r="N959" s="197"/>
      <c r="O959" s="296"/>
      <c r="P959" s="295"/>
      <c r="Q959" s="297"/>
      <c r="R959" s="190"/>
      <c r="X959" s="212"/>
    </row>
    <row r="960" spans="1:24" s="12" customFormat="1" ht="31.9" customHeight="1" x14ac:dyDescent="0.2">
      <c r="A960" s="298">
        <f>IF(J960&lt;&gt;"",1+MAX($A$18:A959),"")</f>
        <v>587</v>
      </c>
      <c r="B960" s="364" t="s">
        <v>609</v>
      </c>
      <c r="C960" s="301"/>
      <c r="D960" s="355" t="s">
        <v>76</v>
      </c>
      <c r="E960" s="302" t="s">
        <v>70</v>
      </c>
      <c r="F960" s="357" t="s">
        <v>853</v>
      </c>
      <c r="G960" s="312">
        <f>(300.15*0.5/27)*1.1</f>
        <v>6.1141666666666667</v>
      </c>
      <c r="H960" s="196">
        <f>IF(VLOOKUP(J960,'HOURLY RATES'!B$116:C$124,2,0)=0,$J$3,VLOOKUP(J960,'HOURLY RATES'!B$116:C$124,2,0))</f>
        <v>0.05</v>
      </c>
      <c r="I960" s="328">
        <f t="shared" si="927"/>
        <v>6.4198750000000002</v>
      </c>
      <c r="J960" s="369" t="s">
        <v>41</v>
      </c>
      <c r="K960" s="368">
        <v>0.67500000000000004</v>
      </c>
      <c r="L960" s="369">
        <f t="shared" si="928"/>
        <v>4.3334156250000007</v>
      </c>
      <c r="M960" s="185">
        <f>IF(VLOOKUP(E960,'HOURLY RATES'!C$6:D$105,2,0)=0,$E$3,VLOOKUP(E960,'HOURLY RATES'!C$6:D$105,2,0))</f>
        <v>22.56795</v>
      </c>
      <c r="N960" s="197">
        <f t="shared" si="929"/>
        <v>97.796307154218766</v>
      </c>
      <c r="O960" s="296">
        <f>32.5+0.1*M960</f>
        <v>34.756794999999997</v>
      </c>
      <c r="P960" s="295">
        <f t="shared" si="930"/>
        <v>223.134279300625</v>
      </c>
      <c r="Q960" s="297">
        <f t="shared" si="931"/>
        <v>320.93058645484376</v>
      </c>
      <c r="R960" s="190"/>
      <c r="X960" s="212"/>
    </row>
    <row r="961" spans="1:24" s="12" customFormat="1" ht="31.9" customHeight="1" x14ac:dyDescent="0.2">
      <c r="A961" s="298">
        <f>IF(J961&lt;&gt;"",1+MAX($A$18:A960),"")</f>
        <v>588</v>
      </c>
      <c r="B961" s="364" t="s">
        <v>609</v>
      </c>
      <c r="C961" s="301"/>
      <c r="D961" s="355" t="s">
        <v>76</v>
      </c>
      <c r="E961" s="302" t="s">
        <v>70</v>
      </c>
      <c r="F961" s="357" t="s">
        <v>852</v>
      </c>
      <c r="G961" s="312">
        <f>300.15</f>
        <v>300.14999999999998</v>
      </c>
      <c r="H961" s="196">
        <f>IF(VLOOKUP(J961,'HOURLY RATES'!B$116:C$124,2,0)=0,$J$3,VLOOKUP(J961,'HOURLY RATES'!B$116:C$124,2,0))</f>
        <v>0.05</v>
      </c>
      <c r="I961" s="328">
        <f t="shared" ref="I961" si="932">(G961*(1+H961))</f>
        <v>315.15749999999997</v>
      </c>
      <c r="J961" s="369" t="s">
        <v>17</v>
      </c>
      <c r="K961" s="368">
        <v>6.0000000000000001E-3</v>
      </c>
      <c r="L961" s="369">
        <f t="shared" ref="L961" si="933">K961*I961</f>
        <v>1.8909449999999999</v>
      </c>
      <c r="M961" s="185">
        <f>IF(VLOOKUP(E961,'HOURLY RATES'!C$6:D$105,2,0)=0,$E$3,VLOOKUP(E961,'HOURLY RATES'!C$6:D$105,2,0))</f>
        <v>22.56795</v>
      </c>
      <c r="N961" s="197">
        <f t="shared" ref="N961" si="934">M961*L961</f>
        <v>42.674752212749993</v>
      </c>
      <c r="O961" s="296">
        <v>0.76</v>
      </c>
      <c r="P961" s="295">
        <f t="shared" ref="P961" si="935">O961*I961</f>
        <v>239.51969999999997</v>
      </c>
      <c r="Q961" s="297">
        <f t="shared" ref="Q961" si="936">P961+N961</f>
        <v>282.19445221274998</v>
      </c>
      <c r="R961" s="190"/>
      <c r="X961" s="212"/>
    </row>
    <row r="962" spans="1:24" s="12" customFormat="1" x14ac:dyDescent="0.2">
      <c r="A962" s="298" t="str">
        <f>IF(J962&lt;&gt;"",1+MAX($A$18:A961),"")</f>
        <v/>
      </c>
      <c r="B962" s="364"/>
      <c r="C962" s="301"/>
      <c r="D962" s="355"/>
      <c r="E962" s="302"/>
      <c r="F962" s="357"/>
      <c r="G962" s="312"/>
      <c r="H962" s="196"/>
      <c r="I962" s="328"/>
      <c r="J962" s="369"/>
      <c r="K962" s="368"/>
      <c r="L962" s="369"/>
      <c r="M962" s="185"/>
      <c r="N962" s="197"/>
      <c r="O962" s="296"/>
      <c r="P962" s="295"/>
      <c r="Q962" s="297"/>
      <c r="R962" s="190"/>
      <c r="X962" s="212"/>
    </row>
    <row r="963" spans="1:24" s="12" customFormat="1" ht="20.100000000000001" customHeight="1" x14ac:dyDescent="0.2">
      <c r="A963" s="298">
        <f>IF(J963&lt;&gt;"",1+MAX($A$18:A962),"")</f>
        <v>589</v>
      </c>
      <c r="B963" s="364" t="s">
        <v>609</v>
      </c>
      <c r="C963" s="301" t="s">
        <v>612</v>
      </c>
      <c r="D963" s="355" t="s">
        <v>76</v>
      </c>
      <c r="E963" s="302" t="s">
        <v>70</v>
      </c>
      <c r="F963" s="357" t="s">
        <v>597</v>
      </c>
      <c r="G963" s="312">
        <v>1</v>
      </c>
      <c r="H963" s="196">
        <f>IF(VLOOKUP(J963,'HOURLY RATES'!B$116:C$124,2,0)=0,$J$3,VLOOKUP(J963,'HOURLY RATES'!B$116:C$124,2,0))</f>
        <v>0</v>
      </c>
      <c r="I963" s="328">
        <f t="shared" si="927"/>
        <v>1</v>
      </c>
      <c r="J963" s="369" t="s">
        <v>16</v>
      </c>
      <c r="K963" s="368">
        <v>5.234</v>
      </c>
      <c r="L963" s="369">
        <f t="shared" si="928"/>
        <v>5.234</v>
      </c>
      <c r="M963" s="185">
        <f>IF(VLOOKUP(E963,'HOURLY RATES'!C$6:D$105,2,0)=0,$E$3,VLOOKUP(E963,'HOURLY RATES'!C$6:D$105,2,0))</f>
        <v>22.56795</v>
      </c>
      <c r="N963" s="197">
        <f t="shared" si="929"/>
        <v>118.12065029999999</v>
      </c>
      <c r="O963" s="296">
        <f>799.63*48/24</f>
        <v>1599.26</v>
      </c>
      <c r="P963" s="295">
        <f t="shared" si="930"/>
        <v>1599.26</v>
      </c>
      <c r="Q963" s="297">
        <f t="shared" si="931"/>
        <v>1717.3806503000001</v>
      </c>
      <c r="R963" s="190"/>
      <c r="X963" s="212"/>
    </row>
    <row r="964" spans="1:24" s="12" customFormat="1" ht="28.15" customHeight="1" x14ac:dyDescent="0.2">
      <c r="A964" s="298">
        <f>IF(J964&lt;&gt;"",1+MAX($A$18:A963),"")</f>
        <v>590</v>
      </c>
      <c r="B964" s="364" t="s">
        <v>609</v>
      </c>
      <c r="C964" s="301" t="s">
        <v>612</v>
      </c>
      <c r="D964" s="355" t="s">
        <v>76</v>
      </c>
      <c r="E964" s="302" t="s">
        <v>70</v>
      </c>
      <c r="F964" s="357" t="s">
        <v>598</v>
      </c>
      <c r="G964" s="312">
        <v>1</v>
      </c>
      <c r="H964" s="196">
        <f>IF(VLOOKUP(J964,'HOURLY RATES'!B$116:C$124,2,0)=0,$J$3,VLOOKUP(J964,'HOURLY RATES'!B$116:C$124,2,0))</f>
        <v>0</v>
      </c>
      <c r="I964" s="328">
        <f t="shared" si="927"/>
        <v>1</v>
      </c>
      <c r="J964" s="369" t="s">
        <v>16</v>
      </c>
      <c r="K964" s="368">
        <v>4.2649999999999997</v>
      </c>
      <c r="L964" s="369">
        <f t="shared" si="928"/>
        <v>4.2649999999999997</v>
      </c>
      <c r="M964" s="185">
        <f>IF(VLOOKUP(E964,'HOURLY RATES'!C$6:D$105,2,0)=0,$E$3,VLOOKUP(E964,'HOURLY RATES'!C$6:D$105,2,0))</f>
        <v>22.56795</v>
      </c>
      <c r="N964" s="197">
        <f t="shared" si="929"/>
        <v>96.252306749999988</v>
      </c>
      <c r="O964" s="296">
        <v>1299</v>
      </c>
      <c r="P964" s="295">
        <f t="shared" si="930"/>
        <v>1299</v>
      </c>
      <c r="Q964" s="297">
        <f t="shared" si="931"/>
        <v>1395.2523067499999</v>
      </c>
      <c r="R964" s="190"/>
      <c r="X964" s="212"/>
    </row>
    <row r="965" spans="1:24" s="12" customFormat="1" ht="20.100000000000001" customHeight="1" x14ac:dyDescent="0.2">
      <c r="A965" s="298" t="str">
        <f>IF(J965&lt;&gt;"",1+MAX($A$18:A964),"")</f>
        <v/>
      </c>
      <c r="B965" s="364"/>
      <c r="C965" s="301"/>
      <c r="D965" s="355"/>
      <c r="E965" s="302"/>
      <c r="F965" s="357"/>
      <c r="G965" s="312"/>
      <c r="H965" s="196"/>
      <c r="I965" s="328"/>
      <c r="J965" s="399"/>
      <c r="K965" s="368"/>
      <c r="L965" s="210"/>
      <c r="M965" s="185"/>
      <c r="N965" s="197"/>
      <c r="O965" s="296"/>
      <c r="P965" s="295"/>
      <c r="Q965" s="297"/>
      <c r="R965" s="190"/>
      <c r="X965" s="212"/>
    </row>
    <row r="966" spans="1:24" s="12" customFormat="1" ht="20.100000000000001" customHeight="1" x14ac:dyDescent="0.2">
      <c r="A966" s="298" t="str">
        <f>IF(J966&lt;&gt;"",1+MAX($A$18:A965),"")</f>
        <v/>
      </c>
      <c r="B966" s="364"/>
      <c r="C966" s="301"/>
      <c r="D966" s="355"/>
      <c r="E966" s="302"/>
      <c r="F966" s="313" t="s">
        <v>599</v>
      </c>
      <c r="G966" s="312"/>
      <c r="H966" s="196"/>
      <c r="I966" s="328"/>
      <c r="J966" s="399"/>
      <c r="K966" s="368"/>
      <c r="L966" s="210"/>
      <c r="M966" s="185"/>
      <c r="N966" s="197"/>
      <c r="O966" s="296"/>
      <c r="P966" s="295"/>
      <c r="Q966" s="297"/>
      <c r="R966" s="190"/>
      <c r="X966" s="212"/>
    </row>
    <row r="967" spans="1:24" s="12" customFormat="1" ht="31.9" customHeight="1" x14ac:dyDescent="0.2">
      <c r="A967" s="298">
        <f>IF(J967&lt;&gt;"",1+MAX($A$18:A966),"")</f>
        <v>591</v>
      </c>
      <c r="B967" s="364" t="s">
        <v>609</v>
      </c>
      <c r="C967" s="301"/>
      <c r="D967" s="355" t="s">
        <v>76</v>
      </c>
      <c r="E967" s="302" t="s">
        <v>145</v>
      </c>
      <c r="F967" s="357" t="s">
        <v>600</v>
      </c>
      <c r="G967" s="312">
        <f>65*0.34/27</f>
        <v>0.81851851851851853</v>
      </c>
      <c r="H967" s="196">
        <f>IF(VLOOKUP(J967,'HOURLY RATES'!B$116:C$124,2,0)=0,$J$3,VLOOKUP(J967,'HOURLY RATES'!B$116:C$124,2,0))</f>
        <v>0.05</v>
      </c>
      <c r="I967" s="328">
        <f t="shared" ref="I967:I968" si="937">(G967*(1+H967))</f>
        <v>0.85944444444444446</v>
      </c>
      <c r="J967" s="369" t="s">
        <v>41</v>
      </c>
      <c r="K967" s="368">
        <f>10*0.7</f>
        <v>7</v>
      </c>
      <c r="L967" s="369">
        <f t="shared" ref="L967:L969" si="938">K967*I967</f>
        <v>6.016111111111111</v>
      </c>
      <c r="M967" s="185">
        <f>IF(VLOOKUP(E967,'HOURLY RATES'!C$6:D$105,2,0)=0,$E$3,VLOOKUP(E967,'HOURLY RATES'!C$6:D$105,2,0))</f>
        <v>26.6815</v>
      </c>
      <c r="N967" s="197">
        <f t="shared" ref="N967:N969" si="939">M967*L967</f>
        <v>160.51886861111112</v>
      </c>
      <c r="O967" s="296">
        <f>180+0.3*M967</f>
        <v>188.00444999999999</v>
      </c>
      <c r="P967" s="295">
        <f t="shared" ref="P967:P969" si="940">O967*I967</f>
        <v>161.57938008333332</v>
      </c>
      <c r="Q967" s="297">
        <f t="shared" ref="Q967:Q969" si="941">P967+N967</f>
        <v>322.09824869444446</v>
      </c>
      <c r="R967" s="190"/>
      <c r="X967" s="212"/>
    </row>
    <row r="968" spans="1:24" s="12" customFormat="1" ht="31.9" customHeight="1" x14ac:dyDescent="0.2">
      <c r="A968" s="298">
        <f>IF(J968&lt;&gt;"",1+MAX($A$18:A967),"")</f>
        <v>592</v>
      </c>
      <c r="B968" s="364" t="s">
        <v>609</v>
      </c>
      <c r="C968" s="301"/>
      <c r="D968" s="355" t="s">
        <v>76</v>
      </c>
      <c r="E968" s="302" t="s">
        <v>65</v>
      </c>
      <c r="F968" s="357" t="s">
        <v>601</v>
      </c>
      <c r="G968" s="312">
        <f>90*0.34/27</f>
        <v>1.1333333333333333</v>
      </c>
      <c r="H968" s="196">
        <f>IF(VLOOKUP(J968,'HOURLY RATES'!B$116:C$124,2,0)=0,$J$3,VLOOKUP(J968,'HOURLY RATES'!B$116:C$124,2,0))</f>
        <v>0.05</v>
      </c>
      <c r="I968" s="328">
        <f t="shared" si="937"/>
        <v>1.19</v>
      </c>
      <c r="J968" s="369" t="s">
        <v>41</v>
      </c>
      <c r="K968" s="368">
        <f>10*0.7</f>
        <v>7</v>
      </c>
      <c r="L968" s="369">
        <f t="shared" si="938"/>
        <v>8.33</v>
      </c>
      <c r="M968" s="185">
        <f>IF(VLOOKUP(E968,'HOURLY RATES'!C$6:D$105,2,0)=0,$E$3,VLOOKUP(E968,'HOURLY RATES'!C$6:D$105,2,0))</f>
        <v>26.6815</v>
      </c>
      <c r="N968" s="197">
        <f t="shared" si="939"/>
        <v>222.25689499999999</v>
      </c>
      <c r="O968" s="296">
        <f>113*2.025+0.1*M968</f>
        <v>231.49314999999999</v>
      </c>
      <c r="P968" s="295">
        <f t="shared" si="940"/>
        <v>275.47684849999996</v>
      </c>
      <c r="Q968" s="297">
        <f t="shared" si="941"/>
        <v>497.73374349999995</v>
      </c>
      <c r="R968" s="190"/>
      <c r="X968" s="212"/>
    </row>
    <row r="969" spans="1:24" s="12" customFormat="1" ht="31.9" customHeight="1" x14ac:dyDescent="0.2">
      <c r="A969" s="298">
        <f>IF(J969&lt;&gt;"",1+MAX($A$18:A968),"")</f>
        <v>593</v>
      </c>
      <c r="B969" s="364" t="s">
        <v>609</v>
      </c>
      <c r="C969" s="301"/>
      <c r="D969" s="355" t="s">
        <v>76</v>
      </c>
      <c r="E969" s="302" t="s">
        <v>145</v>
      </c>
      <c r="F969" s="357" t="s">
        <v>602</v>
      </c>
      <c r="G969" s="312">
        <f>5</f>
        <v>5</v>
      </c>
      <c r="H969" s="196">
        <f>IF(VLOOKUP(J969,'HOURLY RATES'!B$116:C$124,2,0)=0,$J$3,VLOOKUP(J969,'HOURLY RATES'!B$116:C$124,2,0))</f>
        <v>0.05</v>
      </c>
      <c r="I969" s="328">
        <f t="shared" ref="I969" si="942">(G969*(1+H969))</f>
        <v>5.25</v>
      </c>
      <c r="J969" s="369" t="s">
        <v>19</v>
      </c>
      <c r="K969" s="368">
        <v>0.18</v>
      </c>
      <c r="L969" s="369">
        <f t="shared" si="938"/>
        <v>0.94499999999999995</v>
      </c>
      <c r="M969" s="185">
        <f>IF(VLOOKUP(E969,'HOURLY RATES'!C$6:D$105,2,0)=0,$E$3,VLOOKUP(E969,'HOURLY RATES'!C$6:D$105,2,0))</f>
        <v>26.6815</v>
      </c>
      <c r="N969" s="197">
        <f t="shared" si="939"/>
        <v>25.214017499999997</v>
      </c>
      <c r="O969" s="296">
        <f>22.5*18/24</f>
        <v>16.875</v>
      </c>
      <c r="P969" s="295">
        <f t="shared" si="940"/>
        <v>88.59375</v>
      </c>
      <c r="Q969" s="297">
        <f t="shared" si="941"/>
        <v>113.8077675</v>
      </c>
      <c r="R969" s="190"/>
      <c r="X969" s="212"/>
    </row>
    <row r="970" spans="1:24" s="12" customFormat="1" ht="16.5" thickBot="1" x14ac:dyDescent="0.25">
      <c r="A970" s="214" t="str">
        <f>IF(J970&lt;&gt;"",1+MAX($A$18:A969),"")</f>
        <v/>
      </c>
      <c r="B970" s="215"/>
      <c r="C970" s="215"/>
      <c r="D970" s="215"/>
      <c r="E970" s="215"/>
      <c r="F970" s="216"/>
      <c r="G970" s="217"/>
      <c r="H970" s="218"/>
      <c r="I970" s="219"/>
      <c r="J970" s="400"/>
      <c r="K970" s="390"/>
      <c r="L970" s="222"/>
      <c r="M970" s="223"/>
      <c r="N970" s="224"/>
      <c r="O970" s="392"/>
      <c r="P970" s="401"/>
      <c r="Q970" s="402"/>
      <c r="R970" s="228"/>
      <c r="X970" s="212"/>
    </row>
    <row r="971" spans="1:24" s="12" customFormat="1" ht="20.100000000000001" customHeight="1" x14ac:dyDescent="0.2">
      <c r="A971" s="479" t="str">
        <f>IF(J971&lt;&gt;"",1+MAX($A$18:A970),"")</f>
        <v/>
      </c>
      <c r="B971" s="480"/>
      <c r="C971" s="480"/>
      <c r="D971" s="485" t="s">
        <v>114</v>
      </c>
      <c r="E971" s="485"/>
      <c r="F971" s="486" t="s">
        <v>122</v>
      </c>
      <c r="G971" s="481"/>
      <c r="H971" s="482"/>
      <c r="I971" s="483"/>
      <c r="J971" s="483"/>
      <c r="K971" s="482"/>
      <c r="L971" s="482"/>
      <c r="M971" s="482"/>
      <c r="N971" s="482"/>
      <c r="O971" s="482"/>
      <c r="P971" s="482"/>
      <c r="Q971" s="482"/>
      <c r="R971" s="484">
        <f>SUM(Q972:Q1014)</f>
        <v>21184.483148212916</v>
      </c>
      <c r="X971" s="212"/>
    </row>
    <row r="972" spans="1:24" s="12" customFormat="1" ht="20.100000000000001" customHeight="1" x14ac:dyDescent="0.2">
      <c r="A972" s="298" t="str">
        <f>IF(J972&lt;&gt;"",1+MAX($A$18:A971),"")</f>
        <v/>
      </c>
      <c r="B972" s="346"/>
      <c r="C972" s="346"/>
      <c r="D972" s="208"/>
      <c r="E972" s="302"/>
      <c r="F972" s="314"/>
      <c r="G972" s="312"/>
      <c r="H972" s="196"/>
      <c r="I972" s="328"/>
      <c r="J972" s="399"/>
      <c r="K972" s="368"/>
      <c r="L972" s="210"/>
      <c r="M972" s="185"/>
      <c r="N972" s="197"/>
      <c r="O972" s="296"/>
      <c r="P972" s="295"/>
      <c r="Q972" s="297"/>
      <c r="R972" s="190"/>
      <c r="X972" s="212"/>
    </row>
    <row r="973" spans="1:24" s="12" customFormat="1" x14ac:dyDescent="0.2">
      <c r="A973" s="298" t="str">
        <f>IF(J973&lt;&gt;"",1+MAX($A$18:A972),"")</f>
        <v/>
      </c>
      <c r="B973" s="346"/>
      <c r="C973" s="346"/>
      <c r="D973" s="208"/>
      <c r="E973" s="302"/>
      <c r="F973" s="313" t="s">
        <v>613</v>
      </c>
      <c r="G973" s="312"/>
      <c r="H973" s="196"/>
      <c r="I973" s="328"/>
      <c r="J973" s="399"/>
      <c r="K973" s="368"/>
      <c r="L973" s="210"/>
      <c r="M973" s="185"/>
      <c r="N973" s="197"/>
      <c r="O973" s="296"/>
      <c r="P973" s="295"/>
      <c r="Q973" s="297"/>
      <c r="R973" s="190"/>
      <c r="X973" s="212"/>
    </row>
    <row r="974" spans="1:24" s="12" customFormat="1" ht="20.100000000000001" customHeight="1" x14ac:dyDescent="0.2">
      <c r="A974" s="298">
        <f>IF(J974&lt;&gt;"",1+MAX($A$18:A973),"")</f>
        <v>594</v>
      </c>
      <c r="B974" s="355" t="s">
        <v>570</v>
      </c>
      <c r="C974" s="355"/>
      <c r="D974" s="355" t="s">
        <v>114</v>
      </c>
      <c r="E974" s="302" t="s">
        <v>122</v>
      </c>
      <c r="F974" s="307" t="s">
        <v>614</v>
      </c>
      <c r="G974" s="288">
        <f>24.4</f>
        <v>24.4</v>
      </c>
      <c r="H974" s="196">
        <f>IF(VLOOKUP(J974,'HOURLY RATES'!B$116:C$124,2,0)=0,$J$3,VLOOKUP(J974,'HOURLY RATES'!B$116:C$124,2,0))</f>
        <v>0.05</v>
      </c>
      <c r="I974" s="328">
        <f t="shared" ref="I974:I979" si="943">(G974*(1+H974))</f>
        <v>25.62</v>
      </c>
      <c r="J974" s="369" t="s">
        <v>19</v>
      </c>
      <c r="K974" s="368">
        <f>0.0251*4</f>
        <v>0.1004</v>
      </c>
      <c r="L974" s="369">
        <f t="shared" ref="L974:L979" si="944">K974*I974</f>
        <v>2.5722480000000001</v>
      </c>
      <c r="M974" s="185">
        <f>IF(VLOOKUP(E974,'HOURLY RATES'!C$6:D$105,2,0)=0,$E$3,VLOOKUP(E974,'HOURLY RATES'!C$6:D$105,2,0))</f>
        <v>41.141966250000003</v>
      </c>
      <c r="N974" s="197">
        <f t="shared" ref="N974:N979" si="945">M974*L974</f>
        <v>105.82734040263001</v>
      </c>
      <c r="O974" s="296">
        <v>5.96</v>
      </c>
      <c r="P974" s="295">
        <f t="shared" ref="P974:P979" si="946">O974*I974</f>
        <v>152.6952</v>
      </c>
      <c r="Q974" s="297">
        <f t="shared" ref="Q974:Q979" si="947">P974+N974</f>
        <v>258.52254040263</v>
      </c>
      <c r="R974" s="190"/>
      <c r="X974" s="212"/>
    </row>
    <row r="975" spans="1:24" s="12" customFormat="1" ht="20.100000000000001" customHeight="1" x14ac:dyDescent="0.2">
      <c r="A975" s="298">
        <f>IF(J975&lt;&gt;"",1+MAX($A$18:A974),"")</f>
        <v>595</v>
      </c>
      <c r="B975" s="355" t="s">
        <v>570</v>
      </c>
      <c r="C975" s="355" t="s">
        <v>637</v>
      </c>
      <c r="D975" s="355" t="s">
        <v>114</v>
      </c>
      <c r="E975" s="302" t="s">
        <v>122</v>
      </c>
      <c r="F975" s="307" t="s">
        <v>615</v>
      </c>
      <c r="G975" s="288">
        <f>9.59</f>
        <v>9.59</v>
      </c>
      <c r="H975" s="196">
        <f>IF(VLOOKUP(J975,'HOURLY RATES'!B$116:C$124,2,0)=0,$J$3,VLOOKUP(J975,'HOURLY RATES'!B$116:C$124,2,0))</f>
        <v>0.05</v>
      </c>
      <c r="I975" s="328">
        <f t="shared" si="943"/>
        <v>10.0695</v>
      </c>
      <c r="J975" s="369" t="s">
        <v>19</v>
      </c>
      <c r="K975" s="368">
        <f>0.0343*1.5</f>
        <v>5.1449999999999996E-2</v>
      </c>
      <c r="L975" s="369">
        <f t="shared" si="944"/>
        <v>0.51807577499999991</v>
      </c>
      <c r="M975" s="185">
        <f>IF(VLOOKUP(E975,'HOURLY RATES'!C$6:D$105,2,0)=0,$E$3,VLOOKUP(E975,'HOURLY RATES'!C$6:D$105,2,0))</f>
        <v>41.141966250000003</v>
      </c>
      <c r="N975" s="197">
        <f t="shared" si="945"/>
        <v>21.314656049992593</v>
      </c>
      <c r="O975" s="296">
        <v>14.06</v>
      </c>
      <c r="P975" s="295">
        <f t="shared" si="946"/>
        <v>141.57717</v>
      </c>
      <c r="Q975" s="297">
        <f t="shared" si="947"/>
        <v>162.89182604999257</v>
      </c>
      <c r="R975" s="190"/>
      <c r="X975" s="212"/>
    </row>
    <row r="976" spans="1:24" s="12" customFormat="1" ht="20.100000000000001" customHeight="1" x14ac:dyDescent="0.2">
      <c r="A976" s="298">
        <f>IF(J976&lt;&gt;"",1+MAX($A$18:A975),"")</f>
        <v>596</v>
      </c>
      <c r="B976" s="355" t="s">
        <v>570</v>
      </c>
      <c r="C976" s="355" t="s">
        <v>637</v>
      </c>
      <c r="D976" s="355" t="s">
        <v>114</v>
      </c>
      <c r="E976" s="302" t="s">
        <v>122</v>
      </c>
      <c r="F976" s="307" t="s">
        <v>616</v>
      </c>
      <c r="G976" s="288">
        <f>12.05</f>
        <v>12.05</v>
      </c>
      <c r="H976" s="196">
        <f>IF(VLOOKUP(J976,'HOURLY RATES'!B$116:C$124,2,0)=0,$J$3,VLOOKUP(J976,'HOURLY RATES'!B$116:C$124,2,0))</f>
        <v>0.05</v>
      </c>
      <c r="I976" s="328">
        <f t="shared" si="943"/>
        <v>12.652500000000002</v>
      </c>
      <c r="J976" s="369" t="s">
        <v>19</v>
      </c>
      <c r="K976" s="368">
        <f t="shared" ref="K976" si="948">0.0343*1.5</f>
        <v>5.1449999999999996E-2</v>
      </c>
      <c r="L976" s="369">
        <f t="shared" si="944"/>
        <v>0.65097112499999998</v>
      </c>
      <c r="M976" s="185">
        <f>IF(VLOOKUP(E976,'HOURLY RATES'!C$6:D$105,2,0)=0,$E$3,VLOOKUP(E976,'HOURLY RATES'!C$6:D$105,2,0))</f>
        <v>41.141966250000003</v>
      </c>
      <c r="N976" s="197">
        <f t="shared" si="945"/>
        <v>26.782232054474534</v>
      </c>
      <c r="O976" s="296">
        <v>14.06</v>
      </c>
      <c r="P976" s="295">
        <f t="shared" si="946"/>
        <v>177.89415000000002</v>
      </c>
      <c r="Q976" s="297">
        <f t="shared" si="947"/>
        <v>204.67638205447457</v>
      </c>
      <c r="R976" s="190"/>
      <c r="X976" s="212"/>
    </row>
    <row r="977" spans="1:24" s="12" customFormat="1" ht="20.100000000000001" customHeight="1" x14ac:dyDescent="0.2">
      <c r="A977" s="298">
        <f>IF(J977&lt;&gt;"",1+MAX($A$18:A976),"")</f>
        <v>597</v>
      </c>
      <c r="B977" s="355" t="s">
        <v>570</v>
      </c>
      <c r="C977" s="355" t="s">
        <v>637</v>
      </c>
      <c r="D977" s="355" t="s">
        <v>114</v>
      </c>
      <c r="E977" s="302" t="s">
        <v>122</v>
      </c>
      <c r="F977" s="307" t="s">
        <v>617</v>
      </c>
      <c r="G977" s="288">
        <f>24.96</f>
        <v>24.96</v>
      </c>
      <c r="H977" s="196">
        <f>IF(VLOOKUP(J977,'HOURLY RATES'!B$116:C$124,2,0)=0,$J$3,VLOOKUP(J977,'HOURLY RATES'!B$116:C$124,2,0))</f>
        <v>0.05</v>
      </c>
      <c r="I977" s="328">
        <f t="shared" si="943"/>
        <v>26.208000000000002</v>
      </c>
      <c r="J977" s="369" t="s">
        <v>19</v>
      </c>
      <c r="K977" s="368">
        <f>0.0343*1.5</f>
        <v>5.1449999999999996E-2</v>
      </c>
      <c r="L977" s="369">
        <f t="shared" si="944"/>
        <v>1.3484016000000001</v>
      </c>
      <c r="M977" s="185">
        <f>IF(VLOOKUP(E977,'HOURLY RATES'!C$6:D$105,2,0)=0,$E$3,VLOOKUP(E977,'HOURLY RATES'!C$6:D$105,2,0))</f>
        <v>41.141966250000003</v>
      </c>
      <c r="N977" s="197">
        <f t="shared" si="945"/>
        <v>55.475893118646006</v>
      </c>
      <c r="O977" s="296">
        <v>14.06</v>
      </c>
      <c r="P977" s="295">
        <f t="shared" si="946"/>
        <v>368.48448000000002</v>
      </c>
      <c r="Q977" s="297">
        <f t="shared" si="947"/>
        <v>423.96037311864603</v>
      </c>
      <c r="R977" s="190"/>
      <c r="X977" s="212"/>
    </row>
    <row r="978" spans="1:24" s="12" customFormat="1" ht="20.100000000000001" customHeight="1" x14ac:dyDescent="0.2">
      <c r="A978" s="298">
        <f>IF(J978&lt;&gt;"",1+MAX($A$18:A977),"")</f>
        <v>598</v>
      </c>
      <c r="B978" s="355" t="s">
        <v>570</v>
      </c>
      <c r="C978" s="355" t="s">
        <v>608</v>
      </c>
      <c r="D978" s="355" t="s">
        <v>114</v>
      </c>
      <c r="E978" s="302" t="s">
        <v>122</v>
      </c>
      <c r="F978" s="307" t="s">
        <v>618</v>
      </c>
      <c r="G978" s="288">
        <f>6.05+2</f>
        <v>8.0500000000000007</v>
      </c>
      <c r="H978" s="196">
        <f>IF(VLOOKUP(J978,'HOURLY RATES'!B$116:C$124,2,0)=0,$J$3,VLOOKUP(J978,'HOURLY RATES'!B$116:C$124,2,0))</f>
        <v>0.05</v>
      </c>
      <c r="I978" s="328">
        <f t="shared" si="943"/>
        <v>8.4525000000000006</v>
      </c>
      <c r="J978" s="369" t="s">
        <v>19</v>
      </c>
      <c r="K978" s="368">
        <f>0.0251*6</f>
        <v>0.15060000000000001</v>
      </c>
      <c r="L978" s="369">
        <f t="shared" si="944"/>
        <v>1.2729465000000002</v>
      </c>
      <c r="M978" s="185">
        <f>IF(VLOOKUP(E978,'HOURLY RATES'!C$6:D$105,2,0)=0,$E$3,VLOOKUP(E978,'HOURLY RATES'!C$6:D$105,2,0))</f>
        <v>41.141966250000003</v>
      </c>
      <c r="N978" s="197">
        <f t="shared" si="945"/>
        <v>52.37152194105564</v>
      </c>
      <c r="O978" s="296">
        <v>9.99</v>
      </c>
      <c r="P978" s="295">
        <f t="shared" si="946"/>
        <v>84.440475000000006</v>
      </c>
      <c r="Q978" s="297">
        <f t="shared" si="947"/>
        <v>136.81199694105564</v>
      </c>
      <c r="R978" s="190"/>
      <c r="X978" s="212"/>
    </row>
    <row r="979" spans="1:24" s="12" customFormat="1" ht="20.100000000000001" customHeight="1" x14ac:dyDescent="0.2">
      <c r="A979" s="298">
        <f>IF(J979&lt;&gt;"",1+MAX($A$18:A978),"")</f>
        <v>599</v>
      </c>
      <c r="B979" s="355" t="s">
        <v>570</v>
      </c>
      <c r="C979" s="355" t="s">
        <v>638</v>
      </c>
      <c r="D979" s="355" t="s">
        <v>114</v>
      </c>
      <c r="E979" s="302" t="s">
        <v>122</v>
      </c>
      <c r="F979" s="307" t="s">
        <v>619</v>
      </c>
      <c r="G979" s="288">
        <f>6.04+2</f>
        <v>8.0399999999999991</v>
      </c>
      <c r="H979" s="196">
        <f>IF(VLOOKUP(J979,'HOURLY RATES'!B$116:C$124,2,0)=0,$J$3,VLOOKUP(J979,'HOURLY RATES'!B$116:C$124,2,0))</f>
        <v>0.05</v>
      </c>
      <c r="I979" s="328">
        <f t="shared" si="943"/>
        <v>8.4420000000000002</v>
      </c>
      <c r="J979" s="369" t="s">
        <v>19</v>
      </c>
      <c r="K979" s="368">
        <f>0.0251*4</f>
        <v>0.1004</v>
      </c>
      <c r="L979" s="369">
        <f t="shared" si="944"/>
        <v>0.84757680000000002</v>
      </c>
      <c r="M979" s="185">
        <f>IF(VLOOKUP(E979,'HOURLY RATES'!C$6:D$105,2,0)=0,$E$3,VLOOKUP(E979,'HOURLY RATES'!C$6:D$105,2,0))</f>
        <v>41.141966250000003</v>
      </c>
      <c r="N979" s="197">
        <f t="shared" si="945"/>
        <v>34.870976099883002</v>
      </c>
      <c r="O979" s="296">
        <v>5.96</v>
      </c>
      <c r="P979" s="295">
        <f t="shared" si="946"/>
        <v>50.314320000000002</v>
      </c>
      <c r="Q979" s="297">
        <f t="shared" si="947"/>
        <v>85.185296099883004</v>
      </c>
      <c r="R979" s="190"/>
      <c r="X979" s="212"/>
    </row>
    <row r="980" spans="1:24" s="12" customFormat="1" ht="20.100000000000001" customHeight="1" x14ac:dyDescent="0.2">
      <c r="A980" s="298" t="str">
        <f>IF(J980&lt;&gt;"",1+MAX($A$18:A979),"")</f>
        <v/>
      </c>
      <c r="B980" s="355"/>
      <c r="C980" s="355"/>
      <c r="D980" s="355"/>
      <c r="E980" s="302"/>
      <c r="F980" s="307"/>
      <c r="G980" s="288"/>
      <c r="H980" s="196"/>
      <c r="I980" s="328"/>
      <c r="J980" s="399"/>
      <c r="K980" s="368"/>
      <c r="L980" s="210"/>
      <c r="M980" s="185"/>
      <c r="N980" s="197"/>
      <c r="O980" s="296"/>
      <c r="P980" s="295"/>
      <c r="Q980" s="297"/>
      <c r="R980" s="190"/>
      <c r="X980" s="212"/>
    </row>
    <row r="981" spans="1:24" s="12" customFormat="1" x14ac:dyDescent="0.2">
      <c r="A981" s="298" t="str">
        <f>IF(J981&lt;&gt;"",1+MAX($A$18:A980),"")</f>
        <v/>
      </c>
      <c r="B981" s="355"/>
      <c r="C981" s="355"/>
      <c r="D981" s="355"/>
      <c r="E981" s="302"/>
      <c r="F981" s="313" t="s">
        <v>537</v>
      </c>
      <c r="G981" s="288"/>
      <c r="H981" s="196"/>
      <c r="I981" s="328"/>
      <c r="J981" s="399"/>
      <c r="K981" s="368"/>
      <c r="L981" s="210"/>
      <c r="M981" s="185"/>
      <c r="N981" s="197"/>
      <c r="O981" s="296"/>
      <c r="P981" s="295"/>
      <c r="Q981" s="297"/>
      <c r="R981" s="190"/>
      <c r="X981" s="212"/>
    </row>
    <row r="982" spans="1:24" s="12" customFormat="1" ht="39.6" customHeight="1" x14ac:dyDescent="0.2">
      <c r="A982" s="298">
        <f>IF(J982&lt;&gt;"",1+MAX($A$18:A981),"")</f>
        <v>600</v>
      </c>
      <c r="B982" s="355" t="s">
        <v>570</v>
      </c>
      <c r="C982" s="355" t="s">
        <v>639</v>
      </c>
      <c r="D982" s="355" t="s">
        <v>114</v>
      </c>
      <c r="E982" s="302" t="s">
        <v>122</v>
      </c>
      <c r="F982" s="307" t="s">
        <v>620</v>
      </c>
      <c r="G982" s="288">
        <v>2</v>
      </c>
      <c r="H982" s="196">
        <f>IF(VLOOKUP(J982,'HOURLY RATES'!B$116:C$124,2,0)=0,$J$3,VLOOKUP(J982,'HOURLY RATES'!B$116:C$124,2,0))</f>
        <v>0</v>
      </c>
      <c r="I982" s="328">
        <f t="shared" ref="I982" si="949">(G982*(1+H982))</f>
        <v>2</v>
      </c>
      <c r="J982" s="369" t="s">
        <v>16</v>
      </c>
      <c r="K982" s="368">
        <f>4.82*(0.67+5*3)/4</f>
        <v>18.882350000000002</v>
      </c>
      <c r="L982" s="369">
        <f t="shared" ref="L982" si="950">K982*I982</f>
        <v>37.764700000000005</v>
      </c>
      <c r="M982" s="185">
        <f>IF(VLOOKUP(E982,'HOURLY RATES'!C$6:D$105,2,0)=0,$E$3,VLOOKUP(E982,'HOURLY RATES'!C$6:D$105,2,0))</f>
        <v>41.141966250000003</v>
      </c>
      <c r="N982" s="197">
        <f t="shared" ref="N982" si="951">M982*L982</f>
        <v>1553.7140128413753</v>
      </c>
      <c r="O982" s="296">
        <f>984.27*5/3</f>
        <v>1640.45</v>
      </c>
      <c r="P982" s="295">
        <f t="shared" ref="P982" si="952">O982*I982</f>
        <v>3280.9</v>
      </c>
      <c r="Q982" s="297">
        <f t="shared" ref="Q982" si="953">P982+N982</f>
        <v>4834.6140128413754</v>
      </c>
      <c r="R982" s="190"/>
      <c r="X982" s="212"/>
    </row>
    <row r="983" spans="1:24" s="12" customFormat="1" ht="20.100000000000001" customHeight="1" x14ac:dyDescent="0.2">
      <c r="A983" s="298" t="str">
        <f>IF(J983&lt;&gt;"",1+MAX($A$18:A982),"")</f>
        <v/>
      </c>
      <c r="B983" s="355"/>
      <c r="C983" s="355"/>
      <c r="D983" s="355"/>
      <c r="E983" s="302"/>
      <c r="F983" s="307"/>
      <c r="G983" s="288"/>
      <c r="H983" s="196"/>
      <c r="I983" s="328"/>
      <c r="J983" s="369"/>
      <c r="K983" s="368"/>
      <c r="L983" s="210"/>
      <c r="M983" s="185"/>
      <c r="N983" s="197"/>
      <c r="O983" s="296"/>
      <c r="P983" s="295"/>
      <c r="Q983" s="297"/>
      <c r="R983" s="190"/>
      <c r="X983" s="212"/>
    </row>
    <row r="984" spans="1:24" s="12" customFormat="1" x14ac:dyDescent="0.2">
      <c r="A984" s="298" t="str">
        <f>IF(J984&lt;&gt;"",1+MAX($A$18:A983),"")</f>
        <v/>
      </c>
      <c r="B984" s="355"/>
      <c r="C984" s="355"/>
      <c r="D984" s="355"/>
      <c r="E984" s="302"/>
      <c r="F984" s="313" t="s">
        <v>621</v>
      </c>
      <c r="G984" s="288"/>
      <c r="H984" s="196"/>
      <c r="I984" s="328"/>
      <c r="J984" s="369"/>
      <c r="K984" s="368"/>
      <c r="L984" s="210"/>
      <c r="M984" s="185"/>
      <c r="N984" s="197"/>
      <c r="O984" s="296"/>
      <c r="P984" s="295"/>
      <c r="Q984" s="297"/>
      <c r="R984" s="190"/>
      <c r="X984" s="212"/>
    </row>
    <row r="985" spans="1:24" s="12" customFormat="1" ht="33" customHeight="1" x14ac:dyDescent="0.2">
      <c r="A985" s="298">
        <f>IF(J985&lt;&gt;"",1+MAX($A$18:A984),"")</f>
        <v>601</v>
      </c>
      <c r="B985" s="355" t="s">
        <v>570</v>
      </c>
      <c r="C985" s="355" t="s">
        <v>640</v>
      </c>
      <c r="D985" s="355" t="s">
        <v>114</v>
      </c>
      <c r="E985" s="302" t="s">
        <v>122</v>
      </c>
      <c r="F985" s="307" t="s">
        <v>622</v>
      </c>
      <c r="G985" s="288">
        <f>15.74</f>
        <v>15.74</v>
      </c>
      <c r="H985" s="196">
        <f>IF(VLOOKUP(J985,'HOURLY RATES'!B$116:C$124,2,0)=0,$J$3,VLOOKUP(J985,'HOURLY RATES'!B$116:C$124,2,0))</f>
        <v>0.05</v>
      </c>
      <c r="I985" s="328">
        <f t="shared" ref="I985" si="954">(G985*(1+H985))</f>
        <v>16.527000000000001</v>
      </c>
      <c r="J985" s="369" t="s">
        <v>19</v>
      </c>
      <c r="K985" s="368">
        <v>1.224</v>
      </c>
      <c r="L985" s="369">
        <f t="shared" ref="L985" si="955">K985*I985</f>
        <v>20.229048000000002</v>
      </c>
      <c r="M985" s="185">
        <f>IF(VLOOKUP(E985,'HOURLY RATES'!C$6:D$105,2,0)=0,$E$3,VLOOKUP(E985,'HOURLY RATES'!C$6:D$105,2,0))</f>
        <v>41.141966250000003</v>
      </c>
      <c r="N985" s="197">
        <f t="shared" ref="N985" si="956">M985*L985</f>
        <v>832.26281008563012</v>
      </c>
      <c r="O985" s="296">
        <f>277.99/(39.37/12)</f>
        <v>84.731521463042924</v>
      </c>
      <c r="P985" s="295">
        <f t="shared" ref="P985" si="957">O985*I985</f>
        <v>1400.3578552197105</v>
      </c>
      <c r="Q985" s="297">
        <f t="shared" ref="Q985" si="958">P985+N985</f>
        <v>2232.6206653053405</v>
      </c>
      <c r="R985" s="190"/>
      <c r="X985" s="212"/>
    </row>
    <row r="986" spans="1:24" s="12" customFormat="1" ht="20.100000000000001" customHeight="1" x14ac:dyDescent="0.2">
      <c r="A986" s="298" t="str">
        <f>IF(J986&lt;&gt;"",1+MAX($A$18:A985),"")</f>
        <v/>
      </c>
      <c r="B986" s="355"/>
      <c r="C986" s="355"/>
      <c r="D986" s="355"/>
      <c r="E986" s="302"/>
      <c r="F986" s="307"/>
      <c r="G986" s="288"/>
      <c r="H986" s="196"/>
      <c r="I986" s="328"/>
      <c r="J986" s="369"/>
      <c r="K986" s="368"/>
      <c r="L986" s="210"/>
      <c r="M986" s="185"/>
      <c r="N986" s="197"/>
      <c r="O986" s="296"/>
      <c r="P986" s="295"/>
      <c r="Q986" s="297"/>
      <c r="R986" s="190"/>
      <c r="X986" s="212"/>
    </row>
    <row r="987" spans="1:24" s="12" customFormat="1" x14ac:dyDescent="0.2">
      <c r="A987" s="298" t="str">
        <f>IF(J987&lt;&gt;"",1+MAX($A$18:A986),"")</f>
        <v/>
      </c>
      <c r="B987" s="355"/>
      <c r="C987" s="355"/>
      <c r="D987" s="355"/>
      <c r="E987" s="302"/>
      <c r="F987" s="313" t="s">
        <v>406</v>
      </c>
      <c r="G987" s="288"/>
      <c r="H987" s="196"/>
      <c r="I987" s="328"/>
      <c r="J987" s="369"/>
      <c r="K987" s="368"/>
      <c r="L987" s="210"/>
      <c r="M987" s="185"/>
      <c r="N987" s="197"/>
      <c r="O987" s="296"/>
      <c r="P987" s="295"/>
      <c r="Q987" s="297"/>
      <c r="R987" s="190"/>
      <c r="X987" s="212"/>
    </row>
    <row r="988" spans="1:24" s="12" customFormat="1" ht="20.100000000000001" customHeight="1" x14ac:dyDescent="0.2">
      <c r="A988" s="298">
        <f>IF(J988&lt;&gt;"",1+MAX($A$18:A987),"")</f>
        <v>602</v>
      </c>
      <c r="B988" s="355" t="s">
        <v>570</v>
      </c>
      <c r="C988" s="355" t="s">
        <v>641</v>
      </c>
      <c r="D988" s="355" t="s">
        <v>114</v>
      </c>
      <c r="E988" s="302" t="s">
        <v>122</v>
      </c>
      <c r="F988" s="307" t="s">
        <v>623</v>
      </c>
      <c r="G988" s="288">
        <v>1</v>
      </c>
      <c r="H988" s="196">
        <f>IF(VLOOKUP(J988,'HOURLY RATES'!B$116:C$124,2,0)=0,$J$3,VLOOKUP(J988,'HOURLY RATES'!B$116:C$124,2,0))</f>
        <v>0</v>
      </c>
      <c r="I988" s="328">
        <f t="shared" ref="I988:I989" si="959">(G988*(1+H988))</f>
        <v>1</v>
      </c>
      <c r="J988" s="369" t="s">
        <v>16</v>
      </c>
      <c r="K988" s="368">
        <f>4*0.95</f>
        <v>3.8</v>
      </c>
      <c r="L988" s="369">
        <f t="shared" ref="L988:L989" si="960">K988*I988</f>
        <v>3.8</v>
      </c>
      <c r="M988" s="185">
        <f>IF(VLOOKUP(E988,'HOURLY RATES'!C$6:D$105,2,0)=0,$E$3,VLOOKUP(E988,'HOURLY RATES'!C$6:D$105,2,0))</f>
        <v>41.141966250000003</v>
      </c>
      <c r="N988" s="197">
        <f t="shared" ref="N988:N989" si="961">M988*L988</f>
        <v>156.33947175</v>
      </c>
      <c r="O988" s="296">
        <v>169</v>
      </c>
      <c r="P988" s="295">
        <f t="shared" ref="P988:P989" si="962">O988*I988</f>
        <v>169</v>
      </c>
      <c r="Q988" s="297">
        <f t="shared" ref="Q988:Q989" si="963">P988+N988</f>
        <v>325.33947175000003</v>
      </c>
      <c r="R988" s="190"/>
      <c r="X988" s="212"/>
    </row>
    <row r="989" spans="1:24" s="12" customFormat="1" ht="20.100000000000001" customHeight="1" x14ac:dyDescent="0.2">
      <c r="A989" s="298">
        <f>IF(J989&lt;&gt;"",1+MAX($A$18:A988),"")</f>
        <v>603</v>
      </c>
      <c r="B989" s="355" t="s">
        <v>570</v>
      </c>
      <c r="C989" s="355" t="s">
        <v>641</v>
      </c>
      <c r="D989" s="355" t="s">
        <v>114</v>
      </c>
      <c r="E989" s="302" t="s">
        <v>122</v>
      </c>
      <c r="F989" s="307" t="s">
        <v>624</v>
      </c>
      <c r="G989" s="288">
        <v>1</v>
      </c>
      <c r="H989" s="196">
        <f>IF(VLOOKUP(J989,'HOURLY RATES'!B$116:C$124,2,0)=0,$J$3,VLOOKUP(J989,'HOURLY RATES'!B$116:C$124,2,0))</f>
        <v>0</v>
      </c>
      <c r="I989" s="328">
        <f t="shared" si="959"/>
        <v>1</v>
      </c>
      <c r="J989" s="369" t="s">
        <v>16</v>
      </c>
      <c r="K989" s="368">
        <f>4*0.95</f>
        <v>3.8</v>
      </c>
      <c r="L989" s="369">
        <f t="shared" si="960"/>
        <v>3.8</v>
      </c>
      <c r="M989" s="185">
        <f>IF(VLOOKUP(E989,'HOURLY RATES'!C$6:D$105,2,0)=0,$E$3,VLOOKUP(E989,'HOURLY RATES'!C$6:D$105,2,0))</f>
        <v>41.141966250000003</v>
      </c>
      <c r="N989" s="197">
        <f t="shared" si="961"/>
        <v>156.33947175</v>
      </c>
      <c r="O989" s="296">
        <v>169</v>
      </c>
      <c r="P989" s="295">
        <f t="shared" si="962"/>
        <v>169</v>
      </c>
      <c r="Q989" s="297">
        <f t="shared" si="963"/>
        <v>325.33947175000003</v>
      </c>
      <c r="R989" s="190"/>
      <c r="X989" s="212"/>
    </row>
    <row r="990" spans="1:24" s="12" customFormat="1" x14ac:dyDescent="0.2">
      <c r="A990" s="298" t="str">
        <f>IF(J990&lt;&gt;"",1+MAX($A$18:A989),"")</f>
        <v/>
      </c>
      <c r="B990" s="355"/>
      <c r="C990" s="355"/>
      <c r="D990" s="355"/>
      <c r="E990" s="302"/>
      <c r="F990" s="307"/>
      <c r="G990" s="288"/>
      <c r="H990" s="196"/>
      <c r="I990" s="328"/>
      <c r="J990" s="369"/>
      <c r="K990" s="368"/>
      <c r="L990" s="369"/>
      <c r="M990" s="185"/>
      <c r="N990" s="197"/>
      <c r="O990" s="296"/>
      <c r="P990" s="295"/>
      <c r="Q990" s="297"/>
      <c r="R990" s="190"/>
      <c r="X990" s="212"/>
    </row>
    <row r="991" spans="1:24" s="12" customFormat="1" x14ac:dyDescent="0.2">
      <c r="A991" s="298" t="str">
        <f>IF(J991&lt;&gt;"",1+MAX($A$18:A990),"")</f>
        <v/>
      </c>
      <c r="B991" s="355"/>
      <c r="C991" s="355"/>
      <c r="D991" s="355"/>
      <c r="E991" s="302"/>
      <c r="F991" s="313" t="s">
        <v>409</v>
      </c>
      <c r="G991" s="288"/>
      <c r="H991" s="196"/>
      <c r="I991" s="328"/>
      <c r="J991" s="369"/>
      <c r="K991" s="368"/>
      <c r="L991" s="210"/>
      <c r="M991" s="185"/>
      <c r="N991" s="197"/>
      <c r="O991" s="296"/>
      <c r="P991" s="295"/>
      <c r="Q991" s="297"/>
      <c r="R991" s="190"/>
      <c r="X991" s="212"/>
    </row>
    <row r="992" spans="1:24" s="12" customFormat="1" ht="20.100000000000001" customHeight="1" x14ac:dyDescent="0.2">
      <c r="A992" s="298">
        <f>IF(J992&lt;&gt;"",1+MAX($A$18:A991),"")</f>
        <v>604</v>
      </c>
      <c r="B992" s="355" t="s">
        <v>570</v>
      </c>
      <c r="C992" s="355" t="s">
        <v>641</v>
      </c>
      <c r="D992" s="355" t="s">
        <v>114</v>
      </c>
      <c r="E992" s="302" t="s">
        <v>122</v>
      </c>
      <c r="F992" s="307" t="s">
        <v>848</v>
      </c>
      <c r="G992" s="288">
        <v>1</v>
      </c>
      <c r="H992" s="196">
        <f>IF(VLOOKUP(J992,'HOURLY RATES'!B$116:C$124,2,0)=0,$J$3,VLOOKUP(J992,'HOURLY RATES'!B$116:C$124,2,0))</f>
        <v>0</v>
      </c>
      <c r="I992" s="328">
        <f t="shared" ref="I992:I995" si="964">(G992*(1+H992))</f>
        <v>1</v>
      </c>
      <c r="J992" s="369" t="s">
        <v>16</v>
      </c>
      <c r="K992" s="368">
        <v>2.3199999999999998</v>
      </c>
      <c r="L992" s="369">
        <f t="shared" ref="L992:L995" si="965">K992*I992</f>
        <v>2.3199999999999998</v>
      </c>
      <c r="M992" s="185">
        <f>IF(VLOOKUP(E992,'HOURLY RATES'!C$6:D$105,2,0)=0,$E$3,VLOOKUP(E992,'HOURLY RATES'!C$6:D$105,2,0))</f>
        <v>41.141966250000003</v>
      </c>
      <c r="N992" s="197">
        <f t="shared" ref="N992:N995" si="966">M992*L992</f>
        <v>95.449361699999997</v>
      </c>
      <c r="O992" s="296">
        <v>158</v>
      </c>
      <c r="P992" s="295">
        <f t="shared" ref="P992:P995" si="967">O992*I992</f>
        <v>158</v>
      </c>
      <c r="Q992" s="297">
        <f t="shared" ref="Q992:Q995" si="968">P992+N992</f>
        <v>253.4493617</v>
      </c>
      <c r="R992" s="190"/>
      <c r="X992" s="212"/>
    </row>
    <row r="993" spans="1:24" s="12" customFormat="1" ht="20.100000000000001" customHeight="1" x14ac:dyDescent="0.2">
      <c r="A993" s="298">
        <f>IF(J993&lt;&gt;"",1+MAX($A$18:A992),"")</f>
        <v>605</v>
      </c>
      <c r="B993" s="355" t="s">
        <v>570</v>
      </c>
      <c r="C993" s="355" t="s">
        <v>641</v>
      </c>
      <c r="D993" s="355" t="s">
        <v>114</v>
      </c>
      <c r="E993" s="302" t="s">
        <v>122</v>
      </c>
      <c r="F993" s="307" t="s">
        <v>849</v>
      </c>
      <c r="G993" s="288">
        <v>1</v>
      </c>
      <c r="H993" s="196">
        <f>IF(VLOOKUP(J993,'HOURLY RATES'!B$116:C$124,2,0)=0,$J$3,VLOOKUP(J993,'HOURLY RATES'!B$116:C$124,2,0))</f>
        <v>0</v>
      </c>
      <c r="I993" s="328">
        <f t="shared" si="964"/>
        <v>1</v>
      </c>
      <c r="J993" s="369" t="s">
        <v>16</v>
      </c>
      <c r="K993" s="368">
        <v>1.43</v>
      </c>
      <c r="L993" s="369">
        <f t="shared" si="965"/>
        <v>1.43</v>
      </c>
      <c r="M993" s="185">
        <f>IF(VLOOKUP(E993,'HOURLY RATES'!C$6:D$105,2,0)=0,$E$3,VLOOKUP(E993,'HOURLY RATES'!C$6:D$105,2,0))</f>
        <v>41.141966250000003</v>
      </c>
      <c r="N993" s="197">
        <f t="shared" si="966"/>
        <v>58.833011737500001</v>
      </c>
      <c r="O993" s="296">
        <v>76.599999999999994</v>
      </c>
      <c r="P993" s="295">
        <f t="shared" si="967"/>
        <v>76.599999999999994</v>
      </c>
      <c r="Q993" s="297">
        <f t="shared" si="968"/>
        <v>135.43301173750001</v>
      </c>
      <c r="R993" s="190"/>
      <c r="X993" s="212"/>
    </row>
    <row r="994" spans="1:24" s="12" customFormat="1" ht="20.100000000000001" customHeight="1" x14ac:dyDescent="0.2">
      <c r="A994" s="298">
        <f>IF(J994&lt;&gt;"",1+MAX($A$18:A993),"")</f>
        <v>606</v>
      </c>
      <c r="B994" s="355" t="s">
        <v>570</v>
      </c>
      <c r="C994" s="355" t="s">
        <v>641</v>
      </c>
      <c r="D994" s="355" t="s">
        <v>114</v>
      </c>
      <c r="E994" s="302" t="s">
        <v>122</v>
      </c>
      <c r="F994" s="307" t="s">
        <v>850</v>
      </c>
      <c r="G994" s="288">
        <v>1</v>
      </c>
      <c r="H994" s="196">
        <f>IF(VLOOKUP(J994,'HOURLY RATES'!B$116:C$124,2,0)=0,$J$3,VLOOKUP(J994,'HOURLY RATES'!B$116:C$124,2,0))</f>
        <v>0</v>
      </c>
      <c r="I994" s="328">
        <f t="shared" si="964"/>
        <v>1</v>
      </c>
      <c r="J994" s="369" t="s">
        <v>16</v>
      </c>
      <c r="K994" s="368">
        <v>3.54</v>
      </c>
      <c r="L994" s="369">
        <f t="shared" si="965"/>
        <v>3.54</v>
      </c>
      <c r="M994" s="185">
        <f>IF(VLOOKUP(E994,'HOURLY RATES'!C$6:D$105,2,0)=0,$E$3,VLOOKUP(E994,'HOURLY RATES'!C$6:D$105,2,0))</f>
        <v>41.141966250000003</v>
      </c>
      <c r="N994" s="197">
        <f t="shared" si="966"/>
        <v>145.64256052500002</v>
      </c>
      <c r="O994" s="296">
        <v>590</v>
      </c>
      <c r="P994" s="295">
        <f t="shared" si="967"/>
        <v>590</v>
      </c>
      <c r="Q994" s="297">
        <f t="shared" si="968"/>
        <v>735.64256052500002</v>
      </c>
      <c r="R994" s="190"/>
      <c r="X994" s="212"/>
    </row>
    <row r="995" spans="1:24" s="12" customFormat="1" ht="20.100000000000001" customHeight="1" x14ac:dyDescent="0.2">
      <c r="A995" s="298">
        <f>IF(J995&lt;&gt;"",1+MAX($A$18:A994),"")</f>
        <v>607</v>
      </c>
      <c r="B995" s="355" t="s">
        <v>570</v>
      </c>
      <c r="C995" s="355" t="s">
        <v>641</v>
      </c>
      <c r="D995" s="355" t="s">
        <v>114</v>
      </c>
      <c r="E995" s="302" t="s">
        <v>122</v>
      </c>
      <c r="F995" s="307" t="s">
        <v>851</v>
      </c>
      <c r="G995" s="288">
        <v>1</v>
      </c>
      <c r="H995" s="196">
        <f>IF(VLOOKUP(J995,'HOURLY RATES'!B$116:C$124,2,0)=0,$J$3,VLOOKUP(J995,'HOURLY RATES'!B$116:C$124,2,0))</f>
        <v>0</v>
      </c>
      <c r="I995" s="328">
        <f t="shared" si="964"/>
        <v>1</v>
      </c>
      <c r="J995" s="369" t="s">
        <v>16</v>
      </c>
      <c r="K995" s="368">
        <v>2.54</v>
      </c>
      <c r="L995" s="369">
        <f t="shared" si="965"/>
        <v>2.54</v>
      </c>
      <c r="M995" s="185">
        <f>IF(VLOOKUP(E995,'HOURLY RATES'!C$6:D$105,2,0)=0,$E$3,VLOOKUP(E995,'HOURLY RATES'!C$6:D$105,2,0))</f>
        <v>41.141966250000003</v>
      </c>
      <c r="N995" s="197">
        <f t="shared" si="966"/>
        <v>104.50059427500001</v>
      </c>
      <c r="O995" s="296">
        <v>212</v>
      </c>
      <c r="P995" s="295">
        <f t="shared" si="967"/>
        <v>212</v>
      </c>
      <c r="Q995" s="297">
        <f t="shared" si="968"/>
        <v>316.50059427500003</v>
      </c>
      <c r="R995" s="190"/>
      <c r="X995" s="212"/>
    </row>
    <row r="996" spans="1:24" s="12" customFormat="1" x14ac:dyDescent="0.2">
      <c r="A996" s="298" t="str">
        <f>IF(J996&lt;&gt;"",1+MAX($A$18:A995),"")</f>
        <v/>
      </c>
      <c r="B996" s="355"/>
      <c r="C996" s="355"/>
      <c r="D996" s="355"/>
      <c r="E996" s="302"/>
      <c r="F996" s="307"/>
      <c r="G996" s="288"/>
      <c r="H996" s="196"/>
      <c r="I996" s="328"/>
      <c r="J996" s="369"/>
      <c r="K996" s="368"/>
      <c r="L996" s="369"/>
      <c r="M996" s="185"/>
      <c r="N996" s="197"/>
      <c r="O996" s="296"/>
      <c r="P996" s="295"/>
      <c r="Q996" s="297"/>
      <c r="R996" s="190"/>
      <c r="X996" s="212"/>
    </row>
    <row r="997" spans="1:24" s="12" customFormat="1" x14ac:dyDescent="0.2">
      <c r="A997" s="298" t="str">
        <f>IF(J997&lt;&gt;"",1+MAX($A$18:A996),"")</f>
        <v/>
      </c>
      <c r="B997" s="355"/>
      <c r="C997" s="355"/>
      <c r="D997" s="355"/>
      <c r="E997" s="302"/>
      <c r="F997" s="313" t="s">
        <v>625</v>
      </c>
      <c r="G997" s="288"/>
      <c r="H997" s="196"/>
      <c r="I997" s="328"/>
      <c r="J997" s="369"/>
      <c r="K997" s="368"/>
      <c r="L997" s="210"/>
      <c r="M997" s="185"/>
      <c r="N997" s="197"/>
      <c r="O997" s="296"/>
      <c r="P997" s="295"/>
      <c r="Q997" s="297"/>
      <c r="R997" s="190"/>
      <c r="X997" s="212"/>
    </row>
    <row r="998" spans="1:24" s="12" customFormat="1" ht="20.100000000000001" customHeight="1" x14ac:dyDescent="0.2">
      <c r="A998" s="298">
        <f>IF(J998&lt;&gt;"",1+MAX($A$18:A997),"")</f>
        <v>608</v>
      </c>
      <c r="B998" s="355" t="s">
        <v>642</v>
      </c>
      <c r="C998" s="355"/>
      <c r="D998" s="355" t="s">
        <v>114</v>
      </c>
      <c r="E998" s="302" t="s">
        <v>122</v>
      </c>
      <c r="F998" s="307" t="s">
        <v>626</v>
      </c>
      <c r="G998" s="288">
        <v>1</v>
      </c>
      <c r="H998" s="196">
        <f>IF(VLOOKUP(J998,'HOURLY RATES'!B$116:C$124,2,0)=0,$J$3,VLOOKUP(J998,'HOURLY RATES'!B$116:C$124,2,0))</f>
        <v>0</v>
      </c>
      <c r="I998" s="328">
        <f t="shared" ref="I998:I1000" si="969">(G998*(1+H998))</f>
        <v>1</v>
      </c>
      <c r="J998" s="369" t="s">
        <v>16</v>
      </c>
      <c r="K998" s="368">
        <f>3.4*1.5</f>
        <v>5.0999999999999996</v>
      </c>
      <c r="L998" s="369">
        <f t="shared" ref="L998:L1000" si="970">K998*I998</f>
        <v>5.0999999999999996</v>
      </c>
      <c r="M998" s="185">
        <f>IF(VLOOKUP(E998,'HOURLY RATES'!C$6:D$105,2,0)=0,$E$3,VLOOKUP(E998,'HOURLY RATES'!C$6:D$105,2,0))</f>
        <v>41.141966250000003</v>
      </c>
      <c r="N998" s="197">
        <f t="shared" ref="N998:N1000" si="971">M998*L998</f>
        <v>209.82402787500001</v>
      </c>
      <c r="O998" s="296">
        <v>530</v>
      </c>
      <c r="P998" s="295">
        <f t="shared" ref="P998:P1000" si="972">O998*I998</f>
        <v>530</v>
      </c>
      <c r="Q998" s="297">
        <f t="shared" ref="Q998:Q1000" si="973">P998+N998</f>
        <v>739.82402787499996</v>
      </c>
      <c r="R998" s="190"/>
      <c r="X998" s="212"/>
    </row>
    <row r="999" spans="1:24" s="12" customFormat="1" ht="47.25" x14ac:dyDescent="0.2">
      <c r="A999" s="298">
        <f>IF(J999&lt;&gt;"",1+MAX($A$18:A998),"")</f>
        <v>609</v>
      </c>
      <c r="B999" s="355" t="s">
        <v>570</v>
      </c>
      <c r="C999" s="355" t="s">
        <v>641</v>
      </c>
      <c r="D999" s="355" t="s">
        <v>114</v>
      </c>
      <c r="E999" s="302" t="s">
        <v>122</v>
      </c>
      <c r="F999" s="307" t="s">
        <v>946</v>
      </c>
      <c r="G999" s="288">
        <v>1</v>
      </c>
      <c r="H999" s="196">
        <f>IF(VLOOKUP(J999,'HOURLY RATES'!B$116:C$124,2,0)=0,$J$3,VLOOKUP(J999,'HOURLY RATES'!B$116:C$124,2,0))</f>
        <v>0</v>
      </c>
      <c r="I999" s="328">
        <f t="shared" si="969"/>
        <v>1</v>
      </c>
      <c r="J999" s="369" t="s">
        <v>16</v>
      </c>
      <c r="K999" s="368">
        <v>8.6</v>
      </c>
      <c r="L999" s="369">
        <f t="shared" si="970"/>
        <v>8.6</v>
      </c>
      <c r="M999" s="185">
        <f>IF(VLOOKUP(E999,'HOURLY RATES'!C$6:D$105,2,0)=0,$E$3,VLOOKUP(E999,'HOURLY RATES'!C$6:D$105,2,0))</f>
        <v>41.141966250000003</v>
      </c>
      <c r="N999" s="197">
        <f t="shared" si="971"/>
        <v>353.82090975</v>
      </c>
      <c r="O999" s="296"/>
      <c r="P999" s="295">
        <f t="shared" si="972"/>
        <v>0</v>
      </c>
      <c r="Q999" s="297">
        <f t="shared" si="973"/>
        <v>353.82090975</v>
      </c>
      <c r="R999" s="190"/>
      <c r="X999" s="212"/>
    </row>
    <row r="1000" spans="1:24" s="12" customFormat="1" ht="20.100000000000001" customHeight="1" x14ac:dyDescent="0.2">
      <c r="A1000" s="298">
        <f>IF(J1000&lt;&gt;"",1+MAX($A$18:A999),"")</f>
        <v>610</v>
      </c>
      <c r="B1000" s="355" t="s">
        <v>570</v>
      </c>
      <c r="C1000" s="355" t="s">
        <v>641</v>
      </c>
      <c r="D1000" s="355" t="s">
        <v>114</v>
      </c>
      <c r="E1000" s="302" t="s">
        <v>122</v>
      </c>
      <c r="F1000" s="307" t="s">
        <v>627</v>
      </c>
      <c r="G1000" s="360">
        <f>(14.25*0.67/27)*1.1</f>
        <v>0.38897222222222227</v>
      </c>
      <c r="H1000" s="196">
        <f>IF(VLOOKUP(J1000,'HOURLY RATES'!B$116:C$124,2,0)=0,$J$3,VLOOKUP(J1000,'HOURLY RATES'!B$116:C$124,2,0))</f>
        <v>0.05</v>
      </c>
      <c r="I1000" s="328">
        <f t="shared" si="969"/>
        <v>0.4084208333333334</v>
      </c>
      <c r="J1000" s="369" t="s">
        <v>41</v>
      </c>
      <c r="K1000" s="368">
        <v>0.67500000000000004</v>
      </c>
      <c r="L1000" s="369">
        <f t="shared" si="970"/>
        <v>0.27568406250000005</v>
      </c>
      <c r="M1000" s="185">
        <f>IF(VLOOKUP(E1000,'HOURLY RATES'!C$6:D$105,2,0)=0,$E$3,VLOOKUP(E1000,'HOURLY RATES'!C$6:D$105,2,0))</f>
        <v>41.141966250000003</v>
      </c>
      <c r="N1000" s="197">
        <f t="shared" si="971"/>
        <v>11.342184395037894</v>
      </c>
      <c r="O1000" s="296">
        <f>32.5+0.1*M1000</f>
        <v>36.614196624999998</v>
      </c>
      <c r="P1000" s="295">
        <f t="shared" si="972"/>
        <v>14.954000697413022</v>
      </c>
      <c r="Q1000" s="297">
        <f t="shared" si="973"/>
        <v>26.296185092450916</v>
      </c>
      <c r="R1000" s="190"/>
      <c r="X1000" s="212"/>
    </row>
    <row r="1001" spans="1:24" s="12" customFormat="1" ht="20.100000000000001" customHeight="1" x14ac:dyDescent="0.2">
      <c r="A1001" s="298" t="str">
        <f>IF(J1001&lt;&gt;"",1+MAX($A$18:A1000),"")</f>
        <v/>
      </c>
      <c r="B1001" s="355"/>
      <c r="C1001" s="355"/>
      <c r="D1001" s="355"/>
      <c r="E1001" s="302"/>
      <c r="F1001" s="307"/>
      <c r="G1001" s="288"/>
      <c r="H1001" s="196"/>
      <c r="I1001" s="328"/>
      <c r="J1001" s="369"/>
      <c r="K1001" s="368"/>
      <c r="L1001" s="210"/>
      <c r="M1001" s="185"/>
      <c r="N1001" s="197"/>
      <c r="O1001" s="296"/>
      <c r="P1001" s="295"/>
      <c r="Q1001" s="297"/>
      <c r="R1001" s="190"/>
      <c r="X1001" s="212"/>
    </row>
    <row r="1002" spans="1:24" s="12" customFormat="1" x14ac:dyDescent="0.2">
      <c r="A1002" s="298" t="str">
        <f>IF(J1002&lt;&gt;"",1+MAX($A$18:A1001),"")</f>
        <v/>
      </c>
      <c r="B1002" s="355"/>
      <c r="C1002" s="355"/>
      <c r="D1002" s="355"/>
      <c r="E1002" s="302"/>
      <c r="F1002" s="313" t="s">
        <v>628</v>
      </c>
      <c r="G1002" s="288"/>
      <c r="H1002" s="196"/>
      <c r="I1002" s="328"/>
      <c r="J1002" s="369"/>
      <c r="K1002" s="368"/>
      <c r="L1002" s="210"/>
      <c r="M1002" s="185"/>
      <c r="N1002" s="197"/>
      <c r="O1002" s="296"/>
      <c r="P1002" s="295"/>
      <c r="Q1002" s="297"/>
      <c r="R1002" s="190"/>
      <c r="X1002" s="212"/>
    </row>
    <row r="1003" spans="1:24" s="12" customFormat="1" ht="20.100000000000001" customHeight="1" x14ac:dyDescent="0.2">
      <c r="A1003" s="298">
        <f>IF(J1003&lt;&gt;"",1+MAX($A$18:A1002),"")</f>
        <v>611</v>
      </c>
      <c r="B1003" s="355" t="s">
        <v>570</v>
      </c>
      <c r="C1003" s="355" t="s">
        <v>641</v>
      </c>
      <c r="D1003" s="355" t="s">
        <v>114</v>
      </c>
      <c r="E1003" s="302" t="s">
        <v>122</v>
      </c>
      <c r="F1003" s="307" t="s">
        <v>629</v>
      </c>
      <c r="G1003" s="288">
        <v>1</v>
      </c>
      <c r="H1003" s="196">
        <f>IF(VLOOKUP(J1003,'HOURLY RATES'!B$116:C$124,2,0)=0,$J$3,VLOOKUP(J1003,'HOURLY RATES'!B$116:C$124,2,0))</f>
        <v>0</v>
      </c>
      <c r="I1003" s="328">
        <f t="shared" ref="I1003:I1010" si="974">(G1003*(1+H1003))</f>
        <v>1</v>
      </c>
      <c r="J1003" s="369" t="s">
        <v>16</v>
      </c>
      <c r="K1003" s="368">
        <f>0.221*1.5*1.5</f>
        <v>0.49725000000000003</v>
      </c>
      <c r="L1003" s="369">
        <f t="shared" ref="L1003:L1010" si="975">K1003*I1003</f>
        <v>0.49725000000000003</v>
      </c>
      <c r="M1003" s="185">
        <f>IF(VLOOKUP(E1003,'HOURLY RATES'!C$6:D$105,2,0)=0,$E$3,VLOOKUP(E1003,'HOURLY RATES'!C$6:D$105,2,0))</f>
        <v>41.141966250000003</v>
      </c>
      <c r="N1003" s="197">
        <f t="shared" ref="N1003:N1010" si="976">M1003*L1003</f>
        <v>20.457842717812504</v>
      </c>
      <c r="O1003" s="296">
        <v>35.99</v>
      </c>
      <c r="P1003" s="295">
        <f t="shared" ref="P1003:P1010" si="977">O1003*I1003</f>
        <v>35.99</v>
      </c>
      <c r="Q1003" s="297">
        <f t="shared" ref="Q1003:Q1010" si="978">P1003+N1003</f>
        <v>56.447842717812506</v>
      </c>
      <c r="R1003" s="190"/>
      <c r="X1003" s="212"/>
    </row>
    <row r="1004" spans="1:24" s="12" customFormat="1" ht="39.6" customHeight="1" x14ac:dyDescent="0.2">
      <c r="A1004" s="298">
        <f>IF(J1004&lt;&gt;"",1+MAX($A$18:A1003),"")</f>
        <v>612</v>
      </c>
      <c r="B1004" s="355" t="s">
        <v>570</v>
      </c>
      <c r="C1004" s="355" t="s">
        <v>641</v>
      </c>
      <c r="D1004" s="355" t="s">
        <v>114</v>
      </c>
      <c r="E1004" s="302" t="s">
        <v>122</v>
      </c>
      <c r="F1004" s="314" t="s">
        <v>630</v>
      </c>
      <c r="G1004" s="288">
        <v>1</v>
      </c>
      <c r="H1004" s="196">
        <f>IF(VLOOKUP(J1004,'HOURLY RATES'!B$116:C$124,2,0)=0,$J$3,VLOOKUP(J1004,'HOURLY RATES'!B$116:C$124,2,0))</f>
        <v>0</v>
      </c>
      <c r="I1004" s="328">
        <f t="shared" si="974"/>
        <v>1</v>
      </c>
      <c r="J1004" s="369" t="s">
        <v>16</v>
      </c>
      <c r="K1004" s="368">
        <f>0.35*1.5*6</f>
        <v>3.1499999999999995</v>
      </c>
      <c r="L1004" s="369">
        <f t="shared" si="975"/>
        <v>3.1499999999999995</v>
      </c>
      <c r="M1004" s="185">
        <f>IF(VLOOKUP(E1004,'HOURLY RATES'!C$6:D$105,2,0)=0,$E$3,VLOOKUP(E1004,'HOURLY RATES'!C$6:D$105,2,0))</f>
        <v>41.141966250000003</v>
      </c>
      <c r="N1004" s="197">
        <f t="shared" si="976"/>
        <v>129.59719368749998</v>
      </c>
      <c r="O1004" s="296">
        <v>25.12</v>
      </c>
      <c r="P1004" s="295">
        <f t="shared" si="977"/>
        <v>25.12</v>
      </c>
      <c r="Q1004" s="297">
        <f t="shared" si="978"/>
        <v>154.71719368749999</v>
      </c>
      <c r="R1004" s="190"/>
      <c r="X1004" s="212"/>
    </row>
    <row r="1005" spans="1:24" s="12" customFormat="1" ht="55.9" customHeight="1" x14ac:dyDescent="0.2">
      <c r="A1005" s="298">
        <f>IF(J1005&lt;&gt;"",1+MAX($A$18:A1004),"")</f>
        <v>613</v>
      </c>
      <c r="B1005" s="355" t="s">
        <v>570</v>
      </c>
      <c r="C1005" s="355" t="s">
        <v>608</v>
      </c>
      <c r="D1005" s="355" t="s">
        <v>114</v>
      </c>
      <c r="E1005" s="302" t="s">
        <v>122</v>
      </c>
      <c r="F1005" s="314" t="s">
        <v>631</v>
      </c>
      <c r="G1005" s="288">
        <v>1</v>
      </c>
      <c r="H1005" s="196">
        <f>IF(VLOOKUP(J1005,'HOURLY RATES'!B$116:C$124,2,0)=0,$J$3,VLOOKUP(J1005,'HOURLY RATES'!B$116:C$124,2,0))</f>
        <v>0</v>
      </c>
      <c r="I1005" s="328">
        <f t="shared" si="974"/>
        <v>1</v>
      </c>
      <c r="J1005" s="369" t="s">
        <v>16</v>
      </c>
      <c r="K1005" s="368">
        <f>0.221*12*6+1.25*6+0.35*12*6</f>
        <v>48.611999999999995</v>
      </c>
      <c r="L1005" s="369">
        <f t="shared" si="975"/>
        <v>48.611999999999995</v>
      </c>
      <c r="M1005" s="185">
        <f>IF(VLOOKUP(E1005,'HOURLY RATES'!C$6:D$105,2,0)=0,$E$3,VLOOKUP(E1005,'HOURLY RATES'!C$6:D$105,2,0))</f>
        <v>41.141966250000003</v>
      </c>
      <c r="N1005" s="197">
        <f t="shared" si="976"/>
        <v>1999.9932633449998</v>
      </c>
      <c r="O1005" s="296">
        <f>566.08+31.96+379.11</f>
        <v>977.15000000000009</v>
      </c>
      <c r="P1005" s="295">
        <f t="shared" si="977"/>
        <v>977.15000000000009</v>
      </c>
      <c r="Q1005" s="297">
        <f t="shared" si="978"/>
        <v>2977.1432633449999</v>
      </c>
      <c r="R1005" s="190"/>
      <c r="X1005" s="212"/>
    </row>
    <row r="1006" spans="1:24" s="12" customFormat="1" ht="46.9" customHeight="1" x14ac:dyDescent="0.2">
      <c r="A1006" s="298">
        <f>IF(J1006&lt;&gt;"",1+MAX($A$18:A1005),"")</f>
        <v>614</v>
      </c>
      <c r="B1006" s="355" t="s">
        <v>570</v>
      </c>
      <c r="C1006" s="355" t="s">
        <v>638</v>
      </c>
      <c r="D1006" s="355" t="s">
        <v>114</v>
      </c>
      <c r="E1006" s="302" t="s">
        <v>122</v>
      </c>
      <c r="F1006" s="314" t="s">
        <v>632</v>
      </c>
      <c r="G1006" s="288">
        <v>1</v>
      </c>
      <c r="H1006" s="196">
        <f>IF(VLOOKUP(J1006,'HOURLY RATES'!B$116:C$124,2,0)=0,$J$3,VLOOKUP(J1006,'HOURLY RATES'!B$116:C$124,2,0))</f>
        <v>0</v>
      </c>
      <c r="I1006" s="328">
        <f t="shared" si="974"/>
        <v>1</v>
      </c>
      <c r="J1006" s="369" t="s">
        <v>16</v>
      </c>
      <c r="K1006" s="368">
        <f>1.25*4+0.221*12*4+0.35*15*4</f>
        <v>36.608000000000004</v>
      </c>
      <c r="L1006" s="369">
        <f t="shared" si="975"/>
        <v>36.608000000000004</v>
      </c>
      <c r="M1006" s="185">
        <f>IF(VLOOKUP(E1006,'HOURLY RATES'!C$6:D$105,2,0)=0,$E$3,VLOOKUP(E1006,'HOURLY RATES'!C$6:D$105,2,0))</f>
        <v>41.141966250000003</v>
      </c>
      <c r="N1006" s="197">
        <f t="shared" si="976"/>
        <v>1506.1251004800004</v>
      </c>
      <c r="O1006" s="296">
        <f>12.44+459.16+321.45</f>
        <v>793.05</v>
      </c>
      <c r="P1006" s="295">
        <f t="shared" si="977"/>
        <v>793.05</v>
      </c>
      <c r="Q1006" s="297">
        <f t="shared" si="978"/>
        <v>2299.1751004800003</v>
      </c>
      <c r="R1006" s="190"/>
      <c r="X1006" s="212"/>
    </row>
    <row r="1007" spans="1:24" s="12" customFormat="1" ht="20.100000000000001" customHeight="1" x14ac:dyDescent="0.2">
      <c r="A1007" s="298">
        <f>IF(J1007&lt;&gt;"",1+MAX($A$18:A1006),"")</f>
        <v>615</v>
      </c>
      <c r="B1007" s="355" t="s">
        <v>570</v>
      </c>
      <c r="C1007" s="355" t="s">
        <v>643</v>
      </c>
      <c r="D1007" s="355" t="s">
        <v>114</v>
      </c>
      <c r="E1007" s="302" t="s">
        <v>122</v>
      </c>
      <c r="F1007" s="314" t="s">
        <v>633</v>
      </c>
      <c r="G1007" s="288">
        <v>2</v>
      </c>
      <c r="H1007" s="196">
        <f>IF(VLOOKUP(J1007,'HOURLY RATES'!B$116:C$124,2,0)=0,$J$3,VLOOKUP(J1007,'HOURLY RATES'!B$116:C$124,2,0))</f>
        <v>0</v>
      </c>
      <c r="I1007" s="328">
        <f t="shared" si="974"/>
        <v>2</v>
      </c>
      <c r="J1007" s="369" t="s">
        <v>16</v>
      </c>
      <c r="K1007" s="368">
        <f>1.25*4</f>
        <v>5</v>
      </c>
      <c r="L1007" s="369">
        <f t="shared" si="975"/>
        <v>10</v>
      </c>
      <c r="M1007" s="185">
        <f>IF(VLOOKUP(E1007,'HOURLY RATES'!C$6:D$105,2,0)=0,$E$3,VLOOKUP(E1007,'HOURLY RATES'!C$6:D$105,2,0))</f>
        <v>41.141966250000003</v>
      </c>
      <c r="N1007" s="197">
        <f t="shared" si="976"/>
        <v>411.41966250000002</v>
      </c>
      <c r="O1007" s="296">
        <v>50</v>
      </c>
      <c r="P1007" s="295">
        <f t="shared" si="977"/>
        <v>100</v>
      </c>
      <c r="Q1007" s="297">
        <f t="shared" si="978"/>
        <v>511.41966250000002</v>
      </c>
      <c r="R1007" s="190"/>
      <c r="X1007" s="212"/>
    </row>
    <row r="1008" spans="1:24" s="12" customFormat="1" ht="20.100000000000001" customHeight="1" x14ac:dyDescent="0.2">
      <c r="A1008" s="298">
        <f>IF(J1008&lt;&gt;"",1+MAX($A$18:A1007),"")</f>
        <v>616</v>
      </c>
      <c r="B1008" s="355" t="s">
        <v>570</v>
      </c>
      <c r="C1008" s="355" t="s">
        <v>640</v>
      </c>
      <c r="D1008" s="355" t="s">
        <v>114</v>
      </c>
      <c r="E1008" s="302" t="s">
        <v>122</v>
      </c>
      <c r="F1008" s="314" t="s">
        <v>634</v>
      </c>
      <c r="G1008" s="288">
        <v>1</v>
      </c>
      <c r="H1008" s="196">
        <f>IF(VLOOKUP(J1008,'HOURLY RATES'!B$116:C$124,2,0)=0,$J$3,VLOOKUP(J1008,'HOURLY RATES'!B$116:C$124,2,0))</f>
        <v>0</v>
      </c>
      <c r="I1008" s="328">
        <f t="shared" si="974"/>
        <v>1</v>
      </c>
      <c r="J1008" s="369" t="s">
        <v>16</v>
      </c>
      <c r="K1008" s="368">
        <f>1.25*4</f>
        <v>5</v>
      </c>
      <c r="L1008" s="369">
        <f t="shared" si="975"/>
        <v>5</v>
      </c>
      <c r="M1008" s="185">
        <f>IF(VLOOKUP(E1008,'HOURLY RATES'!C$6:D$105,2,0)=0,$E$3,VLOOKUP(E1008,'HOURLY RATES'!C$6:D$105,2,0))</f>
        <v>41.141966250000003</v>
      </c>
      <c r="N1008" s="197">
        <f t="shared" si="976"/>
        <v>205.70983125000001</v>
      </c>
      <c r="O1008" s="296">
        <v>50</v>
      </c>
      <c r="P1008" s="295">
        <f t="shared" si="977"/>
        <v>50</v>
      </c>
      <c r="Q1008" s="297">
        <f t="shared" si="978"/>
        <v>255.70983125000001</v>
      </c>
      <c r="R1008" s="190"/>
      <c r="X1008" s="212"/>
    </row>
    <row r="1009" spans="1:24" s="12" customFormat="1" ht="20.100000000000001" customHeight="1" x14ac:dyDescent="0.2">
      <c r="A1009" s="298">
        <f>IF(J1009&lt;&gt;"",1+MAX($A$18:A1008),"")</f>
        <v>617</v>
      </c>
      <c r="B1009" s="355" t="s">
        <v>570</v>
      </c>
      <c r="C1009" s="355" t="s">
        <v>641</v>
      </c>
      <c r="D1009" s="355" t="s">
        <v>114</v>
      </c>
      <c r="E1009" s="302" t="s">
        <v>122</v>
      </c>
      <c r="F1009" s="314" t="s">
        <v>635</v>
      </c>
      <c r="G1009" s="288">
        <v>2</v>
      </c>
      <c r="H1009" s="196">
        <f>IF(VLOOKUP(J1009,'HOURLY RATES'!B$116:C$124,2,0)=0,$J$3,VLOOKUP(J1009,'HOURLY RATES'!B$116:C$124,2,0))</f>
        <v>0</v>
      </c>
      <c r="I1009" s="328">
        <f t="shared" si="974"/>
        <v>2</v>
      </c>
      <c r="J1009" s="369" t="s">
        <v>16</v>
      </c>
      <c r="K1009" s="368">
        <f>1.25*4</f>
        <v>5</v>
      </c>
      <c r="L1009" s="369">
        <f t="shared" si="975"/>
        <v>10</v>
      </c>
      <c r="M1009" s="185">
        <f>IF(VLOOKUP(E1009,'HOURLY RATES'!C$6:D$105,2,0)=0,$E$3,VLOOKUP(E1009,'HOURLY RATES'!C$6:D$105,2,0))</f>
        <v>41.141966250000003</v>
      </c>
      <c r="N1009" s="197">
        <f t="shared" si="976"/>
        <v>411.41966250000002</v>
      </c>
      <c r="O1009" s="296">
        <v>14.45</v>
      </c>
      <c r="P1009" s="295">
        <f t="shared" si="977"/>
        <v>28.9</v>
      </c>
      <c r="Q1009" s="297">
        <f t="shared" si="978"/>
        <v>440.31966249999999</v>
      </c>
      <c r="R1009" s="190"/>
      <c r="X1009" s="212"/>
    </row>
    <row r="1010" spans="1:24" s="12" customFormat="1" ht="20.100000000000001" customHeight="1" x14ac:dyDescent="0.2">
      <c r="A1010" s="298">
        <f>IF(J1010&lt;&gt;"",1+MAX($A$18:A1009),"")</f>
        <v>618</v>
      </c>
      <c r="B1010" s="355" t="s">
        <v>570</v>
      </c>
      <c r="C1010" s="355" t="s">
        <v>641</v>
      </c>
      <c r="D1010" s="355" t="s">
        <v>114</v>
      </c>
      <c r="E1010" s="302" t="s">
        <v>122</v>
      </c>
      <c r="F1010" s="314" t="s">
        <v>636</v>
      </c>
      <c r="G1010" s="288">
        <v>2</v>
      </c>
      <c r="H1010" s="196">
        <f>IF(VLOOKUP(J1010,'HOURLY RATES'!B$116:C$124,2,0)=0,$J$3,VLOOKUP(J1010,'HOURLY RATES'!B$116:C$124,2,0))</f>
        <v>0</v>
      </c>
      <c r="I1010" s="328">
        <f t="shared" si="974"/>
        <v>2</v>
      </c>
      <c r="J1010" s="369" t="s">
        <v>16</v>
      </c>
      <c r="K1010" s="368">
        <f>1.25*6</f>
        <v>7.5</v>
      </c>
      <c r="L1010" s="369">
        <f t="shared" si="975"/>
        <v>15</v>
      </c>
      <c r="M1010" s="185">
        <f>IF(VLOOKUP(E1010,'HOURLY RATES'!C$6:D$105,2,0)=0,$E$3,VLOOKUP(E1010,'HOURLY RATES'!C$6:D$105,2,0))</f>
        <v>41.141966250000003</v>
      </c>
      <c r="N1010" s="197">
        <f t="shared" si="976"/>
        <v>617.12949375000005</v>
      </c>
      <c r="O1010" s="296">
        <v>34.770000000000003</v>
      </c>
      <c r="P1010" s="295">
        <f t="shared" si="977"/>
        <v>69.540000000000006</v>
      </c>
      <c r="Q1010" s="297">
        <f t="shared" si="978"/>
        <v>686.66949375000002</v>
      </c>
      <c r="R1010" s="190"/>
      <c r="X1010" s="212"/>
    </row>
    <row r="1011" spans="1:24" s="12" customFormat="1" x14ac:dyDescent="0.2">
      <c r="A1011" s="298" t="str">
        <f>IF(J1011&lt;&gt;"",1+MAX($A$18:A1010),"")</f>
        <v/>
      </c>
      <c r="B1011" s="355"/>
      <c r="C1011" s="355"/>
      <c r="D1011" s="355"/>
      <c r="E1011" s="302"/>
      <c r="F1011" s="307"/>
      <c r="G1011" s="288"/>
      <c r="H1011" s="196"/>
      <c r="I1011" s="328"/>
      <c r="J1011" s="399"/>
      <c r="K1011" s="368"/>
      <c r="L1011" s="210"/>
      <c r="M1011" s="185"/>
      <c r="N1011" s="197"/>
      <c r="O1011" s="296"/>
      <c r="P1011" s="295"/>
      <c r="Q1011" s="297"/>
      <c r="R1011" s="190"/>
      <c r="X1011" s="212"/>
    </row>
    <row r="1012" spans="1:24" s="12" customFormat="1" x14ac:dyDescent="0.2">
      <c r="A1012" s="298" t="str">
        <f>IF(J1012&lt;&gt;"",1+MAX($A$18:A1011),"")</f>
        <v/>
      </c>
      <c r="B1012" s="355"/>
      <c r="C1012" s="355"/>
      <c r="D1012" s="355"/>
      <c r="E1012" s="302"/>
      <c r="F1012" s="313" t="s">
        <v>842</v>
      </c>
      <c r="G1012" s="288"/>
      <c r="H1012" s="196"/>
      <c r="I1012" s="328"/>
      <c r="J1012" s="399"/>
      <c r="K1012" s="368"/>
      <c r="L1012" s="210"/>
      <c r="M1012" s="185"/>
      <c r="N1012" s="197"/>
      <c r="O1012" s="296"/>
      <c r="P1012" s="295"/>
      <c r="Q1012" s="297"/>
      <c r="R1012" s="190"/>
      <c r="X1012" s="212"/>
    </row>
    <row r="1013" spans="1:24" s="12" customFormat="1" ht="20.100000000000001" customHeight="1" x14ac:dyDescent="0.2">
      <c r="A1013" s="298">
        <f>IF(J1013&lt;&gt;"",1+MAX($A$18:A1012),"")</f>
        <v>619</v>
      </c>
      <c r="B1013" s="355" t="s">
        <v>716</v>
      </c>
      <c r="C1013" s="355" t="s">
        <v>716</v>
      </c>
      <c r="D1013" s="355" t="s">
        <v>114</v>
      </c>
      <c r="E1013" s="302" t="s">
        <v>122</v>
      </c>
      <c r="F1013" s="307" t="s">
        <v>841</v>
      </c>
      <c r="G1013" s="288">
        <v>276.75</v>
      </c>
      <c r="H1013" s="196">
        <f>IF(VLOOKUP(J1013,'HOURLY RATES'!B$116:C$124,2,0)=0,$J$3,VLOOKUP(J1013,'HOURLY RATES'!B$116:C$124,2,0))</f>
        <v>0.05</v>
      </c>
      <c r="I1013" s="328">
        <f t="shared" ref="I1013" si="979">(G1013*(1+H1013))</f>
        <v>290.58750000000003</v>
      </c>
      <c r="J1013" s="369" t="s">
        <v>19</v>
      </c>
      <c r="K1013" s="368">
        <f>0.0251*4</f>
        <v>0.1004</v>
      </c>
      <c r="L1013" s="369">
        <f t="shared" ref="L1013" si="980">K1013*I1013</f>
        <v>29.174985000000003</v>
      </c>
      <c r="M1013" s="185">
        <f>IF(VLOOKUP(E1013,'HOURLY RATES'!C$6:D$105,2,0)=0,$E$3,VLOOKUP(E1013,'HOURLY RATES'!C$6:D$105,2,0))</f>
        <v>41.141966250000003</v>
      </c>
      <c r="N1013" s="197">
        <f t="shared" ref="N1013" si="981">M1013*L1013</f>
        <v>1200.3162482142566</v>
      </c>
      <c r="O1013" s="296">
        <f>36.19/10</f>
        <v>3.6189999999999998</v>
      </c>
      <c r="P1013" s="295">
        <f t="shared" ref="P1013" si="982">O1013*I1013</f>
        <v>1051.6361625</v>
      </c>
      <c r="Q1013" s="297">
        <f t="shared" ref="Q1013" si="983">P1013+N1013</f>
        <v>2251.9524107142565</v>
      </c>
      <c r="R1013" s="190"/>
      <c r="X1013" s="212"/>
    </row>
    <row r="1014" spans="1:24" s="12" customFormat="1" ht="16.5" thickBot="1" x14ac:dyDescent="0.25">
      <c r="A1014" s="214" t="str">
        <f>IF(J1014&lt;&gt;"",1+MAX($A$14:A829),"")</f>
        <v/>
      </c>
      <c r="B1014" s="215"/>
      <c r="C1014" s="215"/>
      <c r="D1014" s="215"/>
      <c r="E1014" s="215"/>
      <c r="F1014" s="216"/>
      <c r="G1014" s="217"/>
      <c r="H1014" s="218"/>
      <c r="I1014" s="219"/>
      <c r="J1014" s="400"/>
      <c r="K1014" s="390"/>
      <c r="L1014" s="222"/>
      <c r="M1014" s="223"/>
      <c r="N1014" s="224"/>
      <c r="O1014" s="392"/>
      <c r="P1014" s="401"/>
      <c r="Q1014" s="402"/>
      <c r="R1014" s="228"/>
      <c r="X1014" s="212"/>
    </row>
    <row r="1015" spans="1:24" ht="16.5" thickBot="1" x14ac:dyDescent="0.25">
      <c r="A1015" s="442" t="s">
        <v>4</v>
      </c>
      <c r="B1015" s="443"/>
      <c r="C1015" s="23"/>
      <c r="D1015" s="23"/>
      <c r="E1015" s="150"/>
      <c r="F1015" s="387"/>
      <c r="G1015" s="24"/>
      <c r="H1015" s="24"/>
      <c r="I1015" s="24"/>
      <c r="J1015" s="25"/>
      <c r="K1015" s="26" t="s">
        <v>127</v>
      </c>
      <c r="L1015" s="270">
        <f>SUM(L18:L1014)</f>
        <v>9947.865164956107</v>
      </c>
      <c r="M1015" s="25" t="s">
        <v>25</v>
      </c>
      <c r="N1015" s="248">
        <f>SUM(N18:N1014)</f>
        <v>337639.61509120936</v>
      </c>
      <c r="O1015" s="25" t="s">
        <v>24</v>
      </c>
      <c r="P1015" s="248">
        <f>SUM(P18:P1014)</f>
        <v>408048.42517871491</v>
      </c>
      <c r="Q1015" s="229">
        <f>SUM(Q18:Q1014)</f>
        <v>745688.04026992514</v>
      </c>
      <c r="R1015" s="229">
        <f>SUM(R18:R1014)</f>
        <v>745688.04026992444</v>
      </c>
    </row>
    <row r="1016" spans="1:24" ht="17.25" thickTop="1" thickBot="1" x14ac:dyDescent="0.25">
      <c r="A1016" s="444" t="s">
        <v>160</v>
      </c>
      <c r="B1016" s="445"/>
      <c r="C1016" s="230"/>
      <c r="D1016" s="230"/>
      <c r="E1016" s="231"/>
      <c r="F1016" s="388"/>
      <c r="G1016" s="232"/>
      <c r="H1016" s="232"/>
      <c r="I1016" s="232"/>
      <c r="J1016" s="230"/>
      <c r="K1016" s="230"/>
      <c r="L1016" s="230"/>
      <c r="M1016" s="258">
        <f>D5</f>
        <v>9.5000000000000001E-2</v>
      </c>
      <c r="N1016" s="233"/>
      <c r="O1016" s="233"/>
      <c r="P1016" s="233">
        <f>P1015*M1016</f>
        <v>38764.600391977918</v>
      </c>
      <c r="Q1016" s="233">
        <f>P1016+N1016</f>
        <v>38764.600391977918</v>
      </c>
      <c r="R1016" s="234">
        <f>Q1016</f>
        <v>38764.600391977918</v>
      </c>
    </row>
    <row r="1017" spans="1:24" ht="17.25" thickTop="1" thickBot="1" x14ac:dyDescent="0.25">
      <c r="A1017" s="256" t="s">
        <v>272</v>
      </c>
      <c r="B1017" s="257"/>
      <c r="C1017" s="230"/>
      <c r="D1017" s="230"/>
      <c r="E1017" s="231"/>
      <c r="F1017" s="388"/>
      <c r="G1017" s="232"/>
      <c r="H1017" s="232"/>
      <c r="I1017" s="232"/>
      <c r="J1017" s="230"/>
      <c r="K1017" s="230"/>
      <c r="L1017" s="230"/>
      <c r="M1017" s="259">
        <f>D6</f>
        <v>0</v>
      </c>
      <c r="N1017" s="233"/>
      <c r="O1017" s="233"/>
      <c r="P1017" s="233">
        <f>P1015*M1017</f>
        <v>0</v>
      </c>
      <c r="Q1017" s="233">
        <f>P1017+N1017</f>
        <v>0</v>
      </c>
      <c r="R1017" s="234">
        <f>Q1017</f>
        <v>0</v>
      </c>
    </row>
    <row r="1018" spans="1:24" ht="17.25" thickTop="1" thickBot="1" x14ac:dyDescent="0.25">
      <c r="A1018" s="256" t="s">
        <v>273</v>
      </c>
      <c r="B1018" s="257"/>
      <c r="C1018" s="230"/>
      <c r="D1018" s="230"/>
      <c r="E1018" s="231"/>
      <c r="F1018" s="388"/>
      <c r="G1018" s="232"/>
      <c r="H1018" s="232"/>
      <c r="I1018" s="232"/>
      <c r="J1018" s="230"/>
      <c r="K1018" s="230"/>
      <c r="L1018" s="230"/>
      <c r="M1018" s="259">
        <f>D7</f>
        <v>0.2</v>
      </c>
      <c r="N1018" s="233">
        <f>N1015*M1018</f>
        <v>67527.923018241869</v>
      </c>
      <c r="O1018" s="233"/>
      <c r="P1018" s="233"/>
      <c r="Q1018" s="233">
        <f t="shared" ref="Q1018:Q1020" si="984">P1018+N1018</f>
        <v>67527.923018241869</v>
      </c>
      <c r="R1018" s="234">
        <f>Q1018</f>
        <v>67527.923018241869</v>
      </c>
    </row>
    <row r="1019" spans="1:24" ht="17.25" thickTop="1" thickBot="1" x14ac:dyDescent="0.25">
      <c r="A1019" s="444" t="s">
        <v>268</v>
      </c>
      <c r="B1019" s="445"/>
      <c r="C1019" s="230"/>
      <c r="D1019" s="230"/>
      <c r="E1019" s="231"/>
      <c r="F1019" s="388"/>
      <c r="G1019" s="232"/>
      <c r="H1019" s="232"/>
      <c r="I1019" s="232"/>
      <c r="J1019" s="230"/>
      <c r="K1019" s="230"/>
      <c r="L1019" s="230"/>
      <c r="M1019" s="258">
        <f>D8</f>
        <v>0</v>
      </c>
      <c r="N1019" s="233">
        <f>(N1015+N1016+N1017+N1018)*M1019</f>
        <v>0</v>
      </c>
      <c r="O1019" s="233"/>
      <c r="P1019" s="233">
        <f>(P1015+P1016+P1017+P1018)*M1019</f>
        <v>0</v>
      </c>
      <c r="Q1019" s="233">
        <f t="shared" si="984"/>
        <v>0</v>
      </c>
      <c r="R1019" s="234">
        <f>Q1019</f>
        <v>0</v>
      </c>
    </row>
    <row r="1020" spans="1:24" ht="17.25" thickTop="1" thickBot="1" x14ac:dyDescent="0.25">
      <c r="A1020" s="446" t="s">
        <v>87</v>
      </c>
      <c r="B1020" s="447"/>
      <c r="C1020" s="235"/>
      <c r="D1020" s="235"/>
      <c r="E1020" s="236"/>
      <c r="F1020" s="389"/>
      <c r="G1020" s="238"/>
      <c r="H1020" s="238"/>
      <c r="I1020" s="238"/>
      <c r="J1020" s="235"/>
      <c r="K1020" s="235"/>
      <c r="L1020" s="235"/>
      <c r="M1020" s="237"/>
      <c r="N1020" s="239">
        <f>SUM(N1015:N1019)</f>
        <v>405167.53810945124</v>
      </c>
      <c r="O1020" s="237"/>
      <c r="P1020" s="239">
        <f>SUM(P1015:P1019)</f>
        <v>446813.02557069284</v>
      </c>
      <c r="Q1020" s="407">
        <f t="shared" si="984"/>
        <v>851980.56368014403</v>
      </c>
      <c r="R1020" s="240">
        <f>SUM(R1015:R1019)</f>
        <v>851980.56368014426</v>
      </c>
    </row>
    <row r="1021" spans="1:24" x14ac:dyDescent="0.2">
      <c r="A1021" s="11"/>
      <c r="F1021" s="140"/>
      <c r="G1021" s="6"/>
      <c r="H1021" s="9"/>
      <c r="Q1021" s="9"/>
    </row>
    <row r="1022" spans="1:24" x14ac:dyDescent="0.2">
      <c r="A1022" s="11"/>
      <c r="F1022" s="140"/>
      <c r="G1022" s="6"/>
      <c r="H1022" s="9"/>
      <c r="Q1022" s="9"/>
    </row>
    <row r="1023" spans="1:24" x14ac:dyDescent="0.2">
      <c r="A1023" s="11"/>
      <c r="E1023" s="140"/>
      <c r="F1023" s="140"/>
      <c r="G1023" s="6"/>
      <c r="H1023" s="9"/>
      <c r="Q1023" s="9"/>
    </row>
    <row r="1024" spans="1:24" x14ac:dyDescent="0.2">
      <c r="A1024" s="11"/>
      <c r="E1024" s="140"/>
      <c r="F1024" s="140"/>
      <c r="G1024" s="6"/>
      <c r="H1024" s="9"/>
      <c r="Q1024" s="9"/>
    </row>
    <row r="1025" spans="1:17" x14ac:dyDescent="0.2">
      <c r="A1025" s="11"/>
      <c r="F1025" s="140"/>
      <c r="G1025" s="6"/>
      <c r="H1025" s="9"/>
      <c r="Q1025" s="9"/>
    </row>
    <row r="1026" spans="1:17" x14ac:dyDescent="0.2">
      <c r="A1026" s="11"/>
      <c r="F1026" s="140"/>
      <c r="G1026" s="6"/>
      <c r="H1026" s="9"/>
      <c r="Q1026" s="9"/>
    </row>
    <row r="1027" spans="1:17" x14ac:dyDescent="0.2">
      <c r="A1027" s="11"/>
      <c r="F1027" s="140"/>
      <c r="G1027" s="6"/>
      <c r="H1027" s="9"/>
      <c r="Q1027" s="9"/>
    </row>
    <row r="1028" spans="1:17" x14ac:dyDescent="0.2">
      <c r="A1028" s="11"/>
      <c r="F1028" s="140"/>
      <c r="G1028" s="6"/>
      <c r="H1028" s="9"/>
      <c r="Q1028" s="9"/>
    </row>
    <row r="1029" spans="1:17" x14ac:dyDescent="0.2">
      <c r="A1029" s="11"/>
      <c r="E1029" s="140"/>
      <c r="F1029" s="140"/>
      <c r="G1029" s="6"/>
      <c r="H1029" s="9"/>
      <c r="Q1029" s="9"/>
    </row>
    <row r="1030" spans="1:17" x14ac:dyDescent="0.2">
      <c r="A1030" s="11"/>
      <c r="E1030" s="140"/>
      <c r="F1030" s="140"/>
      <c r="G1030" s="6"/>
      <c r="H1030" s="9"/>
      <c r="Q1030" s="9"/>
    </row>
    <row r="1031" spans="1:17" x14ac:dyDescent="0.2">
      <c r="A1031" s="11"/>
      <c r="F1031" s="140"/>
      <c r="G1031" s="6"/>
      <c r="H1031" s="9"/>
      <c r="Q1031" s="9"/>
    </row>
    <row r="1032" spans="1:17" x14ac:dyDescent="0.2">
      <c r="A1032" s="11"/>
      <c r="F1032" s="140"/>
      <c r="G1032" s="6"/>
      <c r="H1032" s="9"/>
      <c r="Q1032" s="9"/>
    </row>
    <row r="1033" spans="1:17" x14ac:dyDescent="0.2">
      <c r="A1033" s="11"/>
      <c r="F1033" s="140"/>
      <c r="G1033" s="6"/>
      <c r="H1033" s="9"/>
      <c r="Q1033" s="9"/>
    </row>
    <row r="1034" spans="1:17" x14ac:dyDescent="0.2">
      <c r="A1034" s="11"/>
      <c r="G1034" s="6"/>
      <c r="Q1034" s="9"/>
    </row>
    <row r="1035" spans="1:17" x14ac:dyDescent="0.2">
      <c r="A1035" s="11"/>
      <c r="G1035" s="6"/>
      <c r="H1035" s="9"/>
      <c r="M1035" s="9"/>
      <c r="N1035" s="9"/>
      <c r="O1035" s="9"/>
      <c r="P1035" s="9"/>
      <c r="Q1035" s="9"/>
    </row>
    <row r="1036" spans="1:17" x14ac:dyDescent="0.2">
      <c r="A1036" s="11"/>
      <c r="G1036" s="6"/>
      <c r="H1036" s="9"/>
      <c r="M1036" s="9"/>
      <c r="N1036" s="9"/>
      <c r="O1036" s="9"/>
      <c r="P1036" s="9"/>
      <c r="Q1036" s="9"/>
    </row>
    <row r="1037" spans="1:17" x14ac:dyDescent="0.2">
      <c r="G1037" s="6"/>
      <c r="H1037" s="9"/>
      <c r="M1037" s="9"/>
      <c r="N1037" s="9"/>
      <c r="O1037" s="9"/>
      <c r="P1037" s="9"/>
      <c r="Q1037" s="9"/>
    </row>
    <row r="1038" spans="1:17" x14ac:dyDescent="0.2">
      <c r="G1038" s="10"/>
      <c r="M1038" s="9"/>
      <c r="N1038" s="9"/>
      <c r="O1038" s="9"/>
      <c r="P1038" s="9"/>
      <c r="Q1038" s="9"/>
    </row>
    <row r="1039" spans="1:17" x14ac:dyDescent="0.2">
      <c r="G1039" s="213"/>
    </row>
  </sheetData>
  <mergeCells count="7">
    <mergeCell ref="A2:R2"/>
    <mergeCell ref="A1015:B1015"/>
    <mergeCell ref="A1016:B1016"/>
    <mergeCell ref="A1020:B1020"/>
    <mergeCell ref="E16:F16"/>
    <mergeCell ref="B3:E3"/>
    <mergeCell ref="A1019:B1019"/>
  </mergeCells>
  <phoneticPr fontId="77" type="noConversion"/>
  <dataValidations count="1">
    <dataValidation type="list" allowBlank="1" showInputMessage="1" showErrorMessage="1" sqref="E63 E68">
      <formula1>#REF!</formula1>
    </dataValidation>
  </dataValidations>
  <hyperlinks>
    <hyperlink ref="B3:E3" location="'COST SUMMARY'!A1" display="CLICK HERE TO GO BACK TO COST SUMMARY"/>
  </hyperlinks>
  <printOptions horizontalCentered="1"/>
  <pageMargins left="0.43307086614173201" right="0.43307086614173201" top="0.39370078740157499" bottom="0.39370078740157499" header="0.196850393700787" footer="0.196850393700787"/>
  <pageSetup paperSize="9" scale="29" orientation="portrait" r:id="rId1"/>
  <headerFooter>
    <oddFooter>&amp;C&amp;P of &amp;N</oddFooter>
  </headerFooter>
  <ignoredErrors>
    <ignoredError sqref="G104 Q1020 K330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'HOURLY RATES'!$B$116:$B$126</xm:f>
          </x14:formula1>
          <xm:sqref>J19:J65 J68 J577:J582 J611:J616 J644:J646 J660:J665 J650:J651 J668:J675 J634:J641 J605:J606 J625:J629 J295:J331 J585:J598 J849:J850 J685:J706 J957:J964 J135 J81 J84 J86 J137:J162 J920:J921 J930 J934:J935 J952 J992:J996 J974:J979 J982 J985 J678:J681 J988:J990 J1003:J1010 J1013 J853 J855 J858 J860 J863 J865 J868:J873 J876:J881 J885:J890 J897 J899 J903 J923 J926:J928 J942 J946:J947 J967:J969 J894 J906:J908 J911:J913 J915 J932 J937 J949:J950 J954 J940 J998:J1000 J834 J618:J623 J601:J602 J821:J832 J164:J178 J567:J574 J653:J657 J840:J842 J845:J847 J708:J818 J337:J565 J231:J291 J180:J229</xm:sqref>
        </x14:dataValidation>
        <x14:dataValidation type="list" allowBlank="1" showInputMessage="1" showErrorMessage="1">
          <x14:formula1>
            <xm:f>'HOURLY RATES'!$C$6:$C$105</xm:f>
          </x14:formula1>
          <xm:sqref>E21:E32 E60:E62 E54:E57 E47:E51 E34:E36 E39:E44 E65 E577:E582 E601:E602 E293:E331 E585:E598 E972:E1013 E90:E135 E69:E88 E137:E162 E684:E759 E605:E606 E821:E832 E834:E916 E164:E178 E568:E574 E611:E623 E625:E682 E761:E818 E334:E565 E918:E970 E231:E290 E180:E229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0"/>
  </sheetPr>
  <dimension ref="B1:M126"/>
  <sheetViews>
    <sheetView topLeftCell="A109" zoomScale="70" zoomScaleNormal="70" workbookViewId="0">
      <selection activeCell="G131" sqref="G131"/>
    </sheetView>
  </sheetViews>
  <sheetFormatPr defaultRowHeight="15" x14ac:dyDescent="0.2"/>
  <cols>
    <col min="2" max="2" width="11.21875" customWidth="1"/>
    <col min="3" max="3" width="33.77734375" customWidth="1"/>
    <col min="4" max="4" width="12.21875" customWidth="1"/>
  </cols>
  <sheetData>
    <row r="1" spans="2:13" ht="25.5" customHeight="1" x14ac:dyDescent="0.2">
      <c r="B1" s="80" t="s">
        <v>215</v>
      </c>
      <c r="C1" s="81"/>
      <c r="D1" s="81"/>
      <c r="E1" s="81"/>
      <c r="F1" s="81"/>
      <c r="G1" s="81"/>
      <c r="H1" s="81"/>
      <c r="I1" s="82"/>
      <c r="J1" s="83"/>
      <c r="K1" s="83"/>
      <c r="L1" s="83"/>
      <c r="M1" s="84"/>
    </row>
    <row r="2" spans="2:13" ht="16.5" customHeight="1" x14ac:dyDescent="0.2">
      <c r="B2" s="450" t="s">
        <v>210</v>
      </c>
      <c r="C2" s="451"/>
      <c r="D2" s="451"/>
      <c r="E2" s="451"/>
      <c r="F2" s="451"/>
      <c r="G2" s="451"/>
      <c r="H2" s="451"/>
      <c r="I2" s="451"/>
      <c r="J2" s="451"/>
      <c r="K2" s="451"/>
      <c r="L2" s="451"/>
      <c r="M2" s="452"/>
    </row>
    <row r="3" spans="2:13" ht="18" customHeight="1" thickBot="1" x14ac:dyDescent="0.25">
      <c r="B3" s="453"/>
      <c r="C3" s="454"/>
      <c r="D3" s="454"/>
      <c r="E3" s="454"/>
      <c r="F3" s="454"/>
      <c r="G3" s="454"/>
      <c r="H3" s="454"/>
      <c r="I3" s="454"/>
      <c r="J3" s="454"/>
      <c r="K3" s="454"/>
      <c r="L3" s="454"/>
      <c r="M3" s="455"/>
    </row>
    <row r="4" spans="2:13" ht="24.75" customHeight="1" thickBot="1" x14ac:dyDescent="0.25">
      <c r="B4" s="456" t="s">
        <v>281</v>
      </c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8"/>
    </row>
    <row r="5" spans="2:13" ht="16.5" thickBot="1" x14ac:dyDescent="0.3">
      <c r="B5" s="85" t="s">
        <v>208</v>
      </c>
      <c r="C5" s="85" t="s">
        <v>213</v>
      </c>
      <c r="D5" s="85" t="s">
        <v>209</v>
      </c>
    </row>
    <row r="6" spans="2:13" ht="16.5" thickBot="1" x14ac:dyDescent="0.3">
      <c r="B6" s="112" t="s">
        <v>214</v>
      </c>
      <c r="C6" s="112" t="s">
        <v>185</v>
      </c>
      <c r="D6" s="148">
        <v>35</v>
      </c>
      <c r="F6" s="459" t="s">
        <v>254</v>
      </c>
      <c r="G6" s="460"/>
      <c r="H6" s="460"/>
      <c r="I6" s="460"/>
      <c r="J6" s="461"/>
    </row>
    <row r="7" spans="2:13" ht="15.75" x14ac:dyDescent="0.2">
      <c r="B7" s="22" t="s">
        <v>45</v>
      </c>
      <c r="C7" s="112" t="s">
        <v>248</v>
      </c>
      <c r="D7" s="148">
        <v>29.5563775</v>
      </c>
    </row>
    <row r="8" spans="2:13" ht="15.75" x14ac:dyDescent="0.2">
      <c r="B8" s="22" t="s">
        <v>21</v>
      </c>
      <c r="C8" s="112" t="s">
        <v>249</v>
      </c>
      <c r="D8" s="148">
        <v>21.16197</v>
      </c>
    </row>
    <row r="9" spans="2:13" ht="15.75" x14ac:dyDescent="0.2">
      <c r="B9" s="22" t="s">
        <v>33</v>
      </c>
      <c r="C9" s="112" t="s">
        <v>126</v>
      </c>
      <c r="D9" s="148">
        <v>20.68946425</v>
      </c>
    </row>
    <row r="10" spans="2:13" ht="15.75" x14ac:dyDescent="0.2">
      <c r="B10" s="22" t="s">
        <v>38</v>
      </c>
      <c r="C10" s="112" t="s">
        <v>167</v>
      </c>
      <c r="D10" s="148">
        <v>24.187865625000001</v>
      </c>
    </row>
    <row r="11" spans="2:13" ht="15.75" x14ac:dyDescent="0.2">
      <c r="B11" s="22" t="s">
        <v>45</v>
      </c>
      <c r="C11" s="112" t="s">
        <v>141</v>
      </c>
      <c r="D11" s="148">
        <v>33.977737499999996</v>
      </c>
    </row>
    <row r="12" spans="2:13" ht="15.75" x14ac:dyDescent="0.2">
      <c r="B12" s="22" t="s">
        <v>34</v>
      </c>
      <c r="C12" s="112" t="s">
        <v>59</v>
      </c>
      <c r="D12" s="148">
        <v>29.5563775</v>
      </c>
    </row>
    <row r="13" spans="2:13" ht="15.75" x14ac:dyDescent="0.2">
      <c r="B13" s="22" t="s">
        <v>32</v>
      </c>
      <c r="C13" s="112" t="s">
        <v>128</v>
      </c>
      <c r="D13" s="148">
        <v>29.5563775</v>
      </c>
    </row>
    <row r="14" spans="2:13" ht="15.75" x14ac:dyDescent="0.2">
      <c r="B14" s="22" t="s">
        <v>21</v>
      </c>
      <c r="C14" s="112" t="s">
        <v>259</v>
      </c>
      <c r="D14" s="148">
        <v>21.16197</v>
      </c>
    </row>
    <row r="15" spans="2:13" ht="15.75" x14ac:dyDescent="0.2">
      <c r="B15" s="22" t="s">
        <v>42</v>
      </c>
      <c r="C15" s="112" t="s">
        <v>244</v>
      </c>
      <c r="D15" s="148">
        <v>33.977737499999996</v>
      </c>
    </row>
    <row r="16" spans="2:13" ht="15.75" x14ac:dyDescent="0.2">
      <c r="B16" s="22" t="s">
        <v>32</v>
      </c>
      <c r="C16" s="112" t="s">
        <v>245</v>
      </c>
      <c r="D16" s="148">
        <v>28.078558624999996</v>
      </c>
    </row>
    <row r="17" spans="2:4" ht="15.75" x14ac:dyDescent="0.2">
      <c r="B17" s="22" t="s">
        <v>32</v>
      </c>
      <c r="C17" s="112" t="s">
        <v>246</v>
      </c>
      <c r="D17" s="148">
        <v>31.028148062499994</v>
      </c>
    </row>
    <row r="18" spans="2:4" ht="15.75" x14ac:dyDescent="0.2">
      <c r="B18" s="22" t="s">
        <v>21</v>
      </c>
      <c r="C18" s="112" t="s">
        <v>260</v>
      </c>
      <c r="D18" s="148">
        <v>16.658029687500001</v>
      </c>
    </row>
    <row r="19" spans="2:4" ht="15.75" x14ac:dyDescent="0.2">
      <c r="B19" s="22" t="s">
        <v>46</v>
      </c>
      <c r="C19" s="112" t="s">
        <v>261</v>
      </c>
      <c r="D19" s="148">
        <v>61.712949375000001</v>
      </c>
    </row>
    <row r="20" spans="2:4" ht="15.75" x14ac:dyDescent="0.2">
      <c r="B20" s="22" t="s">
        <v>121</v>
      </c>
      <c r="C20" s="112" t="s">
        <v>132</v>
      </c>
      <c r="D20" s="148">
        <v>45.703973699999999</v>
      </c>
    </row>
    <row r="21" spans="2:4" ht="15.75" x14ac:dyDescent="0.2">
      <c r="B21" s="22" t="s">
        <v>39</v>
      </c>
      <c r="C21" s="112" t="s">
        <v>222</v>
      </c>
      <c r="D21" s="148">
        <v>26.6815</v>
      </c>
    </row>
    <row r="22" spans="2:4" ht="15.75" x14ac:dyDescent="0.2">
      <c r="B22" s="22" t="s">
        <v>34</v>
      </c>
      <c r="C22" s="112" t="s">
        <v>143</v>
      </c>
      <c r="D22" s="148">
        <v>37.147110000000005</v>
      </c>
    </row>
    <row r="23" spans="2:4" ht="15.75" x14ac:dyDescent="0.2">
      <c r="B23" s="22" t="s">
        <v>26</v>
      </c>
      <c r="C23" s="112" t="s">
        <v>73</v>
      </c>
      <c r="D23" s="148">
        <v>21.16197</v>
      </c>
    </row>
    <row r="24" spans="2:4" ht="15.75" x14ac:dyDescent="0.2">
      <c r="B24" s="22" t="s">
        <v>38</v>
      </c>
      <c r="C24" s="112" t="s">
        <v>218</v>
      </c>
      <c r="D24" s="148">
        <v>21.063420000000001</v>
      </c>
    </row>
    <row r="25" spans="2:4" ht="15.75" x14ac:dyDescent="0.2">
      <c r="B25" s="22" t="s">
        <v>38</v>
      </c>
      <c r="C25" s="112" t="s">
        <v>205</v>
      </c>
      <c r="D25" s="148">
        <v>25.276104</v>
      </c>
    </row>
    <row r="26" spans="2:4" ht="15.75" x14ac:dyDescent="0.2">
      <c r="B26" s="22" t="s">
        <v>46</v>
      </c>
      <c r="C26" s="112" t="s">
        <v>201</v>
      </c>
      <c r="D26" s="148">
        <v>61.712949375000001</v>
      </c>
    </row>
    <row r="27" spans="2:4" ht="15.75" x14ac:dyDescent="0.2">
      <c r="B27" s="22" t="s">
        <v>26</v>
      </c>
      <c r="C27" s="112" t="s">
        <v>139</v>
      </c>
      <c r="D27" s="148">
        <v>29.5563775</v>
      </c>
    </row>
    <row r="28" spans="2:4" ht="15.75" x14ac:dyDescent="0.2">
      <c r="B28" s="22" t="s">
        <v>21</v>
      </c>
      <c r="C28" s="112" t="s">
        <v>124</v>
      </c>
      <c r="D28" s="148">
        <v>21.16197</v>
      </c>
    </row>
    <row r="29" spans="2:4" ht="15.75" x14ac:dyDescent="0.2">
      <c r="B29" s="22" t="s">
        <v>46</v>
      </c>
      <c r="C29" s="112" t="s">
        <v>125</v>
      </c>
      <c r="D29" s="148">
        <v>61.712949375000001</v>
      </c>
    </row>
    <row r="30" spans="2:4" ht="15.75" x14ac:dyDescent="0.2">
      <c r="B30" s="22" t="s">
        <v>44</v>
      </c>
      <c r="C30" s="112" t="s">
        <v>147</v>
      </c>
      <c r="D30" s="148">
        <v>45.703973699999999</v>
      </c>
    </row>
    <row r="31" spans="2:4" ht="15.75" x14ac:dyDescent="0.2">
      <c r="B31" s="22" t="s">
        <v>129</v>
      </c>
      <c r="C31" s="112" t="s">
        <v>130</v>
      </c>
      <c r="D31" s="148">
        <v>45.703973699999999</v>
      </c>
    </row>
    <row r="32" spans="2:4" ht="15.75" x14ac:dyDescent="0.2">
      <c r="B32" s="22" t="s">
        <v>117</v>
      </c>
      <c r="C32" s="112" t="s">
        <v>250</v>
      </c>
      <c r="D32" s="148">
        <v>58.710867193125011</v>
      </c>
    </row>
    <row r="33" spans="2:4" ht="15.75" x14ac:dyDescent="0.2">
      <c r="B33" s="371" t="s">
        <v>33</v>
      </c>
      <c r="C33" s="112" t="s">
        <v>171</v>
      </c>
      <c r="D33" s="372">
        <v>21.16197</v>
      </c>
    </row>
    <row r="34" spans="2:4" ht="15.75" x14ac:dyDescent="0.2">
      <c r="B34" s="22" t="s">
        <v>46</v>
      </c>
      <c r="C34" s="112" t="s">
        <v>70</v>
      </c>
      <c r="D34" s="148">
        <v>22.56795</v>
      </c>
    </row>
    <row r="35" spans="2:4" ht="15.75" x14ac:dyDescent="0.2">
      <c r="B35" s="22" t="s">
        <v>76</v>
      </c>
      <c r="C35" s="112" t="s">
        <v>202</v>
      </c>
      <c r="D35" s="148">
        <v>26.6815</v>
      </c>
    </row>
    <row r="36" spans="2:4" ht="15.75" x14ac:dyDescent="0.2">
      <c r="B36" s="22" t="s">
        <v>21</v>
      </c>
      <c r="C36" s="112" t="s">
        <v>57</v>
      </c>
      <c r="D36" s="148">
        <v>18.939667500000002</v>
      </c>
    </row>
    <row r="37" spans="2:4" ht="15.75" x14ac:dyDescent="0.2">
      <c r="B37" s="22" t="s">
        <v>45</v>
      </c>
      <c r="C37" s="112" t="s">
        <v>203</v>
      </c>
      <c r="D37" s="148">
        <v>32.512015249999997</v>
      </c>
    </row>
    <row r="38" spans="2:4" ht="15.75" x14ac:dyDescent="0.2">
      <c r="B38" s="22" t="s">
        <v>76</v>
      </c>
      <c r="C38" s="112" t="s">
        <v>224</v>
      </c>
      <c r="D38" s="148">
        <v>36.404718750000001</v>
      </c>
    </row>
    <row r="39" spans="2:4" ht="15.75" x14ac:dyDescent="0.2">
      <c r="B39" s="22" t="s">
        <v>76</v>
      </c>
      <c r="C39" s="112" t="s">
        <v>223</v>
      </c>
      <c r="D39" s="148">
        <v>29.5563775</v>
      </c>
    </row>
    <row r="40" spans="2:4" ht="15.75" x14ac:dyDescent="0.2">
      <c r="B40" s="22" t="s">
        <v>76</v>
      </c>
      <c r="C40" s="112" t="s">
        <v>235</v>
      </c>
      <c r="D40" s="148">
        <v>32.980548124999999</v>
      </c>
    </row>
    <row r="41" spans="2:4" ht="15.75" x14ac:dyDescent="0.2">
      <c r="B41" s="22" t="s">
        <v>32</v>
      </c>
      <c r="C41" s="112" t="s">
        <v>67</v>
      </c>
      <c r="D41" s="148">
        <v>29.5563775</v>
      </c>
    </row>
    <row r="42" spans="2:4" ht="15.75" x14ac:dyDescent="0.2">
      <c r="B42" s="22" t="s">
        <v>21</v>
      </c>
      <c r="C42" s="112" t="s">
        <v>262</v>
      </c>
      <c r="D42" s="148">
        <v>33.3984375</v>
      </c>
    </row>
    <row r="43" spans="2:4" ht="15.75" x14ac:dyDescent="0.2">
      <c r="B43" s="22" t="s">
        <v>119</v>
      </c>
      <c r="C43" s="112" t="s">
        <v>120</v>
      </c>
      <c r="D43" s="148">
        <v>46.126802334374993</v>
      </c>
    </row>
    <row r="44" spans="2:4" ht="15.75" x14ac:dyDescent="0.2">
      <c r="B44" s="22" t="s">
        <v>45</v>
      </c>
      <c r="C44" s="112" t="s">
        <v>47</v>
      </c>
      <c r="D44" s="148">
        <v>37.991362500000001</v>
      </c>
    </row>
    <row r="45" spans="2:4" ht="15.75" x14ac:dyDescent="0.2">
      <c r="B45" s="22" t="s">
        <v>21</v>
      </c>
      <c r="C45" s="112" t="s">
        <v>58</v>
      </c>
      <c r="D45" s="148">
        <v>26.044173499999999</v>
      </c>
    </row>
    <row r="46" spans="2:4" ht="15.75" x14ac:dyDescent="0.2">
      <c r="B46" s="22" t="s">
        <v>45</v>
      </c>
      <c r="C46" s="112" t="s">
        <v>263</v>
      </c>
      <c r="D46" s="148">
        <v>25.122920874999998</v>
      </c>
    </row>
    <row r="47" spans="2:4" ht="15.75" x14ac:dyDescent="0.2">
      <c r="B47" s="22" t="s">
        <v>75</v>
      </c>
      <c r="C47" s="112" t="s">
        <v>138</v>
      </c>
      <c r="D47" s="148">
        <v>22.815248906250002</v>
      </c>
    </row>
    <row r="48" spans="2:4" ht="15.75" x14ac:dyDescent="0.2">
      <c r="B48" s="22" t="s">
        <v>21</v>
      </c>
      <c r="C48" s="112" t="s">
        <v>137</v>
      </c>
      <c r="D48" s="148">
        <v>21.16197</v>
      </c>
    </row>
    <row r="49" spans="2:4" ht="15.75" x14ac:dyDescent="0.2">
      <c r="B49" s="22" t="s">
        <v>32</v>
      </c>
      <c r="C49" s="112" t="s">
        <v>63</v>
      </c>
      <c r="D49" s="148">
        <v>21.16197</v>
      </c>
    </row>
    <row r="50" spans="2:4" ht="15.75" x14ac:dyDescent="0.2">
      <c r="B50" s="22" t="s">
        <v>32</v>
      </c>
      <c r="C50" s="112" t="s">
        <v>64</v>
      </c>
      <c r="D50" s="148">
        <v>21.16197</v>
      </c>
    </row>
    <row r="51" spans="2:4" ht="15.75" x14ac:dyDescent="0.2">
      <c r="B51" s="22" t="s">
        <v>34</v>
      </c>
      <c r="C51" s="112" t="s">
        <v>35</v>
      </c>
      <c r="D51" s="148">
        <v>16.584733125</v>
      </c>
    </row>
    <row r="52" spans="2:4" ht="15.75" x14ac:dyDescent="0.2">
      <c r="B52" s="22" t="s">
        <v>26</v>
      </c>
      <c r="C52" s="112" t="s">
        <v>168</v>
      </c>
      <c r="D52" s="148">
        <v>29.200612499999998</v>
      </c>
    </row>
    <row r="53" spans="2:4" ht="15.75" x14ac:dyDescent="0.2">
      <c r="B53" s="22" t="s">
        <v>38</v>
      </c>
      <c r="C53" s="112" t="s">
        <v>173</v>
      </c>
      <c r="D53" s="148">
        <v>20.087775000000001</v>
      </c>
    </row>
    <row r="54" spans="2:4" ht="15.75" x14ac:dyDescent="0.2">
      <c r="B54" s="22" t="s">
        <v>42</v>
      </c>
      <c r="C54" s="112" t="s">
        <v>55</v>
      </c>
      <c r="D54" s="148">
        <v>21.16197</v>
      </c>
    </row>
    <row r="55" spans="2:4" ht="15.75" x14ac:dyDescent="0.2">
      <c r="B55" s="22" t="s">
        <v>21</v>
      </c>
      <c r="C55" s="112" t="s">
        <v>56</v>
      </c>
      <c r="D55" s="148">
        <v>18.939667500000002</v>
      </c>
    </row>
    <row r="56" spans="2:4" ht="15.75" x14ac:dyDescent="0.2">
      <c r="B56" s="22" t="s">
        <v>45</v>
      </c>
      <c r="C56" s="112" t="s">
        <v>146</v>
      </c>
      <c r="D56" s="148">
        <v>29.5563775</v>
      </c>
    </row>
    <row r="57" spans="2:4" ht="15.75" x14ac:dyDescent="0.2">
      <c r="B57" s="22" t="s">
        <v>76</v>
      </c>
      <c r="C57" s="112" t="s">
        <v>69</v>
      </c>
      <c r="D57" s="148">
        <v>26.208703125</v>
      </c>
    </row>
    <row r="58" spans="2:4" ht="15.75" x14ac:dyDescent="0.2">
      <c r="B58" s="22" t="s">
        <v>42</v>
      </c>
      <c r="C58" s="112" t="s">
        <v>220</v>
      </c>
      <c r="D58" s="148">
        <v>23.2578</v>
      </c>
    </row>
    <row r="59" spans="2:4" ht="15.75" x14ac:dyDescent="0.2">
      <c r="B59" s="22" t="s">
        <v>76</v>
      </c>
      <c r="C59" s="112" t="s">
        <v>156</v>
      </c>
      <c r="D59" s="148">
        <v>18.806625</v>
      </c>
    </row>
    <row r="60" spans="2:4" ht="15.75" x14ac:dyDescent="0.2">
      <c r="B60" s="22" t="s">
        <v>34</v>
      </c>
      <c r="C60" s="112" t="s">
        <v>221</v>
      </c>
      <c r="D60" s="148">
        <v>29.5563775</v>
      </c>
    </row>
    <row r="61" spans="2:4" ht="15.75" x14ac:dyDescent="0.2">
      <c r="B61" s="22" t="s">
        <v>74</v>
      </c>
      <c r="C61" s="112" t="s">
        <v>239</v>
      </c>
      <c r="D61" s="148">
        <v>36.0703125</v>
      </c>
    </row>
    <row r="62" spans="2:4" ht="15.75" x14ac:dyDescent="0.2">
      <c r="B62" s="22" t="s">
        <v>74</v>
      </c>
      <c r="C62" s="112" t="s">
        <v>238</v>
      </c>
      <c r="D62" s="148">
        <v>45.589635000000001</v>
      </c>
    </row>
    <row r="63" spans="2:4" ht="15.75" x14ac:dyDescent="0.2">
      <c r="B63" s="22" t="s">
        <v>74</v>
      </c>
      <c r="C63" s="112" t="s">
        <v>226</v>
      </c>
      <c r="D63" s="148">
        <v>36.0703125</v>
      </c>
    </row>
    <row r="64" spans="2:4" ht="15.75" x14ac:dyDescent="0.2">
      <c r="B64" s="22" t="s">
        <v>43</v>
      </c>
      <c r="C64" s="112" t="s">
        <v>237</v>
      </c>
      <c r="D64" s="148">
        <v>43.294082698125003</v>
      </c>
    </row>
    <row r="65" spans="2:4" ht="15.75" x14ac:dyDescent="0.2">
      <c r="B65" s="22" t="s">
        <v>32</v>
      </c>
      <c r="C65" s="112" t="s">
        <v>142</v>
      </c>
      <c r="D65" s="148">
        <v>29.5563775</v>
      </c>
    </row>
    <row r="66" spans="2:4" ht="15.75" x14ac:dyDescent="0.2">
      <c r="B66" s="22" t="s">
        <v>75</v>
      </c>
      <c r="C66" s="112" t="s">
        <v>169</v>
      </c>
      <c r="D66" s="148">
        <v>33.977737499999996</v>
      </c>
    </row>
    <row r="67" spans="2:4" ht="15.75" x14ac:dyDescent="0.2">
      <c r="B67" s="22" t="s">
        <v>75</v>
      </c>
      <c r="C67" s="112" t="s">
        <v>240</v>
      </c>
      <c r="D67" s="148">
        <v>33.977737499999996</v>
      </c>
    </row>
    <row r="68" spans="2:4" ht="15.75" x14ac:dyDescent="0.2">
      <c r="B68" s="22" t="s">
        <v>32</v>
      </c>
      <c r="C68" s="112" t="s">
        <v>241</v>
      </c>
      <c r="D68" s="148">
        <v>28.078558624999996</v>
      </c>
    </row>
    <row r="69" spans="2:4" ht="15.75" x14ac:dyDescent="0.2">
      <c r="B69" s="22" t="s">
        <v>32</v>
      </c>
      <c r="C69" s="112" t="s">
        <v>242</v>
      </c>
      <c r="D69" s="148">
        <v>31.028148062499994</v>
      </c>
    </row>
    <row r="70" spans="2:4" ht="15.75" x14ac:dyDescent="0.2">
      <c r="B70" s="22" t="s">
        <v>76</v>
      </c>
      <c r="C70" s="112" t="s">
        <v>65</v>
      </c>
      <c r="D70" s="148">
        <v>26.6815</v>
      </c>
    </row>
    <row r="71" spans="2:4" ht="15.75" x14ac:dyDescent="0.2">
      <c r="B71" s="22" t="s">
        <v>32</v>
      </c>
      <c r="C71" s="112" t="s">
        <v>82</v>
      </c>
      <c r="D71" s="148">
        <v>24.799183593750001</v>
      </c>
    </row>
    <row r="72" spans="2:4" ht="15.75" x14ac:dyDescent="0.2">
      <c r="B72" s="22" t="s">
        <v>46</v>
      </c>
      <c r="C72" s="112" t="s">
        <v>267</v>
      </c>
      <c r="D72" s="148">
        <v>61.712949375000001</v>
      </c>
    </row>
    <row r="73" spans="2:4" ht="15.75" x14ac:dyDescent="0.2">
      <c r="B73" s="22" t="s">
        <v>33</v>
      </c>
      <c r="C73" s="112" t="s">
        <v>217</v>
      </c>
      <c r="D73" s="148">
        <v>26.783118281250005</v>
      </c>
    </row>
    <row r="74" spans="2:4" ht="15.75" x14ac:dyDescent="0.2">
      <c r="B74" s="22" t="s">
        <v>36</v>
      </c>
      <c r="C74" s="112" t="s">
        <v>123</v>
      </c>
      <c r="D74" s="148">
        <v>38.487750000000005</v>
      </c>
    </row>
    <row r="75" spans="2:4" ht="15.75" x14ac:dyDescent="0.2">
      <c r="B75" s="22" t="s">
        <v>115</v>
      </c>
      <c r="C75" s="112" t="s">
        <v>140</v>
      </c>
      <c r="D75" s="148">
        <v>30.0166875</v>
      </c>
    </row>
    <row r="76" spans="2:4" ht="15.75" x14ac:dyDescent="0.2">
      <c r="B76" s="22" t="s">
        <v>39</v>
      </c>
      <c r="C76" s="112" t="s">
        <v>216</v>
      </c>
      <c r="D76" s="148">
        <v>26.6815</v>
      </c>
    </row>
    <row r="77" spans="2:4" ht="15.75" x14ac:dyDescent="0.2">
      <c r="B77" s="22" t="s">
        <v>115</v>
      </c>
      <c r="C77" s="112" t="s">
        <v>159</v>
      </c>
      <c r="D77" s="148">
        <v>63.101512500000005</v>
      </c>
    </row>
    <row r="78" spans="2:4" ht="15.75" x14ac:dyDescent="0.2">
      <c r="B78" s="22" t="s">
        <v>32</v>
      </c>
      <c r="C78" s="112" t="s">
        <v>51</v>
      </c>
      <c r="D78" s="148">
        <v>21.16197</v>
      </c>
    </row>
    <row r="79" spans="2:4" ht="15.75" x14ac:dyDescent="0.2">
      <c r="B79" s="22" t="s">
        <v>42</v>
      </c>
      <c r="C79" s="112" t="s">
        <v>54</v>
      </c>
      <c r="D79" s="148">
        <v>28.769952499999999</v>
      </c>
    </row>
    <row r="80" spans="2:4" ht="15.75" x14ac:dyDescent="0.2">
      <c r="B80" s="22" t="s">
        <v>32</v>
      </c>
      <c r="C80" s="112" t="s">
        <v>37</v>
      </c>
      <c r="D80" s="148">
        <v>21.16197</v>
      </c>
    </row>
    <row r="81" spans="2:4" ht="15.75" x14ac:dyDescent="0.2">
      <c r="B81" s="22" t="s">
        <v>46</v>
      </c>
      <c r="C81" s="112" t="s">
        <v>157</v>
      </c>
      <c r="D81" s="148">
        <v>26.044173499999999</v>
      </c>
    </row>
    <row r="82" spans="2:4" ht="15.75" x14ac:dyDescent="0.2">
      <c r="B82" s="22" t="s">
        <v>42</v>
      </c>
      <c r="C82" s="112" t="s">
        <v>53</v>
      </c>
      <c r="D82" s="148">
        <v>39.777586500000005</v>
      </c>
    </row>
    <row r="83" spans="2:4" ht="15.75" x14ac:dyDescent="0.2">
      <c r="B83" s="22" t="s">
        <v>39</v>
      </c>
      <c r="C83" s="112" t="s">
        <v>145</v>
      </c>
      <c r="D83" s="148">
        <v>26.6815</v>
      </c>
    </row>
    <row r="84" spans="2:4" ht="15.75" x14ac:dyDescent="0.2">
      <c r="B84" s="22" t="s">
        <v>44</v>
      </c>
      <c r="C84" s="112" t="s">
        <v>204</v>
      </c>
      <c r="D84" s="148">
        <v>45.703973699999999</v>
      </c>
    </row>
    <row r="85" spans="2:4" ht="15.75" x14ac:dyDescent="0.2">
      <c r="B85" s="22" t="s">
        <v>34</v>
      </c>
      <c r="C85" s="112" t="s">
        <v>206</v>
      </c>
      <c r="D85" s="148">
        <v>29.5563775</v>
      </c>
    </row>
    <row r="86" spans="2:4" ht="15.75" x14ac:dyDescent="0.2">
      <c r="B86" s="22" t="s">
        <v>21</v>
      </c>
      <c r="C86" s="112" t="s">
        <v>66</v>
      </c>
      <c r="D86" s="148">
        <v>18.939667500000002</v>
      </c>
    </row>
    <row r="87" spans="2:4" ht="15.75" x14ac:dyDescent="0.2">
      <c r="B87" s="22" t="s">
        <v>45</v>
      </c>
      <c r="C87" s="112" t="s">
        <v>144</v>
      </c>
      <c r="D87" s="148">
        <v>29.5563775</v>
      </c>
    </row>
    <row r="88" spans="2:4" ht="15.75" x14ac:dyDescent="0.2">
      <c r="B88" s="22" t="s">
        <v>26</v>
      </c>
      <c r="C88" s="112" t="s">
        <v>264</v>
      </c>
      <c r="D88" s="148">
        <v>29.5563775</v>
      </c>
    </row>
    <row r="89" spans="2:4" ht="15.75" x14ac:dyDescent="0.2">
      <c r="B89" s="22" t="s">
        <v>115</v>
      </c>
      <c r="C89" s="112" t="s">
        <v>116</v>
      </c>
      <c r="D89" s="148">
        <v>33.977737499999996</v>
      </c>
    </row>
    <row r="90" spans="2:4" ht="15.75" x14ac:dyDescent="0.2">
      <c r="B90" s="22" t="s">
        <v>75</v>
      </c>
      <c r="C90" s="112" t="s">
        <v>200</v>
      </c>
      <c r="D90" s="148">
        <v>33.977737499999996</v>
      </c>
    </row>
    <row r="91" spans="2:4" ht="15.75" x14ac:dyDescent="0.2">
      <c r="B91" s="22" t="s">
        <v>32</v>
      </c>
      <c r="C91" s="112" t="s">
        <v>199</v>
      </c>
      <c r="D91" s="148">
        <v>29.5563775</v>
      </c>
    </row>
    <row r="92" spans="2:4" ht="15.75" x14ac:dyDescent="0.2">
      <c r="B92" s="22" t="s">
        <v>26</v>
      </c>
      <c r="C92" s="112" t="s">
        <v>61</v>
      </c>
      <c r="D92" s="148">
        <v>29.200612499999998</v>
      </c>
    </row>
    <row r="93" spans="2:4" ht="15.75" x14ac:dyDescent="0.2">
      <c r="B93" s="22" t="s">
        <v>75</v>
      </c>
      <c r="C93" s="112" t="s">
        <v>50</v>
      </c>
      <c r="D93" s="148">
        <v>33.977737499999996</v>
      </c>
    </row>
    <row r="94" spans="2:4" ht="15.75" x14ac:dyDescent="0.2">
      <c r="B94" s="22" t="s">
        <v>42</v>
      </c>
      <c r="C94" s="112" t="s">
        <v>225</v>
      </c>
      <c r="D94" s="148">
        <v>23.265196875000001</v>
      </c>
    </row>
    <row r="95" spans="2:4" ht="15.75" x14ac:dyDescent="0.2">
      <c r="B95" s="22" t="s">
        <v>21</v>
      </c>
      <c r="C95" s="112" t="s">
        <v>60</v>
      </c>
      <c r="D95" s="148">
        <v>26.1045935</v>
      </c>
    </row>
    <row r="96" spans="2:4" ht="15.75" x14ac:dyDescent="0.2">
      <c r="B96" s="22" t="s">
        <v>45</v>
      </c>
      <c r="C96" s="112" t="s">
        <v>252</v>
      </c>
      <c r="D96" s="148">
        <v>29.5563775</v>
      </c>
    </row>
    <row r="97" spans="2:4" ht="15.75" x14ac:dyDescent="0.2">
      <c r="B97" s="22" t="s">
        <v>253</v>
      </c>
      <c r="C97" s="112" t="s">
        <v>265</v>
      </c>
      <c r="D97" s="148">
        <v>21.16197</v>
      </c>
    </row>
    <row r="98" spans="2:4" ht="15.75" x14ac:dyDescent="0.2">
      <c r="B98" s="22" t="s">
        <v>32</v>
      </c>
      <c r="C98" s="112" t="s">
        <v>83</v>
      </c>
      <c r="D98" s="148">
        <v>24.799183593750001</v>
      </c>
    </row>
    <row r="99" spans="2:4" ht="15.75" x14ac:dyDescent="0.2">
      <c r="B99" s="22" t="s">
        <v>32</v>
      </c>
      <c r="C99" s="112" t="s">
        <v>72</v>
      </c>
      <c r="D99" s="148">
        <v>21.16197</v>
      </c>
    </row>
    <row r="100" spans="2:4" ht="15.75" x14ac:dyDescent="0.2">
      <c r="B100" s="22" t="s">
        <v>114</v>
      </c>
      <c r="C100" s="112" t="s">
        <v>122</v>
      </c>
      <c r="D100" s="148">
        <v>41.141966250000003</v>
      </c>
    </row>
    <row r="101" spans="2:4" ht="15.75" x14ac:dyDescent="0.2">
      <c r="B101" s="22" t="s">
        <v>21</v>
      </c>
      <c r="C101" s="112" t="s">
        <v>68</v>
      </c>
      <c r="D101" s="148">
        <v>26.356167500000002</v>
      </c>
    </row>
    <row r="102" spans="2:4" ht="15.75" x14ac:dyDescent="0.2">
      <c r="B102" s="22" t="s">
        <v>42</v>
      </c>
      <c r="C102" s="112" t="s">
        <v>243</v>
      </c>
      <c r="D102" s="148">
        <v>36.0703125</v>
      </c>
    </row>
    <row r="103" spans="2:4" ht="15.75" x14ac:dyDescent="0.2">
      <c r="B103" s="22" t="s">
        <v>26</v>
      </c>
      <c r="C103" s="112" t="s">
        <v>52</v>
      </c>
      <c r="D103" s="148">
        <v>29.5563775</v>
      </c>
    </row>
    <row r="104" spans="2:4" ht="15.75" x14ac:dyDescent="0.2">
      <c r="B104" s="22" t="s">
        <v>45</v>
      </c>
      <c r="C104" s="112" t="s">
        <v>247</v>
      </c>
      <c r="D104" s="148">
        <v>29.5563775</v>
      </c>
    </row>
    <row r="105" spans="2:4" ht="15.75" x14ac:dyDescent="0.25">
      <c r="B105" s="22" t="s">
        <v>211</v>
      </c>
      <c r="C105" s="112" t="s">
        <v>207</v>
      </c>
      <c r="D105" s="149"/>
    </row>
    <row r="106" spans="2:4" ht="15.75" x14ac:dyDescent="0.25">
      <c r="B106" s="22" t="s">
        <v>20</v>
      </c>
      <c r="C106" s="112" t="s">
        <v>207</v>
      </c>
      <c r="D106" s="149"/>
    </row>
    <row r="115" spans="2:3" ht="21" x14ac:dyDescent="0.2">
      <c r="B115" s="19" t="s">
        <v>111</v>
      </c>
      <c r="C115" s="19" t="s">
        <v>110</v>
      </c>
    </row>
    <row r="116" spans="2:3" ht="15.75" x14ac:dyDescent="0.2">
      <c r="B116" s="20" t="s">
        <v>16</v>
      </c>
      <c r="C116" s="21">
        <f>'BASE BID'!D$11</f>
        <v>0</v>
      </c>
    </row>
    <row r="117" spans="2:3" ht="15.75" x14ac:dyDescent="0.2">
      <c r="B117" s="20" t="s">
        <v>19</v>
      </c>
      <c r="C117" s="21">
        <f>'BASE BID'!D$12</f>
        <v>0.05</v>
      </c>
    </row>
    <row r="118" spans="2:3" ht="15.75" x14ac:dyDescent="0.2">
      <c r="B118" s="20" t="s">
        <v>17</v>
      </c>
      <c r="C118" s="21">
        <f>'BASE BID'!D$12</f>
        <v>0.05</v>
      </c>
    </row>
    <row r="119" spans="2:3" ht="15.75" x14ac:dyDescent="0.2">
      <c r="B119" s="20" t="s">
        <v>231</v>
      </c>
      <c r="C119" s="21">
        <f>'BASE BID'!D$12</f>
        <v>0.05</v>
      </c>
    </row>
    <row r="120" spans="2:3" ht="15.75" x14ac:dyDescent="0.2">
      <c r="B120" s="20" t="s">
        <v>112</v>
      </c>
      <c r="C120" s="21">
        <f>'BASE BID'!D$12</f>
        <v>0.05</v>
      </c>
    </row>
    <row r="121" spans="2:3" ht="15.75" x14ac:dyDescent="0.2">
      <c r="B121" s="20" t="s">
        <v>158</v>
      </c>
      <c r="C121" s="21">
        <f>'BASE BID'!D$12</f>
        <v>0.05</v>
      </c>
    </row>
    <row r="122" spans="2:3" ht="15.75" x14ac:dyDescent="0.2">
      <c r="B122" s="20" t="s">
        <v>41</v>
      </c>
      <c r="C122" s="21">
        <f>'BASE BID'!D$12</f>
        <v>0.05</v>
      </c>
    </row>
    <row r="123" spans="2:3" ht="15.75" x14ac:dyDescent="0.2">
      <c r="B123" s="20" t="s">
        <v>18</v>
      </c>
      <c r="C123" s="21">
        <f>'BASE BID'!D$11</f>
        <v>0</v>
      </c>
    </row>
    <row r="124" spans="2:3" ht="15.75" x14ac:dyDescent="0.2">
      <c r="B124" s="20"/>
      <c r="C124" s="20"/>
    </row>
    <row r="125" spans="2:3" ht="15.75" x14ac:dyDescent="0.2">
      <c r="B125" s="20"/>
      <c r="C125" s="20"/>
    </row>
    <row r="126" spans="2:3" ht="15.75" x14ac:dyDescent="0.2">
      <c r="B126" s="20"/>
      <c r="C126" s="20"/>
    </row>
  </sheetData>
  <sortState ref="B8:D104">
    <sortCondition ref="C8:C97"/>
  </sortState>
  <mergeCells count="3">
    <mergeCell ref="B2:M3"/>
    <mergeCell ref="B4:M4"/>
    <mergeCell ref="F6:J6"/>
  </mergeCells>
  <hyperlinks>
    <hyperlink ref="F6:I6" location="'COST SUMMARY'!A1" display="CLICK HERE TO GO BACK TO COST SUMMARY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91348BF5-31AE-4F63-A3F6-E9520CC963AA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COST SUMMARY</vt:lpstr>
      <vt:lpstr>BASE BID</vt:lpstr>
      <vt:lpstr>HOURLY RATES</vt:lpstr>
      <vt:lpstr>'BASE BID'!Print_Area</vt:lpstr>
      <vt:lpstr>'COST SUMMARY'!Print_Area</vt:lpstr>
      <vt:lpstr>'BASE BID'!Print_Titles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2013-07-08T09:36:48Z</dcterms:created>
  <dcterms:modified xsi:type="dcterms:W3CDTF">2023-10-03T15:00:59Z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PlanSwiftJobName">
    <vt:lpwstr/>
  </property>
  <property fmtid="{D5CDD505-2E9C-101B-9397-08002B2CF9AE}" pid="4" name="PlanSwiftJobGuid">
    <vt:lpwstr/>
  </property>
  <property fmtid="{D5CDD505-2E9C-101B-9397-08002B2CF9AE}" pid="5" name="LinkedDataId">
    <vt:lpwstr>{91348BF5-31AE-4F63-A3F6-E9520CC963AA}</vt:lpwstr>
  </property>
</Properties>
</file>