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 tabRatio="911" activeTab="1"/>
  </bookViews>
  <sheets>
    <sheet name="COST SUMMARY" sheetId="12" r:id="rId1"/>
    <sheet name="BASE BID" sheetId="26" r:id="rId2"/>
    <sheet name="HOURLY RATES" sheetId="22" r:id="rId3"/>
  </sheets>
  <definedNames>
    <definedName name="_xlnm._FilterDatabase" localSheetId="1" hidden="1">'BASE BID'!$A$1:$Y$354</definedName>
    <definedName name="_xlnm._FilterDatabase" localSheetId="0" hidden="1">'COST SUMMARY'!#REF!</definedName>
    <definedName name="_xlnm._FilterDatabase" localSheetId="2" hidden="1">'HOURLY RATES'!$B$8:$D$104</definedName>
    <definedName name="_xlnm.Print_Area" localSheetId="1">'BASE BID'!$A$1:$R$315</definedName>
    <definedName name="_xlnm.Print_Area" localSheetId="0">'COST SUMMARY'!$A$1:$Q$80</definedName>
    <definedName name="_xlnm.Print_Titles" localSheetId="1">'BASE BID'!$17:$17</definedName>
    <definedName name="_xlnm.Print_Titles" localSheetId="0">'COST SUMMARY'!#REF!</definedName>
  </definedNames>
  <calcPr calcId="162913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12" l="1"/>
  <c r="M32" i="12"/>
  <c r="K306" i="26"/>
  <c r="O306" i="26"/>
  <c r="K223" i="26"/>
  <c r="K187" i="26"/>
  <c r="K191" i="26"/>
  <c r="O113" i="26"/>
  <c r="G108" i="26"/>
  <c r="K108" i="26"/>
  <c r="O244" i="26" l="1"/>
  <c r="K244" i="26"/>
  <c r="A66" i="26"/>
  <c r="A67" i="26"/>
  <c r="A68" i="26"/>
  <c r="A69" i="26"/>
  <c r="A70" i="26"/>
  <c r="A90" i="26"/>
  <c r="A91" i="26"/>
  <c r="A96" i="26"/>
  <c r="A97" i="26"/>
  <c r="A103" i="26"/>
  <c r="A104" i="26"/>
  <c r="A107" i="26"/>
  <c r="A109" i="26"/>
  <c r="A110" i="26"/>
  <c r="A111" i="26"/>
  <c r="A112" i="26"/>
  <c r="A114" i="26"/>
  <c r="A115" i="26"/>
  <c r="A116" i="26"/>
  <c r="A117" i="26"/>
  <c r="A118" i="26"/>
  <c r="A121" i="26"/>
  <c r="A122" i="26"/>
  <c r="A123" i="26"/>
  <c r="A124" i="26"/>
  <c r="A128" i="26"/>
  <c r="A129" i="26"/>
  <c r="A132" i="26"/>
  <c r="A133" i="26"/>
  <c r="A134" i="26"/>
  <c r="A135" i="26"/>
  <c r="A136" i="26"/>
  <c r="A144" i="26"/>
  <c r="A150" i="26"/>
  <c r="A154" i="26"/>
  <c r="A158" i="26"/>
  <c r="A165" i="26"/>
  <c r="A169" i="26"/>
  <c r="A170" i="26"/>
  <c r="A172" i="26"/>
  <c r="A173" i="26"/>
  <c r="A175" i="26"/>
  <c r="A176" i="26"/>
  <c r="A179" i="26"/>
  <c r="A180" i="26"/>
  <c r="A182" i="26"/>
  <c r="A184" i="26"/>
  <c r="A185" i="26"/>
  <c r="A188" i="26"/>
  <c r="A189" i="26"/>
  <c r="A192" i="26"/>
  <c r="A193" i="26"/>
  <c r="A196" i="26"/>
  <c r="A197" i="26"/>
  <c r="A199" i="26"/>
  <c r="A200" i="26"/>
  <c r="A201" i="26"/>
  <c r="A202" i="26"/>
  <c r="A205" i="26"/>
  <c r="A206" i="26"/>
  <c r="A208" i="26"/>
  <c r="A209" i="26"/>
  <c r="A210" i="26"/>
  <c r="A211" i="26"/>
  <c r="A213" i="26"/>
  <c r="A214" i="26"/>
  <c r="A215" i="26"/>
  <c r="A221" i="26"/>
  <c r="A224" i="26"/>
  <c r="A227" i="26"/>
  <c r="A228" i="26"/>
  <c r="A229" i="26"/>
  <c r="A230" i="26"/>
  <c r="A232" i="26"/>
  <c r="A234" i="26"/>
  <c r="A236" i="26"/>
  <c r="A237" i="26"/>
  <c r="A240" i="26"/>
  <c r="A241" i="26"/>
  <c r="A242" i="26"/>
  <c r="A243" i="26"/>
  <c r="A245" i="26"/>
  <c r="A246" i="26"/>
  <c r="A247" i="26"/>
  <c r="A248" i="26"/>
  <c r="A249" i="26"/>
  <c r="A252" i="26"/>
  <c r="A254" i="26"/>
  <c r="A255" i="26"/>
  <c r="A256" i="26"/>
  <c r="A258" i="26"/>
  <c r="A259" i="26"/>
  <c r="A266" i="26"/>
  <c r="A268" i="26"/>
  <c r="A269" i="26"/>
  <c r="A270" i="26"/>
  <c r="A271" i="26"/>
  <c r="A273" i="26"/>
  <c r="A274" i="26"/>
  <c r="A275" i="26"/>
  <c r="A277" i="26"/>
  <c r="A278" i="26"/>
  <c r="A280" i="26"/>
  <c r="A282" i="26"/>
  <c r="A283" i="26"/>
  <c r="A284" i="26"/>
  <c r="A285" i="26"/>
  <c r="A288" i="26"/>
  <c r="A289" i="26"/>
  <c r="A290" i="26"/>
  <c r="A294" i="26"/>
  <c r="A295" i="26"/>
  <c r="A298" i="26"/>
  <c r="A299" i="26"/>
  <c r="A302" i="26"/>
  <c r="A305" i="26"/>
  <c r="K93" i="26"/>
  <c r="A71" i="26" l="1"/>
  <c r="A72" i="26" s="1"/>
  <c r="O281" i="26"/>
  <c r="K281" i="26"/>
  <c r="K80" i="26"/>
  <c r="H34" i="12"/>
  <c r="H74" i="12" s="1"/>
  <c r="H35" i="12"/>
  <c r="H75" i="12" s="1"/>
  <c r="H36" i="12"/>
  <c r="H76" i="12" s="1"/>
  <c r="M195" i="26"/>
  <c r="M194" i="26"/>
  <c r="M191" i="26"/>
  <c r="M190" i="26"/>
  <c r="M187" i="26"/>
  <c r="M186" i="26"/>
  <c r="O194" i="26"/>
  <c r="M181" i="26"/>
  <c r="O181" i="26"/>
  <c r="M306" i="26"/>
  <c r="M304" i="26"/>
  <c r="M303" i="26"/>
  <c r="M301" i="26"/>
  <c r="M300" i="26"/>
  <c r="M297" i="26"/>
  <c r="M296" i="26"/>
  <c r="M293" i="26"/>
  <c r="M292" i="26"/>
  <c r="M291" i="26"/>
  <c r="M287" i="26"/>
  <c r="M286" i="26"/>
  <c r="M281" i="26"/>
  <c r="M279" i="26"/>
  <c r="M276" i="26"/>
  <c r="M272" i="26"/>
  <c r="M267" i="26"/>
  <c r="M265" i="26"/>
  <c r="M264" i="26"/>
  <c r="M263" i="26"/>
  <c r="M262" i="26"/>
  <c r="M261" i="26"/>
  <c r="M260" i="26"/>
  <c r="M257" i="26"/>
  <c r="M253" i="26"/>
  <c r="M251" i="26"/>
  <c r="M250" i="26"/>
  <c r="M244" i="26"/>
  <c r="M239" i="26"/>
  <c r="M238" i="26"/>
  <c r="M212" i="26"/>
  <c r="M235" i="26"/>
  <c r="M233" i="26"/>
  <c r="M231" i="26"/>
  <c r="M226" i="26"/>
  <c r="M225" i="26"/>
  <c r="M223" i="26"/>
  <c r="M222" i="26"/>
  <c r="M220" i="26"/>
  <c r="M219" i="26"/>
  <c r="M218" i="26"/>
  <c r="M217" i="26"/>
  <c r="M216" i="26"/>
  <c r="M207" i="26"/>
  <c r="M204" i="26"/>
  <c r="M203" i="26"/>
  <c r="M198" i="26"/>
  <c r="M183" i="26"/>
  <c r="M177" i="26"/>
  <c r="M174" i="26"/>
  <c r="M171" i="26"/>
  <c r="M168" i="26"/>
  <c r="M167" i="26"/>
  <c r="M166" i="26"/>
  <c r="M164" i="26"/>
  <c r="M163" i="26"/>
  <c r="M162" i="26"/>
  <c r="M161" i="26"/>
  <c r="M160" i="26"/>
  <c r="M157" i="26"/>
  <c r="M156" i="26"/>
  <c r="M153" i="26"/>
  <c r="M152" i="26"/>
  <c r="M149" i="26"/>
  <c r="M148" i="26"/>
  <c r="M147" i="26"/>
  <c r="M146" i="26"/>
  <c r="M143" i="26"/>
  <c r="M142" i="26"/>
  <c r="M141" i="26"/>
  <c r="M140" i="26"/>
  <c r="M139" i="26"/>
  <c r="M138" i="26"/>
  <c r="M131" i="26"/>
  <c r="M130" i="26"/>
  <c r="M127" i="26"/>
  <c r="M126" i="26"/>
  <c r="M125" i="26"/>
  <c r="M120" i="26"/>
  <c r="M119" i="26"/>
  <c r="M113" i="26"/>
  <c r="M108" i="26"/>
  <c r="M106" i="26"/>
  <c r="M105" i="26"/>
  <c r="M102" i="26"/>
  <c r="M101" i="26"/>
  <c r="M100" i="26"/>
  <c r="M99" i="26"/>
  <c r="M98" i="26"/>
  <c r="M95" i="26"/>
  <c r="M94" i="26"/>
  <c r="M93" i="26"/>
  <c r="M92" i="26"/>
  <c r="M89" i="26"/>
  <c r="M88" i="26"/>
  <c r="M87" i="26"/>
  <c r="M86" i="26"/>
  <c r="M85" i="26"/>
  <c r="M84" i="26"/>
  <c r="M83" i="26"/>
  <c r="M82" i="26"/>
  <c r="M81" i="26"/>
  <c r="M80" i="26"/>
  <c r="M178" i="26"/>
  <c r="M79" i="26"/>
  <c r="M78" i="26"/>
  <c r="M77" i="26"/>
  <c r="M76" i="26"/>
  <c r="M75" i="26"/>
  <c r="M74" i="26"/>
  <c r="M73" i="26"/>
  <c r="M72" i="26"/>
  <c r="M71" i="26"/>
  <c r="M65" i="26"/>
  <c r="M62" i="26"/>
  <c r="M61" i="26"/>
  <c r="M60" i="26"/>
  <c r="M57" i="26"/>
  <c r="M56" i="26"/>
  <c r="M55" i="26"/>
  <c r="M54" i="26"/>
  <c r="M51" i="26"/>
  <c r="M50" i="26"/>
  <c r="M49" i="26"/>
  <c r="M48" i="26"/>
  <c r="M47" i="26"/>
  <c r="M44" i="26"/>
  <c r="M43" i="26"/>
  <c r="M42" i="26"/>
  <c r="M41" i="26"/>
  <c r="M40" i="26"/>
  <c r="M39" i="26"/>
  <c r="M36" i="26"/>
  <c r="M35" i="26"/>
  <c r="M34" i="26"/>
  <c r="M31" i="26"/>
  <c r="M30" i="26"/>
  <c r="M29" i="26"/>
  <c r="M28" i="26"/>
  <c r="M27" i="26"/>
  <c r="M26" i="26"/>
  <c r="M25" i="26"/>
  <c r="G89" i="26"/>
  <c r="G80" i="26"/>
  <c r="G79" i="26"/>
  <c r="G78" i="26"/>
  <c r="G77" i="26"/>
  <c r="A75" i="26" l="1"/>
  <c r="A73" i="26"/>
  <c r="A74" i="26"/>
  <c r="K83" i="26"/>
  <c r="A76" i="26" l="1"/>
  <c r="K287" i="26"/>
  <c r="O287" i="26"/>
  <c r="O279" i="26"/>
  <c r="K279" i="26"/>
  <c r="O267" i="26"/>
  <c r="K267" i="26"/>
  <c r="K166" i="26"/>
  <c r="A77" i="26" l="1"/>
  <c r="K156" i="26"/>
  <c r="K152" i="26"/>
  <c r="K89" i="26"/>
  <c r="A78" i="26" l="1"/>
  <c r="A79" i="26" l="1"/>
  <c r="A80" i="26" s="1"/>
  <c r="G198" i="26"/>
  <c r="G113" i="26"/>
  <c r="G138" i="26"/>
  <c r="G139" i="26"/>
  <c r="G140" i="26"/>
  <c r="G141" i="26"/>
  <c r="G142" i="26"/>
  <c r="G143" i="26"/>
  <c r="G146" i="26"/>
  <c r="G147" i="26"/>
  <c r="G148" i="26"/>
  <c r="G149" i="26"/>
  <c r="G152" i="26"/>
  <c r="G153" i="26"/>
  <c r="G156" i="26"/>
  <c r="G157" i="26"/>
  <c r="G160" i="26"/>
  <c r="G161" i="26"/>
  <c r="G162" i="26"/>
  <c r="G163" i="26"/>
  <c r="G164" i="26"/>
  <c r="G166" i="26"/>
  <c r="G167" i="26"/>
  <c r="G168" i="26"/>
  <c r="G171" i="26"/>
  <c r="G177" i="26"/>
  <c r="G190" i="26"/>
  <c r="G203" i="26"/>
  <c r="G204" i="26"/>
  <c r="G207" i="26"/>
  <c r="G253" i="26"/>
  <c r="G300" i="26"/>
  <c r="G301" i="26" s="1"/>
  <c r="G303" i="26"/>
  <c r="G304" i="26" s="1"/>
  <c r="O174" i="26"/>
  <c r="K146" i="26"/>
  <c r="O120" i="26"/>
  <c r="A81" i="26" l="1"/>
  <c r="A82" i="26" s="1"/>
  <c r="A83" i="26" s="1"/>
  <c r="A84" i="26" s="1"/>
  <c r="A85" i="26" s="1"/>
  <c r="A86" i="26" s="1"/>
  <c r="A87" i="26" s="1"/>
  <c r="A88" i="26" s="1"/>
  <c r="A89" i="26" s="1"/>
  <c r="O163" i="26"/>
  <c r="O161" i="26"/>
  <c r="O148" i="26"/>
  <c r="O147" i="26"/>
  <c r="O142" i="26"/>
  <c r="O140" i="26"/>
  <c r="O127" i="26"/>
  <c r="O126" i="26"/>
  <c r="O125" i="26"/>
  <c r="K161" i="26"/>
  <c r="K160" i="26"/>
  <c r="K147" i="26"/>
  <c r="K140" i="26"/>
  <c r="K139" i="26"/>
  <c r="K138" i="26"/>
  <c r="A92" i="26" l="1"/>
  <c r="A93" i="26"/>
  <c r="A94" i="26" s="1"/>
  <c r="A95" i="26" s="1"/>
  <c r="A98" i="26" s="1"/>
  <c r="A99" i="26" s="1"/>
  <c r="A100" i="26" s="1"/>
  <c r="A101" i="26" s="1"/>
  <c r="A102" i="26" s="1"/>
  <c r="A105" i="26" s="1"/>
  <c r="A106" i="26" s="1"/>
  <c r="A108" i="26" s="1"/>
  <c r="A113" i="26" s="1"/>
  <c r="A119" i="26" s="1"/>
  <c r="A120" i="26" s="1"/>
  <c r="A125" i="26" s="1"/>
  <c r="A126" i="26" s="1"/>
  <c r="A127" i="26" s="1"/>
  <c r="A130" i="26" s="1"/>
  <c r="A131" i="26" s="1"/>
  <c r="A137" i="26" s="1"/>
  <c r="A138" i="26" s="1"/>
  <c r="A139" i="26" s="1"/>
  <c r="A140" i="26" s="1"/>
  <c r="A141" i="26" s="1"/>
  <c r="A142" i="26" s="1"/>
  <c r="A143" i="26" s="1"/>
  <c r="A145" i="26" s="1"/>
  <c r="A146" i="26" s="1"/>
  <c r="A147" i="26" s="1"/>
  <c r="A148" i="26" s="1"/>
  <c r="A149" i="26" s="1"/>
  <c r="A151" i="26" s="1"/>
  <c r="A152" i="26" s="1"/>
  <c r="A153" i="26" s="1"/>
  <c r="A155" i="26" s="1"/>
  <c r="A156" i="26" s="1"/>
  <c r="A157" i="26" s="1"/>
  <c r="A159" i="26" s="1"/>
  <c r="A160" i="26" s="1"/>
  <c r="A161" i="26" s="1"/>
  <c r="A162" i="26" s="1"/>
  <c r="A163" i="26" s="1"/>
  <c r="A164" i="26" s="1"/>
  <c r="A166" i="26" s="1"/>
  <c r="A167" i="26" s="1"/>
  <c r="A168" i="26" s="1"/>
  <c r="A171" i="26" s="1"/>
  <c r="A174" i="26" s="1"/>
  <c r="A177" i="26" s="1"/>
  <c r="A178" i="26" s="1"/>
  <c r="A181" i="26" s="1"/>
  <c r="A183" i="26" s="1"/>
  <c r="A186" i="26" s="1"/>
  <c r="A187" i="26" s="1"/>
  <c r="A190" i="26" s="1"/>
  <c r="A191" i="26" s="1"/>
  <c r="A194" i="26" s="1"/>
  <c r="A195" i="26" s="1"/>
  <c r="A198" i="26" s="1"/>
  <c r="A203" i="26" s="1"/>
  <c r="A204" i="26" s="1"/>
  <c r="A207" i="26" s="1"/>
  <c r="A212" i="26" s="1"/>
  <c r="A216" i="26" s="1"/>
  <c r="A217" i="26" s="1"/>
  <c r="A218" i="26" s="1"/>
  <c r="A219" i="26" s="1"/>
  <c r="A220" i="26" s="1"/>
  <c r="A222" i="26" s="1"/>
  <c r="A223" i="26" s="1"/>
  <c r="A225" i="26" s="1"/>
  <c r="A226" i="26" s="1"/>
  <c r="A231" i="26" s="1"/>
  <c r="A233" i="26" s="1"/>
  <c r="A235" i="26" s="1"/>
  <c r="A238" i="26" s="1"/>
  <c r="A239" i="26" s="1"/>
  <c r="A244" i="26" s="1"/>
  <c r="A250" i="26" s="1"/>
  <c r="A251" i="26" s="1"/>
  <c r="A253" i="26" s="1"/>
  <c r="A257" i="26" s="1"/>
  <c r="A260" i="26" s="1"/>
  <c r="A261" i="26" s="1"/>
  <c r="A262" i="26" s="1"/>
  <c r="A263" i="26" s="1"/>
  <c r="A264" i="26" s="1"/>
  <c r="A265" i="26" s="1"/>
  <c r="A267" i="26" s="1"/>
  <c r="A272" i="26" s="1"/>
  <c r="A276" i="26" s="1"/>
  <c r="A279" i="26" s="1"/>
  <c r="A281" i="26" s="1"/>
  <c r="A286" i="26" s="1"/>
  <c r="A287" i="26" s="1"/>
  <c r="A291" i="26" s="1"/>
  <c r="A292" i="26" s="1"/>
  <c r="A293" i="26" s="1"/>
  <c r="A296" i="26" s="1"/>
  <c r="A297" i="26" s="1"/>
  <c r="A300" i="26" s="1"/>
  <c r="A301" i="26" s="1"/>
  <c r="A303" i="26" s="1"/>
  <c r="A304" i="26" s="1"/>
  <c r="O223" i="26"/>
  <c r="O222" i="26"/>
  <c r="K92" i="26" l="1"/>
  <c r="O253" i="26" l="1"/>
  <c r="K297" i="26"/>
  <c r="K296" i="26"/>
  <c r="K293" i="26"/>
  <c r="K292" i="26"/>
  <c r="K291" i="26"/>
  <c r="K286" i="26"/>
  <c r="O272" i="26" l="1"/>
  <c r="K272" i="26"/>
  <c r="K265" i="26"/>
  <c r="K264" i="26"/>
  <c r="K263" i="26"/>
  <c r="K262" i="26"/>
  <c r="K261" i="26"/>
  <c r="K260" i="26"/>
  <c r="A32" i="26" l="1"/>
  <c r="A33" i="26"/>
  <c r="A37" i="26"/>
  <c r="A38" i="26"/>
  <c r="A45" i="26"/>
  <c r="A46" i="26"/>
  <c r="A52" i="26"/>
  <c r="A53" i="26"/>
  <c r="A58" i="26"/>
  <c r="A59" i="26"/>
  <c r="A63" i="26"/>
  <c r="A64" i="26"/>
  <c r="A21" i="26"/>
  <c r="A22" i="26" l="1"/>
  <c r="A23" i="26" s="1"/>
  <c r="A24" i="26" l="1"/>
  <c r="A25" i="26" l="1"/>
  <c r="A26" i="26" l="1"/>
  <c r="A27" i="26" l="1"/>
  <c r="A28" i="26" l="1"/>
  <c r="A29" i="26" l="1"/>
  <c r="A30" i="26" s="1"/>
  <c r="A31" i="26" s="1"/>
  <c r="A34" i="26" s="1"/>
  <c r="A35" i="26" s="1"/>
  <c r="A36" i="26" s="1"/>
  <c r="A39" i="26" l="1"/>
  <c r="A40" i="26" l="1"/>
  <c r="A41" i="26" s="1"/>
  <c r="A42" i="26" s="1"/>
  <c r="A43" i="26" s="1"/>
  <c r="A44" i="26" s="1"/>
  <c r="A47" i="26" s="1"/>
  <c r="A48" i="26" s="1"/>
  <c r="A49" i="26" s="1"/>
  <c r="A50" i="26" s="1"/>
  <c r="A51" i="26" s="1"/>
  <c r="A54" i="26" s="1"/>
  <c r="A55" i="26" s="1"/>
  <c r="A56" i="26" s="1"/>
  <c r="A57" i="26" s="1"/>
  <c r="A60" i="26" s="1"/>
  <c r="A61" i="26" s="1"/>
  <c r="A62" i="26" s="1"/>
  <c r="A65" i="26" s="1"/>
  <c r="A307" i="26" l="1"/>
  <c r="D31" i="12" l="1"/>
  <c r="D30" i="12"/>
  <c r="E18" i="12"/>
  <c r="M312" i="26" l="1"/>
  <c r="M311" i="26"/>
  <c r="K4" i="12"/>
  <c r="H33" i="12" l="1"/>
  <c r="D4" i="12"/>
  <c r="D5" i="12"/>
  <c r="D6" i="12"/>
  <c r="C122" i="22"/>
  <c r="C123" i="22"/>
  <c r="C118" i="22"/>
  <c r="C119" i="22"/>
  <c r="C120" i="22"/>
  <c r="H167" i="26" s="1"/>
  <c r="C121" i="22"/>
  <c r="C117" i="22"/>
  <c r="C116" i="22"/>
  <c r="H300" i="26" l="1"/>
  <c r="H253" i="26"/>
  <c r="H233" i="26"/>
  <c r="I233" i="26" s="1"/>
  <c r="H223" i="26"/>
  <c r="I223" i="26" s="1"/>
  <c r="H194" i="26"/>
  <c r="H166" i="26"/>
  <c r="H151" i="26"/>
  <c r="H137" i="26"/>
  <c r="I137" i="26" s="1"/>
  <c r="H82" i="26"/>
  <c r="I82" i="26" s="1"/>
  <c r="H81" i="26"/>
  <c r="H304" i="26"/>
  <c r="I304" i="26" s="1"/>
  <c r="H251" i="26"/>
  <c r="I251" i="26" s="1"/>
  <c r="H238" i="26"/>
  <c r="H222" i="26"/>
  <c r="H171" i="26"/>
  <c r="H164" i="26"/>
  <c r="I164" i="26" s="1"/>
  <c r="H155" i="26"/>
  <c r="H149" i="26"/>
  <c r="I149" i="26" s="1"/>
  <c r="H145" i="26"/>
  <c r="I145" i="26" s="1"/>
  <c r="H303" i="26"/>
  <c r="I303" i="26" s="1"/>
  <c r="H250" i="26"/>
  <c r="H226" i="26"/>
  <c r="I226" i="26" s="1"/>
  <c r="H163" i="26"/>
  <c r="I163" i="26" s="1"/>
  <c r="H159" i="26"/>
  <c r="I159" i="26" s="1"/>
  <c r="H153" i="26"/>
  <c r="H148" i="26"/>
  <c r="I148" i="26" s="1"/>
  <c r="H143" i="26"/>
  <c r="I143" i="26" s="1"/>
  <c r="H88" i="26"/>
  <c r="H301" i="26"/>
  <c r="H272" i="26"/>
  <c r="H257" i="26"/>
  <c r="I257" i="26" s="1"/>
  <c r="H225" i="26"/>
  <c r="I225" i="26" s="1"/>
  <c r="H207" i="26"/>
  <c r="I207" i="26" s="1"/>
  <c r="H195" i="26"/>
  <c r="H157" i="26"/>
  <c r="H142" i="26"/>
  <c r="I142" i="26" s="1"/>
  <c r="H119" i="26"/>
  <c r="H105" i="26"/>
  <c r="I105" i="26" s="1"/>
  <c r="H83" i="26"/>
  <c r="H60" i="26"/>
  <c r="I60" i="26" s="1"/>
  <c r="H54" i="26"/>
  <c r="I54" i="26" s="1"/>
  <c r="H42" i="26"/>
  <c r="I42" i="26" s="1"/>
  <c r="H26" i="26"/>
  <c r="I26" i="26" s="1"/>
  <c r="H47" i="26"/>
  <c r="I47" i="26" s="1"/>
  <c r="H279" i="26"/>
  <c r="I279" i="26" s="1"/>
  <c r="H51" i="26"/>
  <c r="I51" i="26" s="1"/>
  <c r="H29" i="26"/>
  <c r="I29" i="26" s="1"/>
  <c r="H62" i="26"/>
  <c r="I62" i="26" s="1"/>
  <c r="H56" i="26"/>
  <c r="I56" i="26" s="1"/>
  <c r="H50" i="26"/>
  <c r="H44" i="26"/>
  <c r="I44" i="26" s="1"/>
  <c r="H40" i="26"/>
  <c r="I40" i="26" s="1"/>
  <c r="H34" i="26"/>
  <c r="I34" i="26" s="1"/>
  <c r="H28" i="26"/>
  <c r="H24" i="26"/>
  <c r="I24" i="26" s="1"/>
  <c r="H36" i="26"/>
  <c r="I36" i="26" s="1"/>
  <c r="H65" i="26"/>
  <c r="H41" i="26"/>
  <c r="H25" i="26"/>
  <c r="I25" i="26" s="1"/>
  <c r="H244" i="26"/>
  <c r="I244" i="26" s="1"/>
  <c r="H93" i="26"/>
  <c r="H61" i="26"/>
  <c r="H55" i="26"/>
  <c r="I55" i="26" s="1"/>
  <c r="H49" i="26"/>
  <c r="I49" i="26" s="1"/>
  <c r="H43" i="26"/>
  <c r="H39" i="26"/>
  <c r="H31" i="26"/>
  <c r="I31" i="26" s="1"/>
  <c r="H27" i="26"/>
  <c r="I27" i="26" s="1"/>
  <c r="H48" i="26"/>
  <c r="I48" i="26" s="1"/>
  <c r="H30" i="26"/>
  <c r="H57" i="26"/>
  <c r="I57" i="26" s="1"/>
  <c r="H35" i="26"/>
  <c r="I35" i="26" s="1"/>
  <c r="H113" i="26"/>
  <c r="H108" i="26"/>
  <c r="H306" i="26"/>
  <c r="I306" i="26" s="1"/>
  <c r="H281" i="26"/>
  <c r="I281" i="26" s="1"/>
  <c r="H267" i="26"/>
  <c r="I267" i="26" s="1"/>
  <c r="H239" i="26"/>
  <c r="I239" i="26" s="1"/>
  <c r="H204" i="26"/>
  <c r="I204" i="26" s="1"/>
  <c r="H186" i="26"/>
  <c r="I186" i="26" s="1"/>
  <c r="L186" i="26" s="1"/>
  <c r="N186" i="26" s="1"/>
  <c r="H174" i="26"/>
  <c r="I174" i="26" s="1"/>
  <c r="H141" i="26"/>
  <c r="I141" i="26" s="1"/>
  <c r="H92" i="26"/>
  <c r="I92" i="26" s="1"/>
  <c r="H79" i="26"/>
  <c r="H231" i="26"/>
  <c r="I231" i="26" s="1"/>
  <c r="H203" i="26"/>
  <c r="H191" i="26"/>
  <c r="I191" i="26" s="1"/>
  <c r="L191" i="26" s="1"/>
  <c r="N191" i="26" s="1"/>
  <c r="H183" i="26"/>
  <c r="I183" i="26" s="1"/>
  <c r="H89" i="26"/>
  <c r="H74" i="26"/>
  <c r="I74" i="26" s="1"/>
  <c r="H198" i="26"/>
  <c r="I198" i="26" s="1"/>
  <c r="H190" i="26"/>
  <c r="I190" i="26" s="1"/>
  <c r="L190" i="26" s="1"/>
  <c r="N190" i="26" s="1"/>
  <c r="H181" i="26"/>
  <c r="I181" i="26" s="1"/>
  <c r="L181" i="26" s="1"/>
  <c r="N181" i="26" s="1"/>
  <c r="H120" i="26"/>
  <c r="I120" i="26" s="1"/>
  <c r="H80" i="26"/>
  <c r="I80" i="26" s="1"/>
  <c r="H77" i="26"/>
  <c r="H73" i="26"/>
  <c r="H71" i="26"/>
  <c r="H78" i="26"/>
  <c r="I78" i="26" s="1"/>
  <c r="H235" i="26"/>
  <c r="I235" i="26" s="1"/>
  <c r="H187" i="26"/>
  <c r="I187" i="26" s="1"/>
  <c r="L187" i="26" s="1"/>
  <c r="N187" i="26" s="1"/>
  <c r="H177" i="26"/>
  <c r="H162" i="26"/>
  <c r="I162" i="26" s="1"/>
  <c r="H178" i="26"/>
  <c r="H76" i="26"/>
  <c r="I76" i="26" s="1"/>
  <c r="H72" i="26"/>
  <c r="H75" i="26"/>
  <c r="I75" i="26" s="1"/>
  <c r="H292" i="26"/>
  <c r="I292" i="26" s="1"/>
  <c r="H262" i="26"/>
  <c r="H218" i="26"/>
  <c r="H161" i="26"/>
  <c r="I161" i="26" s="1"/>
  <c r="H156" i="26"/>
  <c r="H146" i="26"/>
  <c r="H126" i="26"/>
  <c r="I126" i="26" s="1"/>
  <c r="H102" i="26"/>
  <c r="I102" i="26" s="1"/>
  <c r="H98" i="26"/>
  <c r="I98" i="26" s="1"/>
  <c r="H86" i="26"/>
  <c r="H297" i="26"/>
  <c r="I297" i="26" s="1"/>
  <c r="H291" i="26"/>
  <c r="I291" i="26" s="1"/>
  <c r="H265" i="26"/>
  <c r="I265" i="26" s="1"/>
  <c r="H261" i="26"/>
  <c r="I261" i="26" s="1"/>
  <c r="H217" i="26"/>
  <c r="I217" i="26" s="1"/>
  <c r="H160" i="26"/>
  <c r="I160" i="26" s="1"/>
  <c r="H140" i="26"/>
  <c r="I140" i="26" s="1"/>
  <c r="H131" i="26"/>
  <c r="H125" i="26"/>
  <c r="H85" i="26"/>
  <c r="I85" i="26" s="1"/>
  <c r="H296" i="26"/>
  <c r="I296" i="26" s="1"/>
  <c r="H287" i="26"/>
  <c r="I287" i="26" s="1"/>
  <c r="H276" i="26"/>
  <c r="H264" i="26"/>
  <c r="I264" i="26" s="1"/>
  <c r="H260" i="26"/>
  <c r="I260" i="26" s="1"/>
  <c r="H212" i="26"/>
  <c r="I212" i="26" s="1"/>
  <c r="H220" i="26"/>
  <c r="H216" i="26"/>
  <c r="I216" i="26" s="1"/>
  <c r="H168" i="26"/>
  <c r="H139" i="26"/>
  <c r="H130" i="26"/>
  <c r="I130" i="26" s="1"/>
  <c r="H106" i="26"/>
  <c r="I106" i="26" s="1"/>
  <c r="H100" i="26"/>
  <c r="I100" i="26" s="1"/>
  <c r="H94" i="26"/>
  <c r="H84" i="26"/>
  <c r="I84" i="26" s="1"/>
  <c r="H101" i="26"/>
  <c r="I101" i="26" s="1"/>
  <c r="H293" i="26"/>
  <c r="I293" i="26" s="1"/>
  <c r="H286" i="26"/>
  <c r="H263" i="26"/>
  <c r="H219" i="26"/>
  <c r="I219" i="26" s="1"/>
  <c r="H152" i="26"/>
  <c r="H147" i="26"/>
  <c r="H138" i="26"/>
  <c r="H127" i="26"/>
  <c r="I127" i="26" s="1"/>
  <c r="H99" i="26"/>
  <c r="I99" i="26" s="1"/>
  <c r="H87" i="26"/>
  <c r="I87" i="26" s="1"/>
  <c r="H95" i="26"/>
  <c r="I95" i="26" s="1"/>
  <c r="I83" i="26"/>
  <c r="I81" i="26"/>
  <c r="I73" i="26"/>
  <c r="I71" i="26"/>
  <c r="I72" i="26"/>
  <c r="I86" i="26"/>
  <c r="I131" i="26"/>
  <c r="I286" i="26"/>
  <c r="I301" i="26"/>
  <c r="I300" i="26"/>
  <c r="I276" i="26"/>
  <c r="I272" i="26"/>
  <c r="I262" i="26"/>
  <c r="I263" i="26"/>
  <c r="I250" i="26"/>
  <c r="I253" i="26"/>
  <c r="I238" i="26"/>
  <c r="I220" i="26"/>
  <c r="I119" i="26"/>
  <c r="I222" i="26"/>
  <c r="I218" i="26"/>
  <c r="I125" i="26"/>
  <c r="I203" i="26"/>
  <c r="I194" i="26"/>
  <c r="L194" i="26" s="1"/>
  <c r="N194" i="26" s="1"/>
  <c r="I195" i="26"/>
  <c r="L195" i="26" s="1"/>
  <c r="N195" i="26" s="1"/>
  <c r="I147" i="26"/>
  <c r="I146" i="26"/>
  <c r="I138" i="26"/>
  <c r="I94" i="26"/>
  <c r="I139" i="26"/>
  <c r="H73" i="12"/>
  <c r="I65" i="26"/>
  <c r="I41" i="26"/>
  <c r="I50" i="26"/>
  <c r="I28" i="26"/>
  <c r="I30" i="26"/>
  <c r="I39" i="26"/>
  <c r="I61" i="26"/>
  <c r="I43" i="26"/>
  <c r="H23" i="26"/>
  <c r="I23" i="26" s="1"/>
  <c r="H22" i="26"/>
  <c r="I22" i="26" s="1"/>
  <c r="H21" i="26"/>
  <c r="P198" i="26" l="1"/>
  <c r="L198" i="26"/>
  <c r="N198" i="26" s="1"/>
  <c r="P183" i="26"/>
  <c r="L183" i="26"/>
  <c r="N183" i="26" s="1"/>
  <c r="Q183" i="26" s="1"/>
  <c r="P244" i="26"/>
  <c r="L244" i="26"/>
  <c r="N244" i="26" s="1"/>
  <c r="D26" i="12" s="1"/>
  <c r="P239" i="26"/>
  <c r="L239" i="26"/>
  <c r="N239" i="26" s="1"/>
  <c r="Q239" i="26" s="1"/>
  <c r="L212" i="26"/>
  <c r="N212" i="26" s="1"/>
  <c r="P212" i="26"/>
  <c r="P207" i="26"/>
  <c r="L207" i="26"/>
  <c r="N207" i="26" s="1"/>
  <c r="I108" i="26"/>
  <c r="P186" i="26"/>
  <c r="Q186" i="26" s="1"/>
  <c r="P85" i="26"/>
  <c r="L85" i="26"/>
  <c r="N85" i="26" s="1"/>
  <c r="P76" i="26"/>
  <c r="L76" i="26"/>
  <c r="N76" i="26" s="1"/>
  <c r="P102" i="26"/>
  <c r="L102" i="26"/>
  <c r="N102" i="26" s="1"/>
  <c r="P143" i="26"/>
  <c r="L143" i="26"/>
  <c r="N143" i="26" s="1"/>
  <c r="P161" i="26"/>
  <c r="L161" i="26"/>
  <c r="N161" i="26" s="1"/>
  <c r="P190" i="26"/>
  <c r="P217" i="26"/>
  <c r="L217" i="26"/>
  <c r="N217" i="26" s="1"/>
  <c r="P120" i="26"/>
  <c r="L120" i="26"/>
  <c r="N120" i="26" s="1"/>
  <c r="P264" i="26"/>
  <c r="L264" i="26"/>
  <c r="N264" i="26" s="1"/>
  <c r="P262" i="26"/>
  <c r="L262" i="26"/>
  <c r="N262" i="26" s="1"/>
  <c r="P296" i="26"/>
  <c r="L296" i="26"/>
  <c r="N296" i="26" s="1"/>
  <c r="P139" i="26"/>
  <c r="L139" i="26"/>
  <c r="N139" i="26" s="1"/>
  <c r="P74" i="26"/>
  <c r="L74" i="26"/>
  <c r="N74" i="26" s="1"/>
  <c r="P101" i="26"/>
  <c r="L101" i="26"/>
  <c r="N101" i="26" s="1"/>
  <c r="P94" i="26"/>
  <c r="L94" i="26"/>
  <c r="N94" i="26" s="1"/>
  <c r="P142" i="26"/>
  <c r="L142" i="26"/>
  <c r="N142" i="26" s="1"/>
  <c r="P163" i="26"/>
  <c r="L163" i="26"/>
  <c r="N163" i="26" s="1"/>
  <c r="P194" i="26"/>
  <c r="P125" i="26"/>
  <c r="L125" i="26"/>
  <c r="N125" i="26" s="1"/>
  <c r="P222" i="26"/>
  <c r="L222" i="26"/>
  <c r="N222" i="26" s="1"/>
  <c r="P231" i="26"/>
  <c r="L231" i="26"/>
  <c r="N231" i="26" s="1"/>
  <c r="P272" i="26"/>
  <c r="L272" i="26"/>
  <c r="N272" i="26" s="1"/>
  <c r="P291" i="26"/>
  <c r="L291" i="26"/>
  <c r="N291" i="26" s="1"/>
  <c r="P297" i="26"/>
  <c r="L297" i="26"/>
  <c r="N297" i="26" s="1"/>
  <c r="P130" i="26"/>
  <c r="L130" i="26"/>
  <c r="N130" i="26" s="1"/>
  <c r="P131" i="26"/>
  <c r="L131" i="26"/>
  <c r="N131" i="26" s="1"/>
  <c r="P87" i="26"/>
  <c r="L87" i="26"/>
  <c r="N87" i="26" s="1"/>
  <c r="P82" i="26"/>
  <c r="L82" i="26"/>
  <c r="N82" i="26" s="1"/>
  <c r="P81" i="26"/>
  <c r="L81" i="26"/>
  <c r="N81" i="26" s="1"/>
  <c r="P75" i="26"/>
  <c r="L75" i="26"/>
  <c r="N75" i="26" s="1"/>
  <c r="P98" i="26"/>
  <c r="L98" i="26"/>
  <c r="N98" i="26" s="1"/>
  <c r="P100" i="26"/>
  <c r="L100" i="26"/>
  <c r="N100" i="26" s="1"/>
  <c r="P92" i="26"/>
  <c r="L92" i="26"/>
  <c r="N92" i="26" s="1"/>
  <c r="P138" i="26"/>
  <c r="L138" i="26"/>
  <c r="N138" i="26" s="1"/>
  <c r="P146" i="26"/>
  <c r="L146" i="26"/>
  <c r="N146" i="26" s="1"/>
  <c r="P149" i="26"/>
  <c r="L149" i="26"/>
  <c r="N149" i="26" s="1"/>
  <c r="P164" i="26"/>
  <c r="L164" i="26"/>
  <c r="N164" i="26" s="1"/>
  <c r="P162" i="26"/>
  <c r="L162" i="26"/>
  <c r="N162" i="26" s="1"/>
  <c r="P203" i="26"/>
  <c r="L203" i="26"/>
  <c r="N203" i="26" s="1"/>
  <c r="P127" i="26"/>
  <c r="L127" i="26"/>
  <c r="N127" i="26" s="1"/>
  <c r="P219" i="26"/>
  <c r="L219" i="26"/>
  <c r="N219" i="26" s="1"/>
  <c r="P216" i="26"/>
  <c r="L216" i="26"/>
  <c r="N216" i="26" s="1"/>
  <c r="P119" i="26"/>
  <c r="L119" i="26"/>
  <c r="N119" i="26" s="1"/>
  <c r="P238" i="26"/>
  <c r="L238" i="26"/>
  <c r="N238" i="26" s="1"/>
  <c r="P233" i="26"/>
  <c r="L233" i="26"/>
  <c r="N233" i="26" s="1"/>
  <c r="P263" i="26"/>
  <c r="L263" i="26"/>
  <c r="N263" i="26" s="1"/>
  <c r="P279" i="26"/>
  <c r="L279" i="26"/>
  <c r="N279" i="26" s="1"/>
  <c r="P292" i="26"/>
  <c r="L292" i="26"/>
  <c r="N292" i="26" s="1"/>
  <c r="P306" i="26"/>
  <c r="L306" i="26"/>
  <c r="N306" i="26" s="1"/>
  <c r="P303" i="26"/>
  <c r="L303" i="26"/>
  <c r="N303" i="26" s="1"/>
  <c r="P251" i="26"/>
  <c r="L251" i="26"/>
  <c r="N251" i="26" s="1"/>
  <c r="P83" i="26"/>
  <c r="L83" i="26"/>
  <c r="N83" i="26" s="1"/>
  <c r="P71" i="26"/>
  <c r="L71" i="26"/>
  <c r="N71" i="26" s="1"/>
  <c r="P106" i="26"/>
  <c r="L106" i="26"/>
  <c r="N106" i="26" s="1"/>
  <c r="P140" i="26"/>
  <c r="L140" i="26"/>
  <c r="N140" i="26" s="1"/>
  <c r="P195" i="26"/>
  <c r="P126" i="26"/>
  <c r="L126" i="26"/>
  <c r="N126" i="26" s="1"/>
  <c r="P225" i="26"/>
  <c r="L225" i="26"/>
  <c r="N225" i="26" s="1"/>
  <c r="P250" i="26"/>
  <c r="L250" i="26"/>
  <c r="N250" i="26" s="1"/>
  <c r="P276" i="26"/>
  <c r="L276" i="26"/>
  <c r="N276" i="26" s="1"/>
  <c r="P304" i="26"/>
  <c r="L304" i="26"/>
  <c r="N304" i="26" s="1"/>
  <c r="P287" i="26"/>
  <c r="L287" i="26"/>
  <c r="N287" i="26" s="1"/>
  <c r="P78" i="26"/>
  <c r="L78" i="26"/>
  <c r="N78" i="26" s="1"/>
  <c r="P72" i="26"/>
  <c r="L72" i="26"/>
  <c r="N72" i="26" s="1"/>
  <c r="P148" i="26"/>
  <c r="L148" i="26"/>
  <c r="N148" i="26" s="1"/>
  <c r="P187" i="26"/>
  <c r="P191" i="26"/>
  <c r="P218" i="26"/>
  <c r="L218" i="26"/>
  <c r="N218" i="26" s="1"/>
  <c r="P235" i="26"/>
  <c r="L235" i="26"/>
  <c r="N235" i="26" s="1"/>
  <c r="P267" i="26"/>
  <c r="L267" i="26"/>
  <c r="N267" i="26" s="1"/>
  <c r="P86" i="26"/>
  <c r="L86" i="26"/>
  <c r="N86" i="26" s="1"/>
  <c r="P84" i="26"/>
  <c r="L84" i="26"/>
  <c r="N84" i="26" s="1"/>
  <c r="P80" i="26"/>
  <c r="L80" i="26"/>
  <c r="N80" i="26" s="1"/>
  <c r="P73" i="26"/>
  <c r="L73" i="26"/>
  <c r="N73" i="26" s="1"/>
  <c r="P99" i="26"/>
  <c r="L99" i="26"/>
  <c r="N99" i="26" s="1"/>
  <c r="P105" i="26"/>
  <c r="L105" i="26"/>
  <c r="N105" i="26" s="1"/>
  <c r="P95" i="26"/>
  <c r="L95" i="26"/>
  <c r="N95" i="26" s="1"/>
  <c r="P147" i="26"/>
  <c r="L147" i="26"/>
  <c r="N147" i="26" s="1"/>
  <c r="P141" i="26"/>
  <c r="L141" i="26"/>
  <c r="N141" i="26" s="1"/>
  <c r="P160" i="26"/>
  <c r="L160" i="26"/>
  <c r="N160" i="26" s="1"/>
  <c r="P181" i="26"/>
  <c r="P204" i="26"/>
  <c r="L204" i="26"/>
  <c r="N204" i="26" s="1"/>
  <c r="P174" i="26"/>
  <c r="L174" i="26"/>
  <c r="N174" i="26" s="1"/>
  <c r="P223" i="26"/>
  <c r="L223" i="26"/>
  <c r="N223" i="26" s="1"/>
  <c r="P226" i="26"/>
  <c r="L226" i="26"/>
  <c r="N226" i="26" s="1"/>
  <c r="P220" i="26"/>
  <c r="L220" i="26"/>
  <c r="N220" i="26" s="1"/>
  <c r="P253" i="26"/>
  <c r="L253" i="26"/>
  <c r="N253" i="26" s="1"/>
  <c r="P257" i="26"/>
  <c r="L257" i="26"/>
  <c r="N257" i="26" s="1"/>
  <c r="P260" i="26"/>
  <c r="L260" i="26"/>
  <c r="N260" i="26" s="1"/>
  <c r="P261" i="26"/>
  <c r="L261" i="26"/>
  <c r="N261" i="26" s="1"/>
  <c r="P293" i="26"/>
  <c r="L293" i="26"/>
  <c r="N293" i="26" s="1"/>
  <c r="P281" i="26"/>
  <c r="L281" i="26"/>
  <c r="N281" i="26" s="1"/>
  <c r="P265" i="26"/>
  <c r="L265" i="26"/>
  <c r="N265" i="26" s="1"/>
  <c r="P286" i="26"/>
  <c r="L286" i="26"/>
  <c r="N286" i="26" s="1"/>
  <c r="P301" i="26"/>
  <c r="L301" i="26"/>
  <c r="N301" i="26" s="1"/>
  <c r="P300" i="26"/>
  <c r="L300" i="26"/>
  <c r="N300" i="26" s="1"/>
  <c r="E26" i="12"/>
  <c r="E31" i="12"/>
  <c r="E30" i="12"/>
  <c r="M310" i="26"/>
  <c r="M309" i="26"/>
  <c r="M24" i="26"/>
  <c r="M23" i="26"/>
  <c r="M22" i="26"/>
  <c r="M21" i="26"/>
  <c r="L108" i="26" l="1"/>
  <c r="N108" i="26" s="1"/>
  <c r="Q244" i="26"/>
  <c r="R241" i="26" s="1"/>
  <c r="Q207" i="26"/>
  <c r="Q198" i="26"/>
  <c r="Q212" i="26"/>
  <c r="P108" i="26"/>
  <c r="Q267" i="26"/>
  <c r="Q98" i="26"/>
  <c r="Q81" i="26"/>
  <c r="Q87" i="26"/>
  <c r="Q291" i="26"/>
  <c r="Q231" i="26"/>
  <c r="Q125" i="26"/>
  <c r="Q163" i="26"/>
  <c r="Q94" i="26"/>
  <c r="Q74" i="26"/>
  <c r="Q71" i="26"/>
  <c r="Q251" i="26"/>
  <c r="Q279" i="26"/>
  <c r="Q233" i="26"/>
  <c r="Q119" i="26"/>
  <c r="Q219" i="26"/>
  <c r="Q203" i="26"/>
  <c r="Q164" i="26"/>
  <c r="Q146" i="26"/>
  <c r="Q92" i="26"/>
  <c r="Q130" i="26"/>
  <c r="Q296" i="26"/>
  <c r="Q293" i="26"/>
  <c r="Q260" i="26"/>
  <c r="Q253" i="26"/>
  <c r="Q226" i="26"/>
  <c r="Q174" i="26"/>
  <c r="Q181" i="26"/>
  <c r="Q141" i="26"/>
  <c r="Q218" i="26"/>
  <c r="Q187" i="26"/>
  <c r="Q72" i="26"/>
  <c r="E29" i="12"/>
  <c r="Q300" i="26"/>
  <c r="Q306" i="26"/>
  <c r="Q264" i="26"/>
  <c r="D28" i="12"/>
  <c r="Q281" i="26"/>
  <c r="Q265" i="26"/>
  <c r="Q105" i="26"/>
  <c r="Q73" i="26"/>
  <c r="Q84" i="26"/>
  <c r="Q276" i="26"/>
  <c r="Q195" i="26"/>
  <c r="Q83" i="26"/>
  <c r="Q263" i="26"/>
  <c r="Q216" i="26"/>
  <c r="Q162" i="26"/>
  <c r="Q138" i="26"/>
  <c r="Q75" i="26"/>
  <c r="Q131" i="26"/>
  <c r="Q297" i="26"/>
  <c r="Q222" i="26"/>
  <c r="Q142" i="26"/>
  <c r="Q139" i="26"/>
  <c r="Q262" i="26"/>
  <c r="Q120" i="26"/>
  <c r="Q190" i="26"/>
  <c r="Q76" i="26"/>
  <c r="E27" i="12"/>
  <c r="Q261" i="26"/>
  <c r="Q257" i="26"/>
  <c r="Q220" i="26"/>
  <c r="Q223" i="26"/>
  <c r="Q204" i="26"/>
  <c r="Q160" i="26"/>
  <c r="Q147" i="26"/>
  <c r="Q235" i="26"/>
  <c r="Q191" i="26"/>
  <c r="Q148" i="26"/>
  <c r="Q78" i="26"/>
  <c r="D27" i="12"/>
  <c r="Q303" i="26"/>
  <c r="Q225" i="26"/>
  <c r="Q106" i="26"/>
  <c r="Q292" i="26"/>
  <c r="Q238" i="26"/>
  <c r="Q127" i="26"/>
  <c r="Q149" i="26"/>
  <c r="Q100" i="26"/>
  <c r="Q82" i="26"/>
  <c r="Q272" i="26"/>
  <c r="Q194" i="26"/>
  <c r="Q101" i="26"/>
  <c r="Q143" i="26"/>
  <c r="E28" i="12"/>
  <c r="Q286" i="26"/>
  <c r="Q95" i="26"/>
  <c r="Q99" i="26"/>
  <c r="Q80" i="26"/>
  <c r="Q86" i="26"/>
  <c r="Q287" i="26"/>
  <c r="Q304" i="26"/>
  <c r="Q250" i="26"/>
  <c r="Q126" i="26"/>
  <c r="Q140" i="26"/>
  <c r="Q217" i="26"/>
  <c r="Q161" i="26"/>
  <c r="Q102" i="26"/>
  <c r="Q85" i="26"/>
  <c r="D29" i="12"/>
  <c r="Q301" i="26"/>
  <c r="F31" i="12"/>
  <c r="F30" i="12"/>
  <c r="D22" i="12"/>
  <c r="E22" i="12"/>
  <c r="E24" i="12"/>
  <c r="D25" i="12"/>
  <c r="D24" i="12"/>
  <c r="E25" i="12"/>
  <c r="D21" i="12"/>
  <c r="E21" i="12"/>
  <c r="F26" i="12" l="1"/>
  <c r="Q108" i="26"/>
  <c r="R246" i="26"/>
  <c r="R116" i="26"/>
  <c r="R209" i="26"/>
  <c r="R228" i="26"/>
  <c r="R269" i="26"/>
  <c r="F28" i="12"/>
  <c r="R283" i="26"/>
  <c r="F27" i="12"/>
  <c r="R122" i="26"/>
  <c r="F29" i="12"/>
  <c r="F22" i="12"/>
  <c r="F24" i="12"/>
  <c r="F25" i="12"/>
  <c r="F21" i="12"/>
  <c r="L41" i="26" l="1"/>
  <c r="N41" i="26" s="1"/>
  <c r="Q41" i="26" s="1"/>
  <c r="L31" i="26"/>
  <c r="N31" i="26" s="1"/>
  <c r="Q31" i="26" s="1"/>
  <c r="L28" i="26"/>
  <c r="N28" i="26" s="1"/>
  <c r="Q28" i="26" s="1"/>
  <c r="L23" i="26"/>
  <c r="N23" i="26" s="1"/>
  <c r="Q23" i="26" s="1"/>
  <c r="L54" i="26"/>
  <c r="N54" i="26" s="1"/>
  <c r="Q54" i="26" s="1"/>
  <c r="L30" i="26"/>
  <c r="N30" i="26" s="1"/>
  <c r="Q30" i="26" s="1"/>
  <c r="J21" i="12" l="1"/>
  <c r="L21" i="12" s="1"/>
  <c r="L62" i="26" l="1"/>
  <c r="N62" i="26" s="1"/>
  <c r="Q62" i="26" s="1"/>
  <c r="L60" i="26"/>
  <c r="N60" i="26" s="1"/>
  <c r="Q60" i="26" s="1"/>
  <c r="L57" i="26"/>
  <c r="N57" i="26" s="1"/>
  <c r="Q57" i="26" s="1"/>
  <c r="L50" i="26"/>
  <c r="N50" i="26" s="1"/>
  <c r="Q50" i="26" s="1"/>
  <c r="L48" i="26"/>
  <c r="N48" i="26" s="1"/>
  <c r="Q48" i="26" s="1"/>
  <c r="L43" i="26"/>
  <c r="N43" i="26" s="1"/>
  <c r="Q43" i="26" s="1"/>
  <c r="L39" i="26"/>
  <c r="N39" i="26" s="1"/>
  <c r="Q39" i="26" s="1"/>
  <c r="L26" i="26"/>
  <c r="N26" i="26" s="1"/>
  <c r="Q26" i="26" s="1"/>
  <c r="I21" i="26"/>
  <c r="L24" i="26"/>
  <c r="N24" i="26" s="1"/>
  <c r="Q24" i="26" s="1"/>
  <c r="L51" i="26"/>
  <c r="N51" i="26" s="1"/>
  <c r="Q51" i="26" s="1"/>
  <c r="L40" i="26"/>
  <c r="N40" i="26" s="1"/>
  <c r="Q40" i="26" s="1"/>
  <c r="L29" i="26"/>
  <c r="N29" i="26" s="1"/>
  <c r="Q29" i="26" s="1"/>
  <c r="L22" i="26"/>
  <c r="N22" i="26" s="1"/>
  <c r="Q22" i="26" s="1"/>
  <c r="L56" i="26"/>
  <c r="N56" i="26" s="1"/>
  <c r="Q56" i="26" s="1"/>
  <c r="L42" i="26"/>
  <c r="N42" i="26" s="1"/>
  <c r="Q42" i="26" s="1"/>
  <c r="L47" i="26"/>
  <c r="N47" i="26" s="1"/>
  <c r="Q47" i="26" s="1"/>
  <c r="L25" i="26"/>
  <c r="N25" i="26" s="1"/>
  <c r="Q25" i="26" s="1"/>
  <c r="L61" i="26"/>
  <c r="N61" i="26" s="1"/>
  <c r="Q61" i="26" s="1"/>
  <c r="L49" i="26"/>
  <c r="N49" i="26" s="1"/>
  <c r="Q49" i="26" s="1"/>
  <c r="L21" i="26" l="1"/>
  <c r="N21" i="26" s="1"/>
  <c r="J26" i="12" l="1"/>
  <c r="J22" i="12"/>
  <c r="J31" i="12"/>
  <c r="Q21" i="26"/>
  <c r="J28" i="12" l="1"/>
  <c r="L28" i="12" s="1"/>
  <c r="J27" i="12"/>
  <c r="L27" i="12" s="1"/>
  <c r="J30" i="12"/>
  <c r="L30" i="12" s="1"/>
  <c r="J24" i="12"/>
  <c r="L24" i="12" s="1"/>
  <c r="J25" i="12"/>
  <c r="L25" i="12" s="1"/>
  <c r="J29" i="12"/>
  <c r="L29" i="12" s="1"/>
  <c r="L22" i="12"/>
  <c r="L31" i="12"/>
  <c r="L26" i="12"/>
  <c r="I113" i="26" l="1"/>
  <c r="I93" i="26"/>
  <c r="P93" i="26" l="1"/>
  <c r="L93" i="26"/>
  <c r="N93" i="26" s="1"/>
  <c r="P113" i="26"/>
  <c r="L113" i="26"/>
  <c r="N113" i="26" s="1"/>
  <c r="D20" i="12" s="1"/>
  <c r="I166" i="26"/>
  <c r="I155" i="26"/>
  <c r="I151" i="26"/>
  <c r="I88" i="26"/>
  <c r="I153" i="26"/>
  <c r="I171" i="26"/>
  <c r="I157" i="26"/>
  <c r="I178" i="26"/>
  <c r="I177" i="26"/>
  <c r="I89" i="26"/>
  <c r="I79" i="26"/>
  <c r="I77" i="26"/>
  <c r="I167" i="26"/>
  <c r="I156" i="26"/>
  <c r="I168" i="26"/>
  <c r="I152" i="26"/>
  <c r="Q113" i="26" l="1"/>
  <c r="R110" i="26" s="1"/>
  <c r="P156" i="26"/>
  <c r="L156" i="26"/>
  <c r="N156" i="26" s="1"/>
  <c r="P171" i="26"/>
  <c r="L171" i="26"/>
  <c r="N171" i="26" s="1"/>
  <c r="P167" i="26"/>
  <c r="L167" i="26"/>
  <c r="N167" i="26" s="1"/>
  <c r="P166" i="26"/>
  <c r="L166" i="26"/>
  <c r="N166" i="26" s="1"/>
  <c r="P152" i="26"/>
  <c r="L152" i="26"/>
  <c r="N152" i="26" s="1"/>
  <c r="E20" i="12"/>
  <c r="J20" i="12" s="1"/>
  <c r="L20" i="12" s="1"/>
  <c r="P177" i="26"/>
  <c r="L177" i="26"/>
  <c r="N177" i="26" s="1"/>
  <c r="P153" i="26"/>
  <c r="L153" i="26"/>
  <c r="N153" i="26" s="1"/>
  <c r="P168" i="26"/>
  <c r="L168" i="26"/>
  <c r="N168" i="26" s="1"/>
  <c r="P157" i="26"/>
  <c r="L157" i="26"/>
  <c r="N157" i="26" s="1"/>
  <c r="Q93" i="26"/>
  <c r="P77" i="26"/>
  <c r="L77" i="26"/>
  <c r="N77" i="26" s="1"/>
  <c r="P178" i="26"/>
  <c r="L178" i="26"/>
  <c r="N178" i="26" s="1"/>
  <c r="P89" i="26"/>
  <c r="L89" i="26"/>
  <c r="N89" i="26" s="1"/>
  <c r="P88" i="26"/>
  <c r="L88" i="26"/>
  <c r="N88" i="26" s="1"/>
  <c r="P79" i="26"/>
  <c r="L79" i="26"/>
  <c r="N79" i="26" s="1"/>
  <c r="F20" i="12"/>
  <c r="E19" i="12" l="1"/>
  <c r="Q152" i="26"/>
  <c r="Q168" i="26"/>
  <c r="Q177" i="26"/>
  <c r="Q166" i="26"/>
  <c r="Q171" i="26"/>
  <c r="Q77" i="26"/>
  <c r="Q157" i="26"/>
  <c r="Q153" i="26"/>
  <c r="D23" i="12"/>
  <c r="E23" i="12"/>
  <c r="P308" i="26"/>
  <c r="E6" i="26" s="1"/>
  <c r="Q167" i="26"/>
  <c r="Q156" i="26"/>
  <c r="Q88" i="26"/>
  <c r="Q178" i="26"/>
  <c r="D19" i="12"/>
  <c r="Q79" i="26"/>
  <c r="Q89" i="26"/>
  <c r="J19" i="12" l="1"/>
  <c r="L19" i="12" s="1"/>
  <c r="P310" i="26"/>
  <c r="Q310" i="26" s="1"/>
  <c r="R310" i="26" s="1"/>
  <c r="R133" i="26"/>
  <c r="F23" i="12"/>
  <c r="J23" i="12"/>
  <c r="L23" i="12" s="1"/>
  <c r="R67" i="26"/>
  <c r="E32" i="12"/>
  <c r="E34" i="12" s="1"/>
  <c r="F34" i="12" s="1"/>
  <c r="E5" i="26"/>
  <c r="F19" i="12"/>
  <c r="P309" i="26"/>
  <c r="Q309" i="26" s="1"/>
  <c r="R309" i="26" s="1"/>
  <c r="E33" i="12" l="1"/>
  <c r="F33" i="12" s="1"/>
  <c r="L55" i="26"/>
  <c r="N55" i="26" s="1"/>
  <c r="Q55" i="26" s="1"/>
  <c r="L34" i="26"/>
  <c r="N34" i="26" s="1"/>
  <c r="Q34" i="26" s="1"/>
  <c r="L44" i="26"/>
  <c r="N44" i="26" s="1"/>
  <c r="Q44" i="26" s="1"/>
  <c r="L27" i="26"/>
  <c r="N27" i="26" s="1"/>
  <c r="L36" i="26"/>
  <c r="N36" i="26" s="1"/>
  <c r="Q36" i="26" s="1"/>
  <c r="L65" i="26"/>
  <c r="N65" i="26" s="1"/>
  <c r="Q65" i="26" s="1"/>
  <c r="L35" i="26"/>
  <c r="N35" i="26" s="1"/>
  <c r="Q35" i="26" s="1"/>
  <c r="P312" i="26"/>
  <c r="P313" i="26" s="1"/>
  <c r="L308" i="26" l="1"/>
  <c r="Q27" i="26"/>
  <c r="D18" i="12"/>
  <c r="N308" i="26"/>
  <c r="J18" i="12" l="1"/>
  <c r="D32" i="12"/>
  <c r="D35" i="12" s="1"/>
  <c r="F35" i="12" s="1"/>
  <c r="E7" i="26"/>
  <c r="N311" i="26"/>
  <c r="R18" i="26"/>
  <c r="R308" i="26" s="1"/>
  <c r="Q308" i="26"/>
  <c r="F18" i="12"/>
  <c r="F32" i="12" s="1"/>
  <c r="G18" i="12" l="1"/>
  <c r="G29" i="12"/>
  <c r="G30" i="12"/>
  <c r="G24" i="12"/>
  <c r="G25" i="12"/>
  <c r="G28" i="12"/>
  <c r="G26" i="12"/>
  <c r="G21" i="12"/>
  <c r="G31" i="12"/>
  <c r="G27" i="12"/>
  <c r="G22" i="12"/>
  <c r="F36" i="12"/>
  <c r="F37" i="12" s="1"/>
  <c r="G20" i="12"/>
  <c r="G23" i="12"/>
  <c r="G19" i="12"/>
  <c r="E4" i="26"/>
  <c r="N312" i="26"/>
  <c r="Q311" i="26"/>
  <c r="R311" i="26" s="1"/>
  <c r="L18" i="12"/>
  <c r="J32" i="12"/>
  <c r="L32" i="12" s="1"/>
  <c r="N313" i="26" l="1"/>
  <c r="Q312" i="26"/>
  <c r="E8" i="26"/>
  <c r="E9" i="26" l="1"/>
  <c r="R312" i="26"/>
  <c r="R313" i="26" s="1"/>
  <c r="Q313" i="26"/>
  <c r="F50" i="12" l="1"/>
  <c r="G50" i="12" s="1"/>
  <c r="F62" i="12"/>
  <c r="G62" i="12" s="1"/>
  <c r="F47" i="12"/>
  <c r="G47" i="12" s="1"/>
  <c r="D65" i="12"/>
  <c r="D57" i="12"/>
  <c r="E59" i="12"/>
  <c r="F59" i="12"/>
  <c r="G59" i="12" s="1"/>
  <c r="E66" i="12"/>
  <c r="D63" i="12"/>
  <c r="F48" i="12"/>
  <c r="G48" i="12" s="1"/>
  <c r="D67" i="12"/>
  <c r="E54" i="12"/>
  <c r="F55" i="12"/>
  <c r="G55" i="12" s="1"/>
  <c r="D64" i="12"/>
  <c r="D66" i="12"/>
  <c r="E55" i="12"/>
  <c r="D58" i="12"/>
  <c r="F46" i="12"/>
  <c r="G46" i="12" s="1"/>
  <c r="F64" i="12"/>
  <c r="G64" i="12" s="1"/>
  <c r="D54" i="12"/>
  <c r="D48" i="12"/>
  <c r="E56" i="12"/>
  <c r="F67" i="12"/>
  <c r="G67" i="12" s="1"/>
  <c r="F56" i="12"/>
  <c r="G56" i="12" s="1"/>
  <c r="F54" i="12"/>
  <c r="G54" i="12" s="1"/>
  <c r="F63" i="12"/>
  <c r="G63" i="12" s="1"/>
  <c r="F70" i="12"/>
  <c r="G70" i="12" s="1"/>
  <c r="D69" i="12"/>
  <c r="D59" i="12"/>
  <c r="E63" i="12"/>
  <c r="D71" i="12"/>
  <c r="E67" i="12"/>
  <c r="E51" i="12"/>
  <c r="F49" i="12"/>
  <c r="G49" i="12" s="1"/>
  <c r="D62" i="12"/>
  <c r="F58" i="12"/>
  <c r="G58" i="12" s="1"/>
  <c r="F60" i="12"/>
  <c r="G60" i="12" s="1"/>
  <c r="E70" i="12"/>
  <c r="D55" i="12"/>
  <c r="D60" i="12"/>
  <c r="E65" i="12"/>
  <c r="D52" i="12"/>
  <c r="E71" i="12"/>
  <c r="F68" i="12"/>
  <c r="G68" i="12" s="1"/>
  <c r="E64" i="12"/>
  <c r="J64" i="12" s="1"/>
  <c r="L64" i="12" s="1"/>
  <c r="E50" i="12"/>
  <c r="E57" i="12"/>
  <c r="J71" i="12"/>
  <c r="L71" i="12" s="1"/>
  <c r="F61" i="12"/>
  <c r="G61" i="12" s="1"/>
  <c r="D47" i="12"/>
  <c r="D50" i="12"/>
  <c r="E48" i="12"/>
  <c r="J48" i="12" s="1"/>
  <c r="L48" i="12" s="1"/>
  <c r="E62" i="12"/>
  <c r="E61" i="12"/>
  <c r="F69" i="12"/>
  <c r="G69" i="12" s="1"/>
  <c r="E49" i="12"/>
  <c r="D49" i="12"/>
  <c r="D10" i="12"/>
  <c r="K6" i="12" s="1"/>
  <c r="F52" i="12"/>
  <c r="G52" i="12" s="1"/>
  <c r="F65" i="12"/>
  <c r="G65" i="12" s="1"/>
  <c r="F57" i="12"/>
  <c r="G57" i="12" s="1"/>
  <c r="E47" i="12"/>
  <c r="E52" i="12"/>
  <c r="D46" i="12"/>
  <c r="D68" i="12"/>
  <c r="E68" i="12"/>
  <c r="D53" i="12"/>
  <c r="F71" i="12"/>
  <c r="G71" i="12" s="1"/>
  <c r="E46" i="12"/>
  <c r="E69" i="12"/>
  <c r="D56" i="12"/>
  <c r="F66" i="12"/>
  <c r="G66" i="12" s="1"/>
  <c r="E53" i="12"/>
  <c r="E58" i="12"/>
  <c r="D70" i="12"/>
  <c r="D61" i="12"/>
  <c r="F51" i="12"/>
  <c r="G51" i="12" s="1"/>
  <c r="F53" i="12"/>
  <c r="G53" i="12" s="1"/>
  <c r="D51" i="12"/>
  <c r="E60" i="12"/>
  <c r="J55" i="12" l="1"/>
  <c r="L55" i="12" s="1"/>
  <c r="J62" i="12"/>
  <c r="L62" i="12" s="1"/>
  <c r="J56" i="12"/>
  <c r="L56" i="12" s="1"/>
  <c r="J69" i="12"/>
  <c r="L69" i="12" s="1"/>
  <c r="J59" i="12"/>
  <c r="L59" i="12" s="1"/>
  <c r="J65" i="12"/>
  <c r="L65" i="12" s="1"/>
  <c r="J54" i="12"/>
  <c r="L54" i="12" s="1"/>
  <c r="J58" i="12"/>
  <c r="L58" i="12" s="1"/>
  <c r="J66" i="12"/>
  <c r="L66" i="12" s="1"/>
  <c r="J57" i="12"/>
  <c r="L57" i="12" s="1"/>
  <c r="J63" i="12"/>
  <c r="L63" i="12" s="1"/>
  <c r="J67" i="12"/>
  <c r="L67" i="12" s="1"/>
  <c r="J50" i="12"/>
  <c r="L50" i="12" s="1"/>
  <c r="J70" i="12"/>
  <c r="L70" i="12" s="1"/>
  <c r="J47" i="12"/>
  <c r="L47" i="12" s="1"/>
  <c r="J51" i="12"/>
  <c r="L51" i="12" s="1"/>
  <c r="J60" i="12"/>
  <c r="L60" i="12" s="1"/>
  <c r="J52" i="12"/>
  <c r="L52" i="12" s="1"/>
  <c r="J49" i="12"/>
  <c r="L49" i="12" s="1"/>
  <c r="J61" i="12"/>
  <c r="L61" i="12" s="1"/>
  <c r="E72" i="12"/>
  <c r="F72" i="12"/>
  <c r="J53" i="12"/>
  <c r="L53" i="12" s="1"/>
  <c r="J68" i="12"/>
  <c r="L68" i="12" s="1"/>
  <c r="J46" i="12"/>
  <c r="D72" i="12"/>
  <c r="D75" i="12" s="1"/>
  <c r="F75" i="12" s="1"/>
  <c r="E74" i="12" l="1"/>
  <c r="F74" i="12" s="1"/>
  <c r="E73" i="12"/>
  <c r="F73" i="12" s="1"/>
  <c r="J72" i="12"/>
  <c r="L72" i="12" s="1"/>
  <c r="L46" i="12"/>
  <c r="F76" i="12" l="1"/>
  <c r="F77" i="12" s="1"/>
  <c r="A306" i="26" l="1"/>
</calcChain>
</file>

<file path=xl/sharedStrings.xml><?xml version="1.0" encoding="utf-8"?>
<sst xmlns="http://schemas.openxmlformats.org/spreadsheetml/2006/main" count="1318" uniqueCount="443">
  <si>
    <t>UNIT</t>
  </si>
  <si>
    <t>DESCRIPTION</t>
  </si>
  <si>
    <t>ITEM #</t>
  </si>
  <si>
    <t>QTY.</t>
  </si>
  <si>
    <t>SUB TOTAL</t>
  </si>
  <si>
    <t>ITEM COST</t>
  </si>
  <si>
    <t>Estimate of Materials and Cost of Construction</t>
  </si>
  <si>
    <t>Date:</t>
  </si>
  <si>
    <t>Project:</t>
  </si>
  <si>
    <t>Project Location:</t>
  </si>
  <si>
    <t>REF. SHEET</t>
  </si>
  <si>
    <t>CSI SECT</t>
  </si>
  <si>
    <t>QTY WITH
WASTAGE</t>
  </si>
  <si>
    <t>WASTAGE</t>
  </si>
  <si>
    <t>UNIT MATERIAL COST</t>
  </si>
  <si>
    <t>DETAIL</t>
  </si>
  <si>
    <t>EA</t>
  </si>
  <si>
    <t>SF</t>
  </si>
  <si>
    <t>LS</t>
  </si>
  <si>
    <t>LF</t>
  </si>
  <si>
    <t>DIV-01</t>
  </si>
  <si>
    <t>DIV-09</t>
  </si>
  <si>
    <t>TOTAL MATERIAL COST</t>
  </si>
  <si>
    <t>TOTAL LABOR COST</t>
  </si>
  <si>
    <t>Total Mat. Cost =</t>
  </si>
  <si>
    <t>Total Lab. Cost =</t>
  </si>
  <si>
    <t>DIV-08</t>
  </si>
  <si>
    <t/>
  </si>
  <si>
    <t>Openings</t>
  </si>
  <si>
    <t>Finishes</t>
  </si>
  <si>
    <t>UNIT LABOR HOURS</t>
  </si>
  <si>
    <t>TOTAL LABOR HOURS</t>
  </si>
  <si>
    <t>DIV-06</t>
  </si>
  <si>
    <t>DIV-11</t>
  </si>
  <si>
    <t>DIV-12</t>
  </si>
  <si>
    <t>Furniture</t>
  </si>
  <si>
    <t>DIV-22</t>
  </si>
  <si>
    <t>Sheathing</t>
  </si>
  <si>
    <t>DIV-02</t>
  </si>
  <si>
    <t>DIV-03</t>
  </si>
  <si>
    <t>Concrete</t>
  </si>
  <si>
    <t>CY</t>
  </si>
  <si>
    <t>DIV-07</t>
  </si>
  <si>
    <t>DIV-23</t>
  </si>
  <si>
    <t>DIV-26</t>
  </si>
  <si>
    <t>DIV-10</t>
  </si>
  <si>
    <t>DIV-31</t>
  </si>
  <si>
    <t>Fireplace</t>
  </si>
  <si>
    <t>PER HOUR LABOR RATE</t>
  </si>
  <si>
    <t>Sub Contractor</t>
  </si>
  <si>
    <t>Structural Steel</t>
  </si>
  <si>
    <t>Roof Sheathing</t>
  </si>
  <si>
    <t>Window Installer</t>
  </si>
  <si>
    <t>Siding Contractor</t>
  </si>
  <si>
    <t>Roofer</t>
  </si>
  <si>
    <t>Insulation</t>
  </si>
  <si>
    <t>Interior Painter</t>
  </si>
  <si>
    <t>Exterior Painter</t>
  </si>
  <si>
    <t>Flooring</t>
  </si>
  <si>
    <t>Cabinetry</t>
  </si>
  <si>
    <t>Tiler</t>
  </si>
  <si>
    <t>Storefront</t>
  </si>
  <si>
    <t>Project Type:</t>
  </si>
  <si>
    <t>Framer Lumber</t>
  </si>
  <si>
    <t>Framer Rough Carpenter</t>
  </si>
  <si>
    <t>Paving</t>
  </si>
  <si>
    <t>Site Paint</t>
  </si>
  <si>
    <t>Finish Carpenter</t>
  </si>
  <si>
    <t>Wall Covering</t>
  </si>
  <si>
    <t>Irrigation</t>
  </si>
  <si>
    <t>Erosion Control</t>
  </si>
  <si>
    <t>Final Cleaning</t>
  </si>
  <si>
    <t>Truss</t>
  </si>
  <si>
    <t>Curtain Wall</t>
  </si>
  <si>
    <t>DIV-04</t>
  </si>
  <si>
    <t>DIV-05</t>
  </si>
  <si>
    <t>DIV-32</t>
  </si>
  <si>
    <t>No. of Units</t>
  </si>
  <si>
    <t>No. of Floors</t>
  </si>
  <si>
    <t>Material Wastage 1</t>
  </si>
  <si>
    <t>Material Wastage 2</t>
  </si>
  <si>
    <t>Total Bid</t>
  </si>
  <si>
    <t>Pergolas</t>
  </si>
  <si>
    <t>Trellis</t>
  </si>
  <si>
    <t>(Adjust the percentage for Overhead &amp; Profit as required)</t>
  </si>
  <si>
    <t xml:space="preserve">Sub-Total    </t>
  </si>
  <si>
    <t>Material Tax</t>
  </si>
  <si>
    <t>TOTAL BASE BID</t>
  </si>
  <si>
    <t>TRADE COST</t>
  </si>
  <si>
    <t>Surveying</t>
  </si>
  <si>
    <t>Concrete Testing</t>
  </si>
  <si>
    <t>Plan Coordination</t>
  </si>
  <si>
    <t>Plan Design and Permitting</t>
  </si>
  <si>
    <t>Tool Rentals</t>
  </si>
  <si>
    <t>Tool Shed</t>
  </si>
  <si>
    <t>Dust Control</t>
  </si>
  <si>
    <t>Ice, Water, Beverages</t>
  </si>
  <si>
    <t>Equipment and Tools</t>
  </si>
  <si>
    <t>Signage and Promotion</t>
  </si>
  <si>
    <t>Job Signs</t>
  </si>
  <si>
    <t>Job Photos</t>
  </si>
  <si>
    <t>Promotion/entertainment</t>
  </si>
  <si>
    <t>Misc.</t>
  </si>
  <si>
    <t>Trash</t>
  </si>
  <si>
    <t>Punch List Items</t>
  </si>
  <si>
    <t>Cleaning and Final</t>
  </si>
  <si>
    <t>Casualty Insurance</t>
  </si>
  <si>
    <t>Medical Insurance</t>
  </si>
  <si>
    <t>General Liability Insurance</t>
  </si>
  <si>
    <t>Bonds, Insurance, Legal</t>
  </si>
  <si>
    <t>Wastage</t>
  </si>
  <si>
    <t>Unit</t>
  </si>
  <si>
    <t>LBS</t>
  </si>
  <si>
    <t xml:space="preserve"> ( for Quantities in Each &amp; LS)</t>
  </si>
  <si>
    <t>DIV-33</t>
  </si>
  <si>
    <t>DIV-13</t>
  </si>
  <si>
    <t>Special Construction</t>
  </si>
  <si>
    <t>DIV-14</t>
  </si>
  <si>
    <t>DIV-21</t>
  </si>
  <si>
    <t>Fire Suppression</t>
  </si>
  <si>
    <t>DIV-27</t>
  </si>
  <si>
    <t>Utilities</t>
  </si>
  <si>
    <t>Plumber</t>
  </si>
  <si>
    <t>Dry Waller</t>
  </si>
  <si>
    <t>Earth worker</t>
  </si>
  <si>
    <t>Appliances</t>
  </si>
  <si>
    <t>Total Lab. Hours =</t>
  </si>
  <si>
    <t>Carpenter Millwork</t>
  </si>
  <si>
    <t>Div-28</t>
  </si>
  <si>
    <t>Electronic Safety and Security (FA)</t>
  </si>
  <si>
    <t>Permits (Based on interior finish area)</t>
  </si>
  <si>
    <t>Communication</t>
  </si>
  <si>
    <t>Utilities during construction (Based on interior finish area)</t>
  </si>
  <si>
    <t>Port-o-Potty (Based on interior finish area)</t>
  </si>
  <si>
    <t>Temporary Power (Based on interior finish area)</t>
  </si>
  <si>
    <t xml:space="preserve">Signage  </t>
  </si>
  <si>
    <t>Framer Light Gauge</t>
  </si>
  <si>
    <t>Framer Cold Form</t>
  </si>
  <si>
    <t>Doors &amp; Hardware</t>
  </si>
  <si>
    <t>Pool</t>
  </si>
  <si>
    <t>Awnings / Canopies</t>
  </si>
  <si>
    <t>Millwork</t>
  </si>
  <si>
    <t>Countertops</t>
  </si>
  <si>
    <t>Site Signage</t>
  </si>
  <si>
    <t>Site Concrete</t>
  </si>
  <si>
    <t>Interior Signage</t>
  </si>
  <si>
    <t>Electrician</t>
  </si>
  <si>
    <r>
      <t xml:space="preserve">Engineering </t>
    </r>
    <r>
      <rPr>
        <sz val="12"/>
        <color rgb="FFFF0000"/>
        <rFont val="Calibri"/>
        <family val="2"/>
        <scheme val="minor"/>
      </rPr>
      <t xml:space="preserve"> (Assumed By Owner)</t>
    </r>
  </si>
  <si>
    <r>
      <t xml:space="preserve">Soils Report </t>
    </r>
    <r>
      <rPr>
        <sz val="12"/>
        <color rgb="FFFF0000"/>
        <rFont val="Calibri"/>
        <family val="2"/>
        <scheme val="minor"/>
      </rPr>
      <t xml:space="preserve"> (Assumed By Owner)</t>
    </r>
  </si>
  <si>
    <t>Roof Inspection</t>
  </si>
  <si>
    <t>Gross Internal Area of Structure (SF)</t>
  </si>
  <si>
    <t>Covered Area of Structure (SF)</t>
  </si>
  <si>
    <t>General</t>
  </si>
  <si>
    <t>Hardscaping Area (SF)</t>
  </si>
  <si>
    <t>Soft scaping Area (SF)</t>
  </si>
  <si>
    <t>Landscaper</t>
  </si>
  <si>
    <t>Shoring/SOE</t>
  </si>
  <si>
    <t>TONS</t>
  </si>
  <si>
    <t>Pre-Engineered Metal Building</t>
  </si>
  <si>
    <t>MATERIAL TAX</t>
  </si>
  <si>
    <t>Plumbing</t>
  </si>
  <si>
    <t>Electrical</t>
  </si>
  <si>
    <t>Communications</t>
  </si>
  <si>
    <t>DIV-28</t>
  </si>
  <si>
    <t>Asbestos Worker</t>
  </si>
  <si>
    <t>Glazier</t>
  </si>
  <si>
    <t>Ornamental Steel</t>
  </si>
  <si>
    <t>Equipment</t>
  </si>
  <si>
    <t>Specialties</t>
  </si>
  <si>
    <t>Hazardous Material Handler</t>
  </si>
  <si>
    <t>TOTAL COSTS</t>
  </si>
  <si>
    <t>Scope of Work:</t>
  </si>
  <si>
    <t>COST SUMMARY</t>
  </si>
  <si>
    <t>Bond Fee</t>
  </si>
  <si>
    <t>(Adjust the percentage for Bond Fee as required)</t>
  </si>
  <si>
    <t>Window washing (rough # of windows )</t>
  </si>
  <si>
    <t>Total Base Bid:</t>
  </si>
  <si>
    <t xml:space="preserve">Project Type: </t>
  </si>
  <si>
    <t>Labor Cost</t>
  </si>
  <si>
    <t>Material Cost</t>
  </si>
  <si>
    <t>Total Cost</t>
  </si>
  <si>
    <t>General Requirements</t>
  </si>
  <si>
    <t>Existing conditions</t>
  </si>
  <si>
    <t>Wood, Plastics &amp; Composites</t>
  </si>
  <si>
    <t>Furnishings</t>
  </si>
  <si>
    <t>Heating, Ventilating, &amp; Air conditioning</t>
  </si>
  <si>
    <t>Electronic Safety &amp; Security</t>
  </si>
  <si>
    <t>CSI Division</t>
  </si>
  <si>
    <t>% of sub-total</t>
  </si>
  <si>
    <t>Comparison with Sub-Quotes</t>
  </si>
  <si>
    <t>Div. No.</t>
  </si>
  <si>
    <t>% of sub-total cost</t>
  </si>
  <si>
    <t>For Client's Use Only</t>
  </si>
  <si>
    <t>Staircases and Railings - Wood</t>
  </si>
  <si>
    <t>Staircases and Railings - Metal</t>
  </si>
  <si>
    <t>Dewatering</t>
  </si>
  <si>
    <t>Exterior  improvements</t>
  </si>
  <si>
    <t>Exterior Signage</t>
  </si>
  <si>
    <t>Site Electrical</t>
  </si>
  <si>
    <t>Demo - Site</t>
  </si>
  <si>
    <t>Site Furnishing</t>
  </si>
  <si>
    <t>Z</t>
  </si>
  <si>
    <t>CSI Div.</t>
  </si>
  <si>
    <t>Hourly Rates</t>
  </si>
  <si>
    <r>
      <t xml:space="preserve">Note: </t>
    </r>
    <r>
      <rPr>
        <b/>
        <sz val="12"/>
        <rFont val="Calibri"/>
        <family val="2"/>
        <scheme val="minor"/>
      </rPr>
      <t xml:space="preserve">Adjusting the per hour labor rate in the table below will automatically update the labor pricing for whole project. To bypass the per hour labor rate for a single item, please put the per hour labor rate against that item in column M of relative tab.
</t>
    </r>
  </si>
  <si>
    <t>DIV-00</t>
  </si>
  <si>
    <r>
      <rPr>
        <b/>
        <sz val="16"/>
        <color rgb="FFFF0000"/>
        <rFont val="Times New Roman"/>
        <family val="1"/>
      </rPr>
      <t>Note:</t>
    </r>
    <r>
      <rPr>
        <b/>
        <sz val="16"/>
        <rFont val="Times New Roman"/>
        <family val="1"/>
      </rPr>
      <t xml:space="preserve"> </t>
    </r>
    <r>
      <rPr>
        <sz val="16"/>
        <rFont val="Times New Roman"/>
        <family val="1"/>
      </rPr>
      <t>To change hourly rates for any trade please go to "Hourly Rates" Tab</t>
    </r>
  </si>
  <si>
    <t>Sub-Contractor/Trade List</t>
  </si>
  <si>
    <t>DIV-1</t>
  </si>
  <si>
    <t>Please read the pdf file 'Guidelines to use Excel'  sent with the estimate in the drop box link.</t>
  </si>
  <si>
    <t>Precast Concrete</t>
  </si>
  <si>
    <t>Playground Equipment</t>
  </si>
  <si>
    <t>Demo - Building</t>
  </si>
  <si>
    <t>GC</t>
  </si>
  <si>
    <t>Joint Sealants</t>
  </si>
  <si>
    <t>Mailboxes</t>
  </si>
  <si>
    <t>Concrete - Building</t>
  </si>
  <si>
    <t>Fencing and Gates - Wood</t>
  </si>
  <si>
    <t>Fencing and Gates - Metal</t>
  </si>
  <si>
    <t>Stucco - EIFS</t>
  </si>
  <si>
    <t>Mason - CMU</t>
  </si>
  <si>
    <t>(Adjust the percentage for Material tax as required)</t>
  </si>
  <si>
    <t xml:space="preserve">                                  (Changing the wastage percentage here will update the wastage for whole tab)</t>
  </si>
  <si>
    <t>Garbage Dumpster / Trash Containers</t>
  </si>
  <si>
    <t>BASE BID /ALTERNATES/ALLOWANCES</t>
  </si>
  <si>
    <t>SY</t>
  </si>
  <si>
    <t xml:space="preserve"> ( for Quantities in LF, SF, SY, CY, LBS, TONS)</t>
  </si>
  <si>
    <r>
      <t xml:space="preserve">Geological Report  </t>
    </r>
    <r>
      <rPr>
        <sz val="12"/>
        <color rgb="FFFF0000"/>
        <rFont val="Calibri"/>
        <family val="2"/>
        <scheme val="minor"/>
      </rPr>
      <t>(Assumed By Owner)</t>
    </r>
  </si>
  <si>
    <t>CSI Summary for Base Bid</t>
  </si>
  <si>
    <t>Fencing and Gates - Other</t>
  </si>
  <si>
    <t>Sub-Contractor/Trade Summary for Base Bid</t>
  </si>
  <si>
    <t>Mechanical</t>
  </si>
  <si>
    <t>Mason - Cast Stone</t>
  </si>
  <si>
    <t>Mason - Brick Veneer</t>
  </si>
  <si>
    <t>Paneling - Metal</t>
  </si>
  <si>
    <t>Paneling - Wood</t>
  </si>
  <si>
    <t>Paneling - Other</t>
  </si>
  <si>
    <t>Water Proofing &amp; Damp Proofing</t>
  </si>
  <si>
    <t>Cladding - Metal</t>
  </si>
  <si>
    <t>Cladding - Wood</t>
  </si>
  <si>
    <t>Cladding - Other</t>
  </si>
  <si>
    <t>Wire Shelving</t>
  </si>
  <si>
    <t>Accessories</t>
  </si>
  <si>
    <t>Acoustical and Metal Ceiling</t>
  </si>
  <si>
    <t>Elevator</t>
  </si>
  <si>
    <r>
      <t>Architecture</t>
    </r>
    <r>
      <rPr>
        <sz val="12"/>
        <color rgb="FFFF0000"/>
        <rFont val="Calibri"/>
        <family val="2"/>
        <scheme val="minor"/>
      </rPr>
      <t xml:space="preserve"> (Assumed By Owner)</t>
    </r>
  </si>
  <si>
    <t xml:space="preserve">Toilet Partitions </t>
  </si>
  <si>
    <t>DIV-34</t>
  </si>
  <si>
    <t>CLICK HERE TO GO BACK TO COST SUMMARY</t>
  </si>
  <si>
    <t>Hourly Rates Tab</t>
  </si>
  <si>
    <t>Permit Fee</t>
  </si>
  <si>
    <t>Mobilization/Demobilization (Temporary Control &amp; Facilities)</t>
  </si>
  <si>
    <t>Project Management &amp; Supervision</t>
  </si>
  <si>
    <t>Ceiling - Others</t>
  </si>
  <si>
    <t>Clean - Power Wash</t>
  </si>
  <si>
    <t>Clearing &amp; Grubbing</t>
  </si>
  <si>
    <t>Fire Proofing</t>
  </si>
  <si>
    <t>Folding/Moveable Partition</t>
  </si>
  <si>
    <t>Skylight</t>
  </si>
  <si>
    <t>Traffic Control</t>
  </si>
  <si>
    <r>
      <t>Note:</t>
    </r>
    <r>
      <rPr>
        <b/>
        <sz val="16"/>
        <rFont val="Calibri"/>
        <family val="2"/>
        <scheme val="minor"/>
      </rPr>
      <t xml:space="preserve"> Click on any of the above text to go to the relevant Tab</t>
    </r>
  </si>
  <si>
    <t>Piling</t>
  </si>
  <si>
    <t>BOND FEE</t>
  </si>
  <si>
    <r>
      <t xml:space="preserve">Overhead &amp; Profit </t>
    </r>
    <r>
      <rPr>
        <b/>
        <sz val="13"/>
        <color rgb="FFFF0000"/>
        <rFont val="Calibri"/>
        <family val="2"/>
        <scheme val="minor"/>
      </rPr>
      <t>(Labor)</t>
    </r>
  </si>
  <si>
    <r>
      <t xml:space="preserve">Overhead &amp; Profit / Inflation </t>
    </r>
    <r>
      <rPr>
        <b/>
        <sz val="13"/>
        <color rgb="FFFF0000"/>
        <rFont val="Calibri"/>
        <family val="2"/>
        <scheme val="minor"/>
      </rPr>
      <t>(Material)</t>
    </r>
  </si>
  <si>
    <r>
      <t>OVERHEAD &amp; PROFIT / INFLATION</t>
    </r>
    <r>
      <rPr>
        <b/>
        <sz val="12"/>
        <color rgb="FFFF0000"/>
        <rFont val="Calibri"/>
        <family val="2"/>
        <scheme val="minor"/>
      </rPr>
      <t xml:space="preserve"> (Material)</t>
    </r>
  </si>
  <si>
    <r>
      <t>OVERHEAD &amp; PROF</t>
    </r>
    <r>
      <rPr>
        <b/>
        <sz val="12"/>
        <rFont val="Calibri"/>
        <family val="2"/>
      </rPr>
      <t>IT / INFLATION</t>
    </r>
    <r>
      <rPr>
        <b/>
        <sz val="12"/>
        <color rgb="FFFF0000"/>
        <rFont val="Calibri"/>
        <family val="2"/>
      </rPr>
      <t xml:space="preserve"> (Material)</t>
    </r>
  </si>
  <si>
    <r>
      <t>OVERHEAD &amp; PROFIT</t>
    </r>
    <r>
      <rPr>
        <b/>
        <sz val="12"/>
        <color rgb="FFFF0000"/>
        <rFont val="Calibri"/>
        <family val="2"/>
      </rPr>
      <t xml:space="preserve"> (Labor)</t>
    </r>
  </si>
  <si>
    <t>Division Cost with OH&amp;P &amp; Material Tax</t>
  </si>
  <si>
    <t>Enter Sub-Quotes Below</t>
  </si>
  <si>
    <t>Difference</t>
  </si>
  <si>
    <t>Finalized Bid amount</t>
  </si>
  <si>
    <t>Remarks</t>
  </si>
  <si>
    <r>
      <t xml:space="preserve">OVERHEAD &amp; PROFIT </t>
    </r>
    <r>
      <rPr>
        <b/>
        <sz val="12"/>
        <color rgb="FFFF0000"/>
        <rFont val="Calibri"/>
        <family val="2"/>
        <scheme val="minor"/>
      </rPr>
      <t>(Labor)</t>
    </r>
  </si>
  <si>
    <t>Sub Contractor Cost with OH&amp;P &amp; Material Tax</t>
  </si>
  <si>
    <t>Please don’t edit anything below, without the approval of the Manager (Estimating Department)</t>
  </si>
  <si>
    <t>Base bid</t>
  </si>
  <si>
    <t>Lighting Fixtures</t>
  </si>
  <si>
    <t>Wiring &amp; Conduits</t>
  </si>
  <si>
    <t>Selective Removals And Demolition</t>
  </si>
  <si>
    <t>Demolition</t>
  </si>
  <si>
    <t>Architecture Demolition</t>
  </si>
  <si>
    <t>Remove Existing Countertop</t>
  </si>
  <si>
    <t>Removed Existing Stud Wall</t>
  </si>
  <si>
    <t>Remover Existing Tile Wall Base</t>
  </si>
  <si>
    <t>Remover Existing Wood Wall Base</t>
  </si>
  <si>
    <t>Remove Existing (3'0"x8'0")Door &amp; Frame</t>
  </si>
  <si>
    <t>Remove Existing Toilet Paper Holder</t>
  </si>
  <si>
    <t>Remove 3' Wide Existing Case Opening</t>
  </si>
  <si>
    <t>Remove Existing Water Closet</t>
  </si>
  <si>
    <t>Remove Existing Water Urinal</t>
  </si>
  <si>
    <t>Remove Existing Lavatory w/ Faucet</t>
  </si>
  <si>
    <t>Remove Water Heater</t>
  </si>
  <si>
    <t>Remove Mop Sink</t>
  </si>
  <si>
    <t>Plumbing Demolition</t>
  </si>
  <si>
    <t>Mechanical Demolition</t>
  </si>
  <si>
    <t>Remove Existing Exhaust Fan</t>
  </si>
  <si>
    <t>Electrical Demolition</t>
  </si>
  <si>
    <t>Disconnect And Remove Existing Lighting And Switches In this Area Of Renovation. Label
Existing Lighting Circuits For Reuse In Renovation</t>
  </si>
  <si>
    <t>Remove Existing Receptacle</t>
  </si>
  <si>
    <t>Remove Conductors &amp; Conduits For Hand Dryer</t>
  </si>
  <si>
    <t>A2.00</t>
  </si>
  <si>
    <t>E2.01</t>
  </si>
  <si>
    <t>M2.01</t>
  </si>
  <si>
    <t>Stud Walls</t>
  </si>
  <si>
    <t>3-5/8" Top and Bottom track</t>
  </si>
  <si>
    <t>Acoustical Sealant at top and bottom of walls on each side</t>
  </si>
  <si>
    <t>5/8" Water Resistant Gypsum board on both side (4'X8' Ea.)</t>
  </si>
  <si>
    <t>5/8" Water Resistant Gypsum board on one side (4'X8' Ea.)</t>
  </si>
  <si>
    <t xml:space="preserve">3-5/8" 22GA Metal Studs @ 16" O.C. (9' H)   </t>
  </si>
  <si>
    <t>5/8" Type "x" Fire Code Gypsum board on one side (4'X8' Ea.)</t>
  </si>
  <si>
    <t>Sound Batt Insulation</t>
  </si>
  <si>
    <t>A2.01</t>
  </si>
  <si>
    <t>Wall Type B2 (9'-0" High)</t>
  </si>
  <si>
    <t>Wall Type B (9'-0" High)</t>
  </si>
  <si>
    <t>Wall Type B1 (9'-0" High)</t>
  </si>
  <si>
    <t>5/8" Tile Backing Panel on both side (4'X8' Ea.)</t>
  </si>
  <si>
    <t>Ceiling Finishes</t>
  </si>
  <si>
    <r>
      <t xml:space="preserve">ACT-1 (24"x24"x3/4" Square Lay-in w/ 15/16" Grid) Acoustical Tile Ceiling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Armstrong, Color: white, Series: Cortege</t>
    </r>
  </si>
  <si>
    <t>Floor Finishes</t>
  </si>
  <si>
    <t>Base</t>
  </si>
  <si>
    <r>
      <rPr>
        <b/>
        <sz val="12"/>
        <rFont val="Calibri"/>
        <family val="2"/>
        <scheme val="minor"/>
      </rPr>
      <t>RB-1</t>
    </r>
    <r>
      <rPr>
        <sz val="12"/>
        <rFont val="Calibri"/>
        <family val="2"/>
        <scheme val="minor"/>
      </rPr>
      <t xml:space="preserve"> (4"x12" Cove Base) Rubber Wall Base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Roppe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#193 Black Brown
</t>
    </r>
    <r>
      <rPr>
        <b/>
        <sz val="12"/>
        <rFont val="Calibri"/>
        <family val="2"/>
        <scheme val="minor"/>
      </rPr>
      <t>Series:</t>
    </r>
    <r>
      <rPr>
        <sz val="12"/>
        <rFont val="Calibri"/>
        <family val="2"/>
        <scheme val="minor"/>
      </rPr>
      <t xml:space="preserve"> Pinnacle</t>
    </r>
  </si>
  <si>
    <r>
      <rPr>
        <b/>
        <sz val="12"/>
        <rFont val="Calibri"/>
        <family val="2"/>
        <scheme val="minor"/>
      </rPr>
      <t xml:space="preserve">PBT-1 </t>
    </r>
    <r>
      <rPr>
        <sz val="12"/>
        <rFont val="Calibri"/>
        <family val="2"/>
        <scheme val="minor"/>
      </rPr>
      <t xml:space="preserve">(6"x12" Cove Base)Porcelain Tile Wall Base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Crossville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Java05 Fresh Ground
</t>
    </r>
    <r>
      <rPr>
        <b/>
        <sz val="12"/>
        <rFont val="Calibri"/>
        <family val="2"/>
        <scheme val="minor"/>
      </rPr>
      <t>Series:</t>
    </r>
    <r>
      <rPr>
        <sz val="12"/>
        <rFont val="Calibri"/>
        <family val="2"/>
        <scheme val="minor"/>
      </rPr>
      <t xml:space="preserve"> Java Joint</t>
    </r>
  </si>
  <si>
    <t>Paint</t>
  </si>
  <si>
    <t>Wall Paint</t>
  </si>
  <si>
    <r>
      <rPr>
        <b/>
        <sz val="12"/>
        <rFont val="Calibri"/>
        <family val="2"/>
        <scheme val="minor"/>
      </rPr>
      <t>P-1</t>
    </r>
    <r>
      <rPr>
        <sz val="12"/>
        <rFont val="Calibri"/>
        <family val="2"/>
        <scheme val="minor"/>
      </rPr>
      <t xml:space="preserve"> Wall Paint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Sherwin Williams
</t>
    </r>
    <r>
      <rPr>
        <b/>
        <sz val="12"/>
        <rFont val="Calibri"/>
        <family val="2"/>
        <scheme val="minor"/>
      </rPr>
      <t>Finish:</t>
    </r>
    <r>
      <rPr>
        <sz val="12"/>
        <rFont val="Calibri"/>
        <family val="2"/>
        <scheme val="minor"/>
      </rPr>
      <t xml:space="preserve"> Stain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SW 6105 Divine White</t>
    </r>
  </si>
  <si>
    <r>
      <rPr>
        <b/>
        <sz val="12"/>
        <rFont val="Calibri"/>
        <family val="2"/>
        <scheme val="minor"/>
      </rPr>
      <t>P-2</t>
    </r>
    <r>
      <rPr>
        <sz val="12"/>
        <rFont val="Calibri"/>
        <family val="2"/>
        <scheme val="minor"/>
      </rPr>
      <t xml:space="preserve"> Wall Paint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Sherwin Williams
</t>
    </r>
    <r>
      <rPr>
        <b/>
        <sz val="12"/>
        <rFont val="Calibri"/>
        <family val="2"/>
        <scheme val="minor"/>
      </rPr>
      <t>Finish:</t>
    </r>
    <r>
      <rPr>
        <sz val="12"/>
        <rFont val="Calibri"/>
        <family val="2"/>
        <scheme val="minor"/>
      </rPr>
      <t xml:space="preserve"> Epoxy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SW 6219 Rain</t>
    </r>
  </si>
  <si>
    <t>Floor Tiles</t>
  </si>
  <si>
    <t>Wall Tiles</t>
  </si>
  <si>
    <r>
      <rPr>
        <b/>
        <sz val="12"/>
        <rFont val="Calibri"/>
        <family val="2"/>
        <scheme val="minor"/>
      </rPr>
      <t>PTW-1</t>
    </r>
    <r>
      <rPr>
        <sz val="12"/>
        <rFont val="Calibri"/>
        <family val="2"/>
        <scheme val="minor"/>
      </rPr>
      <t xml:space="preserve"> (12"x24" &amp; 4"x24" Bullnose) Porcelain Wall Tile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Crossville, 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Java01 Flate White
</t>
    </r>
    <r>
      <rPr>
        <b/>
        <sz val="12"/>
        <rFont val="Calibri"/>
        <family val="2"/>
        <scheme val="minor"/>
      </rPr>
      <t>Series:</t>
    </r>
    <r>
      <rPr>
        <sz val="12"/>
        <rFont val="Calibri"/>
        <family val="2"/>
        <scheme val="minor"/>
      </rPr>
      <t xml:space="preserve"> Java Joint</t>
    </r>
  </si>
  <si>
    <r>
      <t xml:space="preserve">PTW-2 (2"x2" Mosaics) Porcelain Wall Tile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Crossville, 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Java01 Two Sugars 
</t>
    </r>
    <r>
      <rPr>
        <b/>
        <sz val="12"/>
        <rFont val="Calibri"/>
        <family val="2"/>
        <scheme val="minor"/>
      </rPr>
      <t xml:space="preserve">Series: </t>
    </r>
    <r>
      <rPr>
        <sz val="12"/>
        <rFont val="Calibri"/>
        <family val="2"/>
        <scheme val="minor"/>
      </rPr>
      <t>Java Joint</t>
    </r>
  </si>
  <si>
    <t>Doors</t>
  </si>
  <si>
    <t>Door Hardware</t>
  </si>
  <si>
    <t>3'0" S.S Grab Bar</t>
  </si>
  <si>
    <t>(24"X36") Mirror</t>
  </si>
  <si>
    <t>Toilet Paper Dispenser</t>
  </si>
  <si>
    <t>Sanitary Napkin Disposal</t>
  </si>
  <si>
    <t>Wall Mounted Soap Dispenser</t>
  </si>
  <si>
    <t>Toilet Accessories</t>
  </si>
  <si>
    <t>HDPE-1 Toilet Partition 1" Thick &amp; 4'10" High</t>
  </si>
  <si>
    <t>Toilet Partition 1" Thick &amp; 4'0" High</t>
  </si>
  <si>
    <t>2"x2"x3/16" Painted Steel Tube</t>
  </si>
  <si>
    <t>2"x2"x3/16" Painted Steel Tube Post in Wall Bolted to Concrete</t>
  </si>
  <si>
    <t>Wood, Plastic &amp; Composite</t>
  </si>
  <si>
    <t>Blocking</t>
  </si>
  <si>
    <t>2x3 Blocking</t>
  </si>
  <si>
    <t>Furnishing</t>
  </si>
  <si>
    <t>Millwork &amp; Countertop</t>
  </si>
  <si>
    <t>Plastic Laminate on 3/4" Plywood Removable Panel</t>
  </si>
  <si>
    <t>4" High Solid Surface Backsplash</t>
  </si>
  <si>
    <r>
      <rPr>
        <b/>
        <sz val="12"/>
        <rFont val="Calibri"/>
        <family val="2"/>
        <scheme val="minor"/>
      </rPr>
      <t xml:space="preserve">PL-1 </t>
    </r>
    <r>
      <rPr>
        <sz val="12"/>
        <rFont val="Calibri"/>
        <family val="2"/>
        <scheme val="minor"/>
      </rPr>
      <t xml:space="preserve">Plastic Laminate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Wilsonart Laminate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4842-60 Canyon Zephyr</t>
    </r>
  </si>
  <si>
    <r>
      <rPr>
        <b/>
        <sz val="12"/>
        <rFont val="Calibri"/>
        <family val="2"/>
        <scheme val="minor"/>
      </rPr>
      <t xml:space="preserve">SS-1 </t>
    </r>
    <r>
      <rPr>
        <sz val="12"/>
        <rFont val="Calibri"/>
        <family val="2"/>
        <scheme val="minor"/>
      </rPr>
      <t>Solid Surface Countertop</t>
    </r>
    <r>
      <rPr>
        <b/>
        <sz val="12"/>
        <rFont val="Calibri"/>
        <family val="2"/>
        <scheme val="minor"/>
      </rPr>
      <t xml:space="preserve">
Manufacturer: </t>
    </r>
    <r>
      <rPr>
        <sz val="12"/>
        <rFont val="Calibri"/>
        <family val="2"/>
        <scheme val="minor"/>
      </rPr>
      <t xml:space="preserve">Corain
</t>
    </r>
    <r>
      <rPr>
        <b/>
        <sz val="12"/>
        <rFont val="Calibri"/>
        <family val="2"/>
        <scheme val="minor"/>
      </rPr>
      <t xml:space="preserve">Color: </t>
    </r>
    <r>
      <rPr>
        <sz val="12"/>
        <rFont val="Calibri"/>
        <family val="2"/>
        <scheme val="minor"/>
      </rPr>
      <t>Shara</t>
    </r>
  </si>
  <si>
    <t>Msc.</t>
  </si>
  <si>
    <t>Water</t>
  </si>
  <si>
    <t>Water Pipes</t>
  </si>
  <si>
    <r>
      <t xml:space="preserve">3/4" Dia Hot Water Pipe </t>
    </r>
    <r>
      <rPr>
        <b/>
        <sz val="12"/>
        <color rgb="FFFF0000"/>
        <rFont val="Calibri"/>
        <family val="2"/>
        <scheme val="minor"/>
      </rPr>
      <t>(Dia Assumed)</t>
    </r>
  </si>
  <si>
    <r>
      <t xml:space="preserve">3/4" Dia Cold Water Pipe </t>
    </r>
    <r>
      <rPr>
        <b/>
        <sz val="12"/>
        <color rgb="FFFF0000"/>
        <rFont val="Calibri"/>
        <family val="2"/>
        <scheme val="minor"/>
      </rPr>
      <t>(Dia Assumed)</t>
    </r>
  </si>
  <si>
    <t>P2.01</t>
  </si>
  <si>
    <t>Sanitary</t>
  </si>
  <si>
    <t>Drain Pipe</t>
  </si>
  <si>
    <t>Plumbing Fixtures</t>
  </si>
  <si>
    <r>
      <rPr>
        <b/>
        <sz val="12"/>
        <rFont val="Calibri"/>
        <family val="2"/>
        <scheme val="minor"/>
      </rPr>
      <t xml:space="preserve">U-1 </t>
    </r>
    <r>
      <rPr>
        <sz val="12"/>
        <rFont val="Calibri"/>
        <family val="2"/>
        <scheme val="minor"/>
      </rPr>
      <t xml:space="preserve">Urinal
</t>
    </r>
    <r>
      <rPr>
        <b/>
        <sz val="12"/>
        <rFont val="Calibri"/>
        <family val="2"/>
        <scheme val="minor"/>
      </rPr>
      <t xml:space="preserve">Manufacturer: </t>
    </r>
    <r>
      <rPr>
        <sz val="12"/>
        <rFont val="Calibri"/>
        <family val="2"/>
        <scheme val="minor"/>
      </rPr>
      <t xml:space="preserve">American Standard #6590.501 Washbrook </t>
    </r>
  </si>
  <si>
    <r>
      <rPr>
        <b/>
        <sz val="12"/>
        <rFont val="Calibri"/>
        <family val="2"/>
        <scheme val="minor"/>
      </rPr>
      <t xml:space="preserve">L-1 </t>
    </r>
    <r>
      <rPr>
        <sz val="12"/>
        <rFont val="Calibri"/>
        <family val="2"/>
        <scheme val="minor"/>
      </rPr>
      <t xml:space="preserve">Lavatory
</t>
    </r>
    <r>
      <rPr>
        <b/>
        <sz val="12"/>
        <rFont val="Calibri"/>
        <family val="2"/>
        <scheme val="minor"/>
      </rPr>
      <t xml:space="preserve">Manufacturer: </t>
    </r>
    <r>
      <rPr>
        <sz val="12"/>
        <rFont val="Calibri"/>
        <family val="2"/>
        <scheme val="minor"/>
      </rPr>
      <t>American Standard #0476.028 Aqualyn</t>
    </r>
  </si>
  <si>
    <r>
      <rPr>
        <b/>
        <sz val="12"/>
        <rFont val="Calibri"/>
        <family val="2"/>
        <scheme val="minor"/>
      </rPr>
      <t xml:space="preserve">WC-1 </t>
    </r>
    <r>
      <rPr>
        <sz val="12"/>
        <rFont val="Calibri"/>
        <family val="2"/>
        <scheme val="minor"/>
      </rPr>
      <t xml:space="preserve">Water Closet
</t>
    </r>
    <r>
      <rPr>
        <b/>
        <sz val="12"/>
        <rFont val="Calibri"/>
        <family val="2"/>
        <scheme val="minor"/>
      </rPr>
      <t xml:space="preserve">Manufacturer: </t>
    </r>
    <r>
      <rPr>
        <sz val="12"/>
        <rFont val="Calibri"/>
        <family val="2"/>
        <scheme val="minor"/>
      </rPr>
      <t>American Standard #3351.101 Afwall</t>
    </r>
  </si>
  <si>
    <r>
      <rPr>
        <b/>
        <sz val="12"/>
        <rFont val="Calibri"/>
        <family val="2"/>
        <scheme val="minor"/>
      </rPr>
      <t xml:space="preserve">WC-2 </t>
    </r>
    <r>
      <rPr>
        <sz val="12"/>
        <rFont val="Calibri"/>
        <family val="2"/>
        <scheme val="minor"/>
      </rPr>
      <t xml:space="preserve">Water Closet
</t>
    </r>
    <r>
      <rPr>
        <b/>
        <sz val="12"/>
        <rFont val="Calibri"/>
        <family val="2"/>
        <scheme val="minor"/>
      </rPr>
      <t xml:space="preserve">Manufacturer: </t>
    </r>
    <r>
      <rPr>
        <sz val="12"/>
        <rFont val="Calibri"/>
        <family val="2"/>
        <scheme val="minor"/>
      </rPr>
      <t>American Standard #3351.101 Afwall</t>
    </r>
  </si>
  <si>
    <r>
      <rPr>
        <b/>
        <sz val="12"/>
        <rFont val="Calibri"/>
        <family val="2"/>
        <scheme val="minor"/>
      </rPr>
      <t xml:space="preserve">MS-1 </t>
    </r>
    <r>
      <rPr>
        <sz val="12"/>
        <rFont val="Calibri"/>
        <family val="2"/>
        <scheme val="minor"/>
      </rPr>
      <t xml:space="preserve">Mop Sink </t>
    </r>
    <r>
      <rPr>
        <b/>
        <sz val="12"/>
        <color rgb="FFFF0000"/>
        <rFont val="Calibri"/>
        <family val="2"/>
        <scheme val="minor"/>
      </rPr>
      <t xml:space="preserve">(Relocated)
</t>
    </r>
    <r>
      <rPr>
        <b/>
        <sz val="12"/>
        <color theme="1"/>
        <rFont val="Calibri"/>
        <family val="2"/>
        <scheme val="minor"/>
      </rPr>
      <t xml:space="preserve">Manufacturer: </t>
    </r>
    <r>
      <rPr>
        <sz val="12"/>
        <color theme="1"/>
        <rFont val="Calibri"/>
        <family val="2"/>
        <scheme val="minor"/>
      </rPr>
      <t>Fiat# TSB-100-MSG</t>
    </r>
    <r>
      <rPr>
        <sz val="12"/>
        <rFont val="Calibri"/>
        <family val="2"/>
        <scheme val="minor"/>
      </rPr>
      <t xml:space="preserve"> </t>
    </r>
  </si>
  <si>
    <r>
      <t xml:space="preserve">Water Heater </t>
    </r>
    <r>
      <rPr>
        <b/>
        <sz val="12"/>
        <color rgb="FFFF0000"/>
        <rFont val="Calibri"/>
        <family val="2"/>
        <scheme val="minor"/>
      </rPr>
      <t>(Relocated)</t>
    </r>
  </si>
  <si>
    <t>Heating, Ventilating, and Air Conditioning  (HVAC)</t>
  </si>
  <si>
    <t>Mechanical Duct</t>
  </si>
  <si>
    <r>
      <t xml:space="preserve">Duct for Exhaust Fan </t>
    </r>
    <r>
      <rPr>
        <b/>
        <sz val="12"/>
        <rFont val="Calibri"/>
        <family val="2"/>
        <scheme val="minor"/>
      </rPr>
      <t>(6" Dia Assumed)</t>
    </r>
  </si>
  <si>
    <t>Mechanical Equipment</t>
  </si>
  <si>
    <t>Exhaust Fan</t>
  </si>
  <si>
    <r>
      <t xml:space="preserve">Exhaust Fan </t>
    </r>
    <r>
      <rPr>
        <b/>
        <sz val="12"/>
        <color rgb="FFFF0000"/>
        <rFont val="Calibri"/>
        <family val="2"/>
        <scheme val="minor"/>
      </rPr>
      <t>(Relocated)</t>
    </r>
  </si>
  <si>
    <t xml:space="preserve">Supply Louvers/Grille/ Diffusers </t>
  </si>
  <si>
    <r>
      <rPr>
        <b/>
        <sz val="12"/>
        <rFont val="Calibri"/>
        <family val="2"/>
        <scheme val="minor"/>
      </rPr>
      <t>A -</t>
    </r>
    <r>
      <rPr>
        <sz val="12"/>
        <rFont val="Calibri"/>
        <family val="2"/>
        <scheme val="minor"/>
      </rPr>
      <t xml:space="preserve"> (2'X4') LED Recessed Flat Panel Light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Daybrite - 2FGXG48L835-4-RS-UNV
</t>
    </r>
    <r>
      <rPr>
        <b/>
        <sz val="12"/>
        <rFont val="Calibri"/>
        <family val="2"/>
        <scheme val="minor"/>
      </rPr>
      <t>Input:</t>
    </r>
    <r>
      <rPr>
        <sz val="12"/>
        <rFont val="Calibri"/>
        <family val="2"/>
        <scheme val="minor"/>
      </rPr>
      <t xml:space="preserve"> 36w</t>
    </r>
  </si>
  <si>
    <r>
      <rPr>
        <b/>
        <sz val="12"/>
        <rFont val="Calibri"/>
        <family val="2"/>
        <scheme val="minor"/>
      </rPr>
      <t>AE -</t>
    </r>
    <r>
      <rPr>
        <sz val="12"/>
        <rFont val="Calibri"/>
        <family val="2"/>
        <scheme val="minor"/>
      </rPr>
      <t xml:space="preserve"> (2'x4') LED Recessed Flat Panel Light w/ Battery Backup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Daybrite-2FGXG48L835-4-RS-UNV-EM
</t>
    </r>
    <r>
      <rPr>
        <b/>
        <sz val="12"/>
        <rFont val="Calibri"/>
        <family val="2"/>
        <scheme val="minor"/>
      </rPr>
      <t>Input:</t>
    </r>
    <r>
      <rPr>
        <sz val="12"/>
        <rFont val="Calibri"/>
        <family val="2"/>
        <scheme val="minor"/>
      </rPr>
      <t xml:space="preserve"> 36w</t>
    </r>
  </si>
  <si>
    <t>Power Items</t>
  </si>
  <si>
    <t>Receptacles</t>
  </si>
  <si>
    <t>Duplex Receptacle GFI</t>
  </si>
  <si>
    <t>Junction Box</t>
  </si>
  <si>
    <t>Switches</t>
  </si>
  <si>
    <t>$V: Wall Mounted Switch (Vacancy Sensor)</t>
  </si>
  <si>
    <t>$V: Wall Mounted Switch (Occupancy Sensor)</t>
  </si>
  <si>
    <t xml:space="preserve">Additional Cost Based on plumbing work Area </t>
  </si>
  <si>
    <t xml:space="preserve">Additional Cost Based on HVAC work Area </t>
  </si>
  <si>
    <t xml:space="preserve">Additional Cost Based on Electrical work Area </t>
  </si>
  <si>
    <t>Conduits for Lightning Items</t>
  </si>
  <si>
    <t>Wiring for Lightning Items</t>
  </si>
  <si>
    <t>Conduits for Power Items</t>
  </si>
  <si>
    <t>Wiring for Power Items</t>
  </si>
  <si>
    <t>E2.20</t>
  </si>
  <si>
    <t>A6.00</t>
  </si>
  <si>
    <t>Remove Existing Flooring @ Toilet</t>
  </si>
  <si>
    <t>Remove Existing Flooring @ Janitor</t>
  </si>
  <si>
    <t>Remove Existing Flooring @ Women's Toilet</t>
  </si>
  <si>
    <t>Remove Existing Flooring @ Lounge</t>
  </si>
  <si>
    <t>Remove Existing Flooring @ Men's Toilet</t>
  </si>
  <si>
    <t>Remove Existing Grape Bar</t>
  </si>
  <si>
    <t>104 - (3'0"X8'0") SC/P.LAM Door w/ Aluminum Frame Type B</t>
  </si>
  <si>
    <t>105 - (3'0"X8'0") SC/P.LAM Door w/ Aluminum Frame Type B</t>
  </si>
  <si>
    <t>107 - (3'0"X8'0") SC/P.LAM Door w/ Aluminum Frame Type B</t>
  </si>
  <si>
    <r>
      <rPr>
        <b/>
        <sz val="12"/>
        <rFont val="Calibri"/>
        <family val="2"/>
        <scheme val="minor"/>
      </rPr>
      <t>Hardware Group # 801A</t>
    </r>
    <r>
      <rPr>
        <sz val="12"/>
        <rFont val="Calibri"/>
        <family val="2"/>
        <scheme val="minor"/>
      </rPr>
      <t xml:space="preserve">
-(4) Hinge, Catalog Number: 5BB1HW 4.5 X 4.5, Manufacturer: IVE
-(1) Push Plate, Catalog Number: 8200 8" X 16", Manufacturer: IVE
-(1) Pull Plate, Catalog Number: 8305 8" 3.5" X 15", Manufacturer: IVE
-(1) Surface Closer, Catalog Number: 1461 HD TBSRT, Manufacturer: IVE
-(1) Kick Plate, Catalog Number: 8400 10" X 2" LDW B-CS, Manufacturer: LCN
-(1) Wall Stop, Catalog Number: WS406/407CCV, Manufacturer: IVE
-(1) Perimeter Reseal, Catalog Number: BY FRAME MFR, Manufacturer: IVE</t>
    </r>
  </si>
  <si>
    <r>
      <rPr>
        <b/>
        <sz val="12"/>
        <rFont val="Calibri"/>
        <family val="2"/>
        <scheme val="minor"/>
      </rPr>
      <t>Hardware Group # 53</t>
    </r>
    <r>
      <rPr>
        <sz val="12"/>
        <rFont val="Calibri"/>
        <family val="2"/>
        <scheme val="minor"/>
      </rPr>
      <t xml:space="preserve">
-(3) Hinge, Catalog Number: 5BB1HW 4.5 X 4.5, Manufacturer: IVE
-(1) Entry Lock, Catalog Number: 8ALX53 RHO, Manufacturer: IVE
-(1) Surface Closer, Catalog Number: 1461 HD TBSRT, Manufacturer: IVE
-(1) Kick Plate, Catalog Number: 8400 10" X 2" LDW B-CS, Manufacturer: LCN
-(1) Wall Stop, Catalog Number: WS406/407CCV, Manufacturer: IVE
-(1) Perimeter Reseal, Catalog Number: BY FRAME MFR, Manufacturer: IVE</t>
    </r>
  </si>
  <si>
    <t>Carpet Pattern / Grain Flooring</t>
  </si>
  <si>
    <r>
      <rPr>
        <b/>
        <sz val="12"/>
        <rFont val="Calibri"/>
        <family val="2"/>
        <scheme val="minor"/>
      </rPr>
      <t>PT-1</t>
    </r>
    <r>
      <rPr>
        <sz val="12"/>
        <rFont val="Calibri"/>
        <family val="2"/>
        <scheme val="minor"/>
      </rPr>
      <t xml:space="preserve"> (12"x24") Porcelain Tile
</t>
    </r>
    <r>
      <rPr>
        <b/>
        <sz val="12"/>
        <rFont val="Calibri"/>
        <family val="2"/>
        <scheme val="minor"/>
      </rPr>
      <t xml:space="preserve">Manufacturer: </t>
    </r>
    <r>
      <rPr>
        <sz val="12"/>
        <rFont val="Calibri"/>
        <family val="2"/>
        <scheme val="minor"/>
      </rPr>
      <t xml:space="preserve">Crossville
</t>
    </r>
    <r>
      <rPr>
        <b/>
        <sz val="12"/>
        <rFont val="Calibri"/>
        <family val="2"/>
        <scheme val="minor"/>
      </rPr>
      <t xml:space="preserve">Color: </t>
    </r>
    <r>
      <rPr>
        <sz val="12"/>
        <rFont val="Calibri"/>
        <family val="2"/>
        <scheme val="minor"/>
      </rPr>
      <t>Jav04 Fresh Ground</t>
    </r>
  </si>
  <si>
    <r>
      <rPr>
        <b/>
        <sz val="12"/>
        <rFont val="Calibri"/>
        <family val="2"/>
        <scheme val="minor"/>
      </rPr>
      <t>PT-1</t>
    </r>
    <r>
      <rPr>
        <sz val="12"/>
        <rFont val="Calibri"/>
        <family val="2"/>
        <scheme val="minor"/>
      </rPr>
      <t xml:space="preserve"> (2"x2") Porcelain Tile
</t>
    </r>
    <r>
      <rPr>
        <b/>
        <sz val="12"/>
        <rFont val="Calibri"/>
        <family val="2"/>
        <scheme val="minor"/>
      </rPr>
      <t xml:space="preserve">Manufacturer: </t>
    </r>
    <r>
      <rPr>
        <sz val="12"/>
        <rFont val="Calibri"/>
        <family val="2"/>
        <scheme val="minor"/>
      </rPr>
      <t xml:space="preserve">Crossville
</t>
    </r>
    <r>
      <rPr>
        <b/>
        <sz val="12"/>
        <rFont val="Calibri"/>
        <family val="2"/>
        <scheme val="minor"/>
      </rPr>
      <t xml:space="preserve">Color: </t>
    </r>
    <r>
      <rPr>
        <sz val="12"/>
        <rFont val="Calibri"/>
        <family val="2"/>
        <scheme val="minor"/>
      </rPr>
      <t>Jav04 Fresh Ground</t>
    </r>
  </si>
  <si>
    <t>Duplex Receptacle Temperature  Resistant</t>
  </si>
  <si>
    <t xml:space="preserve">Hauling of Demo Material offsite </t>
  </si>
  <si>
    <t xml:space="preserve">Floor Preparation for new finish </t>
  </si>
  <si>
    <t>Remove Existing ACT Ceiling</t>
  </si>
  <si>
    <t>Removed Existing Wall Finish</t>
  </si>
  <si>
    <t>Saw Cut For Door Opening</t>
  </si>
  <si>
    <t>Remove Existing Concrete Floor for Drain Pipe</t>
  </si>
  <si>
    <r>
      <t xml:space="preserve">Demolish All Equipment, Data And Receptacles Along With Any Associated Conductors
And Conduit Back To Nearest J-Box Above Ceiling. Field Trace Circuit And Label For
Reuse During New Work </t>
    </r>
    <r>
      <rPr>
        <b/>
        <sz val="12"/>
        <rFont val="Calibri"/>
        <family val="2"/>
        <scheme val="minor"/>
      </rPr>
      <t>(Area = 346.32 SF)</t>
    </r>
  </si>
  <si>
    <t>6" Thk Concrete for floor to cover drain pipe</t>
  </si>
  <si>
    <t>Note: Dimension Assumed</t>
  </si>
  <si>
    <t>Wall Type B3 (9'-0" High)</t>
  </si>
  <si>
    <t>5/8" Tile Backing Panel on one side (4'X8' Ea.)</t>
  </si>
  <si>
    <t>Acoustical Sealant at top and bottom of walls</t>
  </si>
  <si>
    <t>Taping</t>
  </si>
  <si>
    <t xml:space="preserve">Mudding Compound </t>
  </si>
  <si>
    <t>Screws</t>
  </si>
  <si>
    <t>Door Trim</t>
  </si>
  <si>
    <t>Floor Preparation</t>
  </si>
  <si>
    <r>
      <rPr>
        <b/>
        <sz val="12"/>
        <rFont val="Calibri"/>
        <family val="2"/>
        <scheme val="minor"/>
      </rPr>
      <t>SC-1</t>
    </r>
    <r>
      <rPr>
        <sz val="12"/>
        <rFont val="Calibri"/>
        <family val="2"/>
        <scheme val="minor"/>
      </rPr>
      <t xml:space="preserve"> Sealed Concrete Floor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H&amp;C Stains
</t>
    </r>
    <r>
      <rPr>
        <b/>
        <sz val="12"/>
        <rFont val="Calibri"/>
        <family val="2"/>
        <scheme val="minor"/>
      </rPr>
      <t>Color:</t>
    </r>
    <r>
      <rPr>
        <sz val="12"/>
        <rFont val="Calibri"/>
        <family val="2"/>
        <scheme val="minor"/>
      </rPr>
      <t xml:space="preserve"> Clear</t>
    </r>
  </si>
  <si>
    <t>Wall Preparation</t>
  </si>
  <si>
    <t xml:space="preserve">Wall Preparation for new finish </t>
  </si>
  <si>
    <t>Paint on Door Trim</t>
  </si>
  <si>
    <t>A0.11</t>
  </si>
  <si>
    <t>(8" x 8") "Restroom" Signage</t>
  </si>
  <si>
    <t>3/4" Plywood Removable under Countertop</t>
  </si>
  <si>
    <t>Fire protection</t>
  </si>
  <si>
    <t>Specs</t>
  </si>
  <si>
    <r>
      <t xml:space="preserve">Allowance for Sprinkler Piping - </t>
    </r>
    <r>
      <rPr>
        <b/>
        <sz val="12"/>
        <color theme="1"/>
        <rFont val="Calibri"/>
        <family val="2"/>
        <scheme val="minor"/>
      </rPr>
      <t>( Area = 650 SF )</t>
    </r>
  </si>
  <si>
    <t>1/2" Molded Fiberglass Insulation</t>
  </si>
  <si>
    <r>
      <rPr>
        <b/>
        <sz val="12"/>
        <rFont val="Calibri"/>
        <family val="2"/>
        <scheme val="minor"/>
      </rPr>
      <t>(175 SF)</t>
    </r>
    <r>
      <rPr>
        <sz val="12"/>
        <rFont val="Calibri"/>
        <family val="2"/>
        <scheme val="minor"/>
      </rPr>
      <t xml:space="preserve"> Outside Air Fixture or Diffuser, CFM: 45 
(Existing Lounge/Office Hvac Ductwork, Diffusers, And
Accessories To Remain. Provide, At Minimum, 45 Cfm Of Outside Air
To Serve This Space. Refer To 03/M2.01 For Calculation.)</t>
    </r>
  </si>
  <si>
    <t>3/4" Plywood</t>
  </si>
  <si>
    <t>Removed Existing Stud Wall up to Door Height</t>
  </si>
  <si>
    <t>Remove Existing Happed Toilet Partition 4'10" H</t>
  </si>
  <si>
    <r>
      <t>Remove Existing Duct Serving to Janitor Room</t>
    </r>
    <r>
      <rPr>
        <b/>
        <sz val="12"/>
        <color rgb="FFFF0000"/>
        <rFont val="Calibri"/>
        <family val="2"/>
        <scheme val="minor"/>
      </rPr>
      <t xml:space="preserve"> (6" Dia Assumed)</t>
    </r>
  </si>
  <si>
    <r>
      <t xml:space="preserve">1 1/2" Dia Drain Pipe </t>
    </r>
    <r>
      <rPr>
        <b/>
        <sz val="12"/>
        <color rgb="FFFF0000"/>
        <rFont val="Calibri"/>
        <family val="2"/>
        <scheme val="minor"/>
      </rPr>
      <t>(Dia Assumed)</t>
    </r>
  </si>
  <si>
    <r>
      <t>Blueprints</t>
    </r>
    <r>
      <rPr>
        <b/>
        <sz val="12"/>
        <rFont val="Calibri"/>
        <family val="2"/>
        <scheme val="minor"/>
      </rPr>
      <t xml:space="preserve"> </t>
    </r>
  </si>
  <si>
    <t xml:space="preserve">Clean Room, Walls etc To Prep For New Finishes And Fixtures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</si>
</sst>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_(&quot;$&quot;* #,##0_);_(&quot;$&quot;* \(#,##0\);_(&quot;$&quot;* &quot;-&quot;??_);_(@_)"/>
    <numFmt numFmtId="167" formatCode="_(&quot;$&quot;* #,##0_);_(&quot;$&quot;* \(#,##0\);_(&quot;$&quot;* &quot;-&quot;?_);_(@_)"/>
    <numFmt numFmtId="168" formatCode="_(&quot;$&quot;* #,##0.0_);_(&quot;$&quot;* \(#,##0.0\);_(&quot;$&quot;* &quot;-&quot;??_);_(@_)"/>
    <numFmt numFmtId="169" formatCode="_-&quot;$&quot;* #,##0_-;\-&quot;$&quot;* #,##0_-;_-&quot;$&quot;* &quot;-&quot;??_-;_-@_-"/>
    <numFmt numFmtId="170" formatCode="_(* #,##0_);_(* \(#,##0\);_(* &quot;-&quot;??_);_(@_)"/>
    <numFmt numFmtId="171" formatCode="0.000"/>
    <numFmt numFmtId="172" formatCode="0.0%"/>
  </numFmts>
  <fonts count="80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6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20"/>
      <color theme="1"/>
      <name val="Times New Roman"/>
      <family val="1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Times New Roman"/>
      <family val="1"/>
    </font>
    <font>
      <sz val="14"/>
      <name val="Calibri"/>
      <family val="2"/>
      <scheme val="minor"/>
    </font>
    <font>
      <sz val="12"/>
      <name val="Arial"/>
      <family val="2"/>
    </font>
    <font>
      <sz val="16"/>
      <name val="Calibri"/>
      <family val="2"/>
      <scheme val="minor"/>
    </font>
    <font>
      <sz val="8"/>
      <name val="Arial"/>
      <family val="2"/>
    </font>
    <font>
      <sz val="18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color rgb="FF33333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4"/>
      <name val="Times New Roman"/>
      <family val="1"/>
    </font>
    <font>
      <b/>
      <i/>
      <u val="double"/>
      <sz val="18"/>
      <color rgb="FFFF0000"/>
      <name val="Calibri"/>
      <family val="2"/>
      <scheme val="minor"/>
    </font>
    <font>
      <u val="double"/>
      <sz val="18"/>
      <name val="Calibri"/>
      <family val="2"/>
      <scheme val="minor"/>
    </font>
    <font>
      <u/>
      <sz val="12"/>
      <color theme="10"/>
      <name val="Arial"/>
      <family val="2"/>
    </font>
    <font>
      <b/>
      <sz val="14"/>
      <color rgb="FF0000FF"/>
      <name val="Arial"/>
      <family val="2"/>
    </font>
    <font>
      <b/>
      <sz val="16"/>
      <color rgb="FF0000FF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8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0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2"/>
      </bottom>
      <diagonal/>
    </border>
    <border>
      <left/>
      <right style="medium">
        <color indexed="64"/>
      </right>
      <top/>
      <bottom style="double">
        <color indexed="62"/>
      </bottom>
      <diagonal/>
    </border>
    <border>
      <left style="medium">
        <color indexed="64"/>
      </left>
      <right/>
      <top style="double">
        <color indexed="62"/>
      </top>
      <bottom style="double">
        <color indexed="62"/>
      </bottom>
      <diagonal/>
    </border>
    <border>
      <left/>
      <right style="medium">
        <color indexed="64"/>
      </right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double">
        <color indexed="62"/>
      </top>
      <bottom style="medium">
        <color indexed="64"/>
      </bottom>
      <diagonal/>
    </border>
    <border>
      <left/>
      <right/>
      <top style="double">
        <color indexed="62"/>
      </top>
      <bottom style="medium">
        <color indexed="64"/>
      </bottom>
      <diagonal/>
    </border>
    <border>
      <left/>
      <right/>
      <top style="thin">
        <color indexed="62"/>
      </top>
      <bottom style="medium">
        <color indexed="64"/>
      </bottom>
      <diagonal/>
    </border>
    <border>
      <left/>
      <right style="medium">
        <color indexed="64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149998474074526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theme="0" tint="-0.14999847407452621"/>
      </top>
      <bottom style="thin">
        <color indexed="64"/>
      </bottom>
      <diagonal/>
    </border>
    <border>
      <left/>
      <right/>
      <top style="dotted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</borders>
  <cellStyleXfs count="97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9" fillId="0" borderId="0"/>
    <xf numFmtId="0" fontId="9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8" fillId="0" borderId="0"/>
    <xf numFmtId="0" fontId="27" fillId="0" borderId="0"/>
    <xf numFmtId="0" fontId="9" fillId="0" borderId="0"/>
    <xf numFmtId="43" fontId="27" fillId="0" borderId="0" applyFont="0" applyFill="0" applyBorder="0" applyAlignment="0" applyProtection="0"/>
    <xf numFmtId="0" fontId="28" fillId="0" borderId="0"/>
    <xf numFmtId="43" fontId="9" fillId="0" borderId="0" applyFont="0" applyFill="0" applyBorder="0" applyAlignment="0" applyProtection="0"/>
    <xf numFmtId="0" fontId="9" fillId="0" borderId="0"/>
    <xf numFmtId="44" fontId="28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44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23" borderId="14" applyNumberFormat="0" applyFont="0" applyAlignment="0" applyProtection="0"/>
    <xf numFmtId="0" fontId="3" fillId="0" borderId="0"/>
    <xf numFmtId="0" fontId="9" fillId="23" borderId="14" applyNumberFormat="0" applyFont="0" applyAlignment="0" applyProtection="0"/>
    <xf numFmtId="0" fontId="9" fillId="23" borderId="14" applyNumberFormat="0" applyFont="0" applyAlignment="0" applyProtection="0"/>
    <xf numFmtId="0" fontId="9" fillId="23" borderId="14" applyNumberFormat="0" applyFont="0" applyAlignment="0" applyProtection="0"/>
    <xf numFmtId="0" fontId="2" fillId="0" borderId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44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23" fillId="20" borderId="35" applyNumberFormat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3" borderId="40" applyNumberFormat="0" applyFont="0" applyAlignment="0" applyProtection="0"/>
    <xf numFmtId="0" fontId="9" fillId="23" borderId="40" applyNumberFormat="0" applyFont="0" applyAlignment="0" applyProtection="0"/>
    <xf numFmtId="0" fontId="9" fillId="23" borderId="40" applyNumberFormat="0" applyFont="0" applyAlignment="0" applyProtection="0"/>
    <xf numFmtId="0" fontId="23" fillId="20" borderId="41" applyNumberFormat="0" applyAlignment="0" applyProtection="0"/>
    <xf numFmtId="0" fontId="20" fillId="7" borderId="42" applyNumberFormat="0" applyAlignment="0" applyProtection="0"/>
    <xf numFmtId="0" fontId="23" fillId="20" borderId="41" applyNumberFormat="0" applyAlignment="0" applyProtection="0"/>
    <xf numFmtId="0" fontId="25" fillId="0" borderId="43" applyNumberFormat="0" applyFill="0" applyAlignment="0" applyProtection="0"/>
    <xf numFmtId="0" fontId="9" fillId="23" borderId="59" applyNumberFormat="0" applyFont="0" applyAlignment="0" applyProtection="0"/>
    <xf numFmtId="0" fontId="9" fillId="23" borderId="59" applyNumberFormat="0" applyFont="0" applyAlignment="0" applyProtection="0"/>
    <xf numFmtId="0" fontId="23" fillId="20" borderId="60" applyNumberFormat="0" applyAlignment="0" applyProtection="0"/>
    <xf numFmtId="0" fontId="9" fillId="23" borderId="59" applyNumberFormat="0" applyFont="0" applyAlignment="0" applyProtection="0"/>
    <xf numFmtId="0" fontId="20" fillId="7" borderId="61" applyNumberFormat="0" applyAlignment="0" applyProtection="0"/>
    <xf numFmtId="0" fontId="71" fillId="0" borderId="0" applyNumberFormat="0" applyFill="0" applyBorder="0" applyAlignment="0" applyProtection="0"/>
    <xf numFmtId="0" fontId="9" fillId="23" borderId="77" applyNumberFormat="0" applyFont="0" applyAlignment="0" applyProtection="0"/>
    <xf numFmtId="0" fontId="9" fillId="23" borderId="77" applyNumberFormat="0" applyFont="0" applyAlignment="0" applyProtection="0"/>
    <xf numFmtId="0" fontId="9" fillId="23" borderId="77" applyNumberFormat="0" applyFont="0" applyAlignment="0" applyProtection="0"/>
    <xf numFmtId="0" fontId="1" fillId="0" borderId="0"/>
  </cellStyleXfs>
  <cellXfs count="444">
    <xf numFmtId="0" fontId="0" fillId="0" borderId="0" xfId="0"/>
    <xf numFmtId="0" fontId="29" fillId="0" borderId="0" xfId="0" applyFont="1" applyAlignment="1">
      <alignment vertical="top"/>
    </xf>
    <xf numFmtId="2" fontId="29" fillId="0" borderId="0" xfId="0" applyNumberFormat="1" applyFont="1" applyAlignment="1">
      <alignment vertical="top" wrapText="1"/>
    </xf>
    <xf numFmtId="0" fontId="36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29" fillId="0" borderId="0" xfId="45" applyFont="1" applyAlignment="1">
      <alignment vertical="center"/>
    </xf>
    <xf numFmtId="0" fontId="37" fillId="25" borderId="0" xfId="0" applyFont="1" applyFill="1" applyAlignment="1">
      <alignment horizontal="center" vertical="center"/>
    </xf>
    <xf numFmtId="0" fontId="37" fillId="25" borderId="0" xfId="0" applyFont="1" applyFill="1" applyAlignment="1">
      <alignment horizontal="right"/>
    </xf>
    <xf numFmtId="2" fontId="29" fillId="25" borderId="0" xfId="0" applyNumberFormat="1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/>
    </xf>
    <xf numFmtId="2" fontId="29" fillId="25" borderId="0" xfId="0" applyNumberFormat="1" applyFont="1" applyFill="1" applyAlignment="1">
      <alignment vertical="top" wrapText="1"/>
    </xf>
    <xf numFmtId="0" fontId="29" fillId="25" borderId="10" xfId="0" applyFont="1" applyFill="1" applyBorder="1" applyAlignment="1">
      <alignment horizontal="center" vertical="center"/>
    </xf>
    <xf numFmtId="0" fontId="44" fillId="24" borderId="11" xfId="0" applyFont="1" applyFill="1" applyBorder="1" applyAlignment="1">
      <alignment vertical="center"/>
    </xf>
    <xf numFmtId="0" fontId="29" fillId="0" borderId="11" xfId="0" applyFont="1" applyBorder="1" applyAlignment="1">
      <alignment horizontal="center" vertical="center"/>
    </xf>
    <xf numFmtId="9" fontId="29" fillId="0" borderId="11" xfId="62" applyFont="1" applyFill="1" applyBorder="1" applyAlignment="1">
      <alignment horizontal="center" vertical="center"/>
    </xf>
    <xf numFmtId="0" fontId="34" fillId="0" borderId="11" xfId="39" applyFont="1" applyFill="1" applyBorder="1" applyAlignment="1">
      <alignment vertical="center" wrapText="1"/>
    </xf>
    <xf numFmtId="0" fontId="33" fillId="25" borderId="32" xfId="41" applyFont="1" applyFill="1" applyBorder="1" applyAlignment="1">
      <alignment horizontal="center" vertical="center"/>
    </xf>
    <xf numFmtId="165" fontId="33" fillId="25" borderId="32" xfId="41" applyNumberFormat="1" applyFont="1" applyFill="1" applyBorder="1" applyAlignment="1" applyProtection="1">
      <alignment horizontal="center" vertical="center"/>
    </xf>
    <xf numFmtId="0" fontId="33" fillId="25" borderId="32" xfId="41" applyFont="1" applyFill="1" applyBorder="1" applyAlignment="1">
      <alignment vertical="center"/>
    </xf>
    <xf numFmtId="0" fontId="33" fillId="25" borderId="32" xfId="41" applyFont="1" applyFill="1" applyBorder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0" fontId="54" fillId="0" borderId="0" xfId="0" applyFont="1" applyAlignment="1">
      <alignment vertical="top"/>
    </xf>
    <xf numFmtId="0" fontId="37" fillId="30" borderId="16" xfId="0" applyFont="1" applyFill="1" applyBorder="1" applyAlignment="1">
      <alignment horizontal="right"/>
    </xf>
    <xf numFmtId="0" fontId="29" fillId="30" borderId="0" xfId="0" applyFont="1" applyFill="1" applyAlignment="1">
      <alignment horizontal="center" vertical="center"/>
    </xf>
    <xf numFmtId="0" fontId="37" fillId="30" borderId="0" xfId="0" applyFont="1" applyFill="1" applyAlignment="1">
      <alignment horizontal="right"/>
    </xf>
    <xf numFmtId="2" fontId="52" fillId="30" borderId="0" xfId="0" applyNumberFormat="1" applyFont="1" applyFill="1" applyAlignment="1">
      <alignment horizontal="right"/>
    </xf>
    <xf numFmtId="0" fontId="52" fillId="30" borderId="0" xfId="0" applyFont="1" applyFill="1" applyAlignment="1">
      <alignment horizontal="right"/>
    </xf>
    <xf numFmtId="0" fontId="29" fillId="30" borderId="31" xfId="0" applyFont="1" applyFill="1" applyBorder="1" applyAlignment="1">
      <alignment horizontal="center" vertical="center"/>
    </xf>
    <xf numFmtId="2" fontId="52" fillId="30" borderId="31" xfId="0" applyNumberFormat="1" applyFont="1" applyFill="1" applyBorder="1" applyAlignment="1">
      <alignment horizontal="right"/>
    </xf>
    <xf numFmtId="2" fontId="57" fillId="30" borderId="16" xfId="0" applyNumberFormat="1" applyFont="1" applyFill="1" applyBorder="1" applyAlignment="1">
      <alignment horizontal="right"/>
    </xf>
    <xf numFmtId="2" fontId="57" fillId="30" borderId="0" xfId="0" applyNumberFormat="1" applyFont="1" applyFill="1" applyAlignment="1">
      <alignment horizontal="right" vertical="center"/>
    </xf>
    <xf numFmtId="172" fontId="58" fillId="30" borderId="0" xfId="62" applyNumberFormat="1" applyFont="1" applyFill="1" applyBorder="1" applyAlignment="1">
      <alignment horizontal="center" vertical="center"/>
    </xf>
    <xf numFmtId="166" fontId="57" fillId="30" borderId="10" xfId="61" applyNumberFormat="1" applyFont="1" applyFill="1" applyBorder="1" applyAlignment="1">
      <alignment horizontal="left" vertical="center" wrapText="1"/>
    </xf>
    <xf numFmtId="0" fontId="39" fillId="30" borderId="19" xfId="0" applyFont="1" applyFill="1" applyBorder="1" applyAlignment="1">
      <alignment horizontal="left" vertical="center"/>
    </xf>
    <xf numFmtId="166" fontId="57" fillId="30" borderId="23" xfId="61" applyNumberFormat="1" applyFont="1" applyFill="1" applyBorder="1" applyAlignment="1">
      <alignment horizontal="left" vertical="center" wrapText="1"/>
    </xf>
    <xf numFmtId="172" fontId="58" fillId="30" borderId="36" xfId="62" applyNumberFormat="1" applyFont="1" applyFill="1" applyBorder="1" applyAlignment="1">
      <alignment horizontal="center" vertical="center"/>
    </xf>
    <xf numFmtId="166" fontId="57" fillId="30" borderId="37" xfId="61" applyNumberFormat="1" applyFont="1" applyFill="1" applyBorder="1" applyAlignment="1">
      <alignment horizontal="left" vertical="center" wrapText="1"/>
    </xf>
    <xf numFmtId="0" fontId="30" fillId="30" borderId="31" xfId="0" applyFont="1" applyFill="1" applyBorder="1" applyAlignment="1">
      <alignment horizontal="center" vertical="center"/>
    </xf>
    <xf numFmtId="2" fontId="47" fillId="30" borderId="31" xfId="0" applyNumberFormat="1" applyFont="1" applyFill="1" applyBorder="1" applyAlignment="1">
      <alignment horizontal="right" vertical="center"/>
    </xf>
    <xf numFmtId="166" fontId="41" fillId="30" borderId="39" xfId="61" applyNumberFormat="1" applyFont="1" applyFill="1" applyBorder="1" applyAlignment="1">
      <alignment horizontal="left" vertical="center" wrapText="1"/>
    </xf>
    <xf numFmtId="0" fontId="35" fillId="30" borderId="0" xfId="34" applyFont="1" applyFill="1" applyBorder="1" applyAlignment="1" applyProtection="1">
      <alignment horizontal="right"/>
    </xf>
    <xf numFmtId="0" fontId="35" fillId="30" borderId="16" xfId="34" applyFont="1" applyFill="1" applyBorder="1" applyAlignment="1" applyProtection="1">
      <alignment horizontal="right"/>
    </xf>
    <xf numFmtId="2" fontId="40" fillId="30" borderId="36" xfId="0" applyNumberFormat="1" applyFont="1" applyFill="1" applyBorder="1" applyAlignment="1">
      <alignment horizontal="right" vertical="center"/>
    </xf>
    <xf numFmtId="0" fontId="39" fillId="30" borderId="29" xfId="0" applyFont="1" applyFill="1" applyBorder="1" applyAlignment="1">
      <alignment horizontal="left" vertical="center"/>
    </xf>
    <xf numFmtId="0" fontId="29" fillId="25" borderId="0" xfId="0" applyFont="1" applyFill="1" applyAlignment="1">
      <alignment vertical="top"/>
    </xf>
    <xf numFmtId="0" fontId="54" fillId="25" borderId="0" xfId="0" applyFont="1" applyFill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166" fontId="29" fillId="0" borderId="34" xfId="61" applyNumberFormat="1" applyFont="1" applyBorder="1" applyAlignment="1">
      <alignment vertical="top" wrapText="1"/>
    </xf>
    <xf numFmtId="0" fontId="29" fillId="0" borderId="20" xfId="0" applyFont="1" applyBorder="1" applyAlignment="1">
      <alignment horizontal="center" vertical="center"/>
    </xf>
    <xf numFmtId="0" fontId="29" fillId="0" borderId="3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/>
    </xf>
    <xf numFmtId="2" fontId="29" fillId="30" borderId="47" xfId="0" applyNumberFormat="1" applyFont="1" applyFill="1" applyBorder="1" applyAlignment="1">
      <alignment horizontal="center" vertical="center" wrapText="1"/>
    </xf>
    <xf numFmtId="2" fontId="29" fillId="30" borderId="30" xfId="0" applyNumberFormat="1" applyFont="1" applyFill="1" applyBorder="1" applyAlignment="1">
      <alignment horizontal="center" vertical="center" wrapText="1"/>
    </xf>
    <xf numFmtId="2" fontId="29" fillId="30" borderId="51" xfId="0" applyNumberFormat="1" applyFont="1" applyFill="1" applyBorder="1" applyAlignment="1">
      <alignment horizontal="center" vertical="center" wrapText="1"/>
    </xf>
    <xf numFmtId="2" fontId="29" fillId="30" borderId="27" xfId="0" applyNumberFormat="1" applyFont="1" applyFill="1" applyBorder="1" applyAlignment="1">
      <alignment horizontal="center" vertical="center" wrapText="1"/>
    </xf>
    <xf numFmtId="0" fontId="30" fillId="30" borderId="48" xfId="0" applyFont="1" applyFill="1" applyBorder="1" applyAlignment="1">
      <alignment horizontal="right" vertical="center"/>
    </xf>
    <xf numFmtId="166" fontId="30" fillId="30" borderId="49" xfId="61" applyNumberFormat="1" applyFont="1" applyFill="1" applyBorder="1" applyAlignment="1">
      <alignment vertical="top" wrapText="1"/>
    </xf>
    <xf numFmtId="0" fontId="30" fillId="30" borderId="18" xfId="0" applyFont="1" applyFill="1" applyBorder="1" applyAlignment="1">
      <alignment horizontal="right" vertical="center"/>
    </xf>
    <xf numFmtId="0" fontId="30" fillId="30" borderId="0" xfId="0" applyFont="1" applyFill="1" applyAlignment="1">
      <alignment horizontal="right" vertical="center"/>
    </xf>
    <xf numFmtId="166" fontId="30" fillId="30" borderId="0" xfId="61" applyNumberFormat="1" applyFont="1" applyFill="1" applyBorder="1" applyAlignment="1">
      <alignment horizontal="left" vertical="top" wrapText="1"/>
    </xf>
    <xf numFmtId="166" fontId="30" fillId="30" borderId="0" xfId="61" applyNumberFormat="1" applyFont="1" applyFill="1" applyBorder="1" applyAlignment="1">
      <alignment horizontal="center" vertical="center" wrapText="1"/>
    </xf>
    <xf numFmtId="0" fontId="30" fillId="30" borderId="46" xfId="0" applyFont="1" applyFill="1" applyBorder="1" applyAlignment="1">
      <alignment horizontal="right" vertical="center"/>
    </xf>
    <xf numFmtId="0" fontId="30" fillId="30" borderId="36" xfId="0" applyFont="1" applyFill="1" applyBorder="1" applyAlignment="1">
      <alignment horizontal="right" vertical="center"/>
    </xf>
    <xf numFmtId="166" fontId="30" fillId="30" borderId="36" xfId="61" applyNumberFormat="1" applyFont="1" applyFill="1" applyBorder="1" applyAlignment="1">
      <alignment horizontal="center" vertical="center" wrapText="1"/>
    </xf>
    <xf numFmtId="0" fontId="30" fillId="30" borderId="29" xfId="0" applyFont="1" applyFill="1" applyBorder="1" applyAlignment="1">
      <alignment horizontal="right" vertical="center"/>
    </xf>
    <xf numFmtId="0" fontId="30" fillId="30" borderId="50" xfId="0" applyFont="1" applyFill="1" applyBorder="1" applyAlignment="1">
      <alignment horizontal="right" vertical="center"/>
    </xf>
    <xf numFmtId="166" fontId="30" fillId="30" borderId="50" xfId="61" applyNumberFormat="1" applyFont="1" applyFill="1" applyBorder="1" applyAlignment="1">
      <alignment horizontal="left" vertical="top" wrapText="1"/>
    </xf>
    <xf numFmtId="166" fontId="30" fillId="30" borderId="50" xfId="61" applyNumberFormat="1" applyFont="1" applyFill="1" applyBorder="1" applyAlignment="1">
      <alignment horizontal="center" vertical="center" wrapText="1"/>
    </xf>
    <xf numFmtId="0" fontId="30" fillId="30" borderId="31" xfId="0" applyFont="1" applyFill="1" applyBorder="1" applyAlignment="1">
      <alignment horizontal="right" vertical="center"/>
    </xf>
    <xf numFmtId="166" fontId="30" fillId="30" borderId="31" xfId="61" applyNumberFormat="1" applyFont="1" applyFill="1" applyBorder="1" applyAlignment="1">
      <alignment horizontal="left" vertical="top" wrapText="1"/>
    </xf>
    <xf numFmtId="166" fontId="30" fillId="30" borderId="31" xfId="61" applyNumberFormat="1" applyFont="1" applyFill="1" applyBorder="1" applyAlignment="1">
      <alignment horizontal="center" vertical="center" wrapText="1"/>
    </xf>
    <xf numFmtId="166" fontId="29" fillId="0" borderId="23" xfId="61" applyNumberFormat="1" applyFont="1" applyBorder="1" applyAlignment="1">
      <alignment horizontal="center" vertical="center" wrapText="1"/>
    </xf>
    <xf numFmtId="0" fontId="30" fillId="30" borderId="52" xfId="0" applyFont="1" applyFill="1" applyBorder="1" applyAlignment="1">
      <alignment horizontal="right" vertical="center"/>
    </xf>
    <xf numFmtId="2" fontId="60" fillId="30" borderId="15" xfId="0" applyNumberFormat="1" applyFont="1" applyFill="1" applyBorder="1" applyAlignment="1">
      <alignment vertical="center"/>
    </xf>
    <xf numFmtId="2" fontId="32" fillId="30" borderId="16" xfId="0" applyNumberFormat="1" applyFont="1" applyFill="1" applyBorder="1" applyAlignment="1">
      <alignment vertical="center" wrapText="1"/>
    </xf>
    <xf numFmtId="2" fontId="60" fillId="30" borderId="16" xfId="0" applyNumberFormat="1" applyFont="1" applyFill="1" applyBorder="1" applyAlignment="1">
      <alignment vertical="center" wrapText="1"/>
    </xf>
    <xf numFmtId="2" fontId="39" fillId="30" borderId="16" xfId="0" applyNumberFormat="1" applyFont="1" applyFill="1" applyBorder="1" applyAlignment="1">
      <alignment vertical="center" wrapText="1"/>
    </xf>
    <xf numFmtId="2" fontId="39" fillId="30" borderId="17" xfId="0" applyNumberFormat="1" applyFont="1" applyFill="1" applyBorder="1" applyAlignment="1">
      <alignment vertical="center" wrapText="1"/>
    </xf>
    <xf numFmtId="0" fontId="59" fillId="26" borderId="34" xfId="0" applyFont="1" applyFill="1" applyBorder="1"/>
    <xf numFmtId="14" fontId="38" fillId="30" borderId="16" xfId="0" applyNumberFormat="1" applyFont="1" applyFill="1" applyBorder="1" applyAlignment="1">
      <alignment horizontal="left"/>
    </xf>
    <xf numFmtId="169" fontId="38" fillId="30" borderId="0" xfId="0" applyNumberFormat="1" applyFont="1" applyFill="1"/>
    <xf numFmtId="169" fontId="38" fillId="30" borderId="0" xfId="0" applyNumberFormat="1" applyFont="1" applyFill="1" applyAlignment="1">
      <alignment horizontal="left"/>
    </xf>
    <xf numFmtId="169" fontId="51" fillId="30" borderId="0" xfId="0" applyNumberFormat="1" applyFont="1" applyFill="1"/>
    <xf numFmtId="170" fontId="52" fillId="30" borderId="53" xfId="63" applyNumberFormat="1" applyFont="1" applyFill="1" applyBorder="1" applyAlignment="1">
      <alignment horizontal="left" vertical="center"/>
    </xf>
    <xf numFmtId="2" fontId="29" fillId="30" borderId="0" xfId="0" applyNumberFormat="1" applyFont="1" applyFill="1" applyAlignment="1">
      <alignment vertical="center" wrapText="1"/>
    </xf>
    <xf numFmtId="2" fontId="29" fillId="30" borderId="15" xfId="0" applyNumberFormat="1" applyFont="1" applyFill="1" applyBorder="1" applyAlignment="1">
      <alignment horizontal="center" vertical="center" wrapText="1"/>
    </xf>
    <xf numFmtId="2" fontId="29" fillId="30" borderId="16" xfId="0" applyNumberFormat="1" applyFont="1" applyFill="1" applyBorder="1" applyAlignment="1">
      <alignment vertical="center" wrapText="1"/>
    </xf>
    <xf numFmtId="2" fontId="29" fillId="30" borderId="18" xfId="0" applyNumberFormat="1" applyFont="1" applyFill="1" applyBorder="1" applyAlignment="1">
      <alignment horizontal="center" vertical="center" wrapText="1"/>
    </xf>
    <xf numFmtId="2" fontId="29" fillId="30" borderId="29" xfId="0" applyNumberFormat="1" applyFont="1" applyFill="1" applyBorder="1" applyAlignment="1">
      <alignment horizontal="center" vertical="center" wrapText="1"/>
    </xf>
    <xf numFmtId="2" fontId="29" fillId="30" borderId="31" xfId="0" applyNumberFormat="1" applyFont="1" applyFill="1" applyBorder="1" applyAlignment="1">
      <alignment vertical="center" wrapText="1"/>
    </xf>
    <xf numFmtId="0" fontId="39" fillId="30" borderId="31" xfId="0" applyFont="1" applyFill="1" applyBorder="1" applyAlignment="1">
      <alignment horizontal="left" vertical="center"/>
    </xf>
    <xf numFmtId="2" fontId="29" fillId="30" borderId="0" xfId="0" applyNumberFormat="1" applyFont="1" applyFill="1" applyAlignment="1">
      <alignment horizontal="center" vertical="center" wrapText="1"/>
    </xf>
    <xf numFmtId="0" fontId="39" fillId="30" borderId="31" xfId="0" applyFont="1" applyFill="1" applyBorder="1" applyAlignment="1">
      <alignment horizontal="center" vertical="center"/>
    </xf>
    <xf numFmtId="2" fontId="29" fillId="30" borderId="17" xfId="0" applyNumberFormat="1" applyFont="1" applyFill="1" applyBorder="1" applyAlignment="1">
      <alignment vertical="center" wrapText="1"/>
    </xf>
    <xf numFmtId="2" fontId="29" fillId="30" borderId="19" xfId="0" applyNumberFormat="1" applyFont="1" applyFill="1" applyBorder="1" applyAlignment="1">
      <alignment vertical="center" wrapText="1"/>
    </xf>
    <xf numFmtId="2" fontId="29" fillId="30" borderId="30" xfId="0" applyNumberFormat="1" applyFont="1" applyFill="1" applyBorder="1" applyAlignment="1">
      <alignment vertical="center" wrapText="1"/>
    </xf>
    <xf numFmtId="2" fontId="29" fillId="30" borderId="16" xfId="0" applyNumberFormat="1" applyFont="1" applyFill="1" applyBorder="1" applyAlignment="1">
      <alignment horizontal="center" vertical="center" wrapText="1"/>
    </xf>
    <xf numFmtId="0" fontId="29" fillId="30" borderId="16" xfId="0" applyFont="1" applyFill="1" applyBorder="1" applyAlignment="1">
      <alignment horizontal="center" vertical="center"/>
    </xf>
    <xf numFmtId="2" fontId="29" fillId="30" borderId="31" xfId="0" applyNumberFormat="1" applyFont="1" applyFill="1" applyBorder="1" applyAlignment="1">
      <alignment horizontal="center" vertical="center" wrapText="1"/>
    </xf>
    <xf numFmtId="2" fontId="29" fillId="25" borderId="0" xfId="0" applyNumberFormat="1" applyFont="1" applyFill="1" applyAlignment="1">
      <alignment vertical="center" wrapText="1"/>
    </xf>
    <xf numFmtId="2" fontId="29" fillId="25" borderId="13" xfId="0" applyNumberFormat="1" applyFont="1" applyFill="1" applyBorder="1" applyAlignment="1">
      <alignment vertical="center" wrapText="1"/>
    </xf>
    <xf numFmtId="0" fontId="29" fillId="25" borderId="13" xfId="0" applyFont="1" applyFill="1" applyBorder="1" applyAlignment="1">
      <alignment vertical="top"/>
    </xf>
    <xf numFmtId="0" fontId="37" fillId="30" borderId="26" xfId="0" applyFont="1" applyFill="1" applyBorder="1" applyAlignment="1">
      <alignment horizontal="center" vertical="center"/>
    </xf>
    <xf numFmtId="0" fontId="29" fillId="30" borderId="26" xfId="0" applyFont="1" applyFill="1" applyBorder="1" applyAlignment="1">
      <alignment horizontal="center" vertical="center"/>
    </xf>
    <xf numFmtId="14" fontId="38" fillId="30" borderId="27" xfId="0" applyNumberFormat="1" applyFont="1" applyFill="1" applyBorder="1" applyAlignment="1">
      <alignment horizontal="left" vertical="center"/>
    </xf>
    <xf numFmtId="0" fontId="61" fillId="30" borderId="25" xfId="0" applyFont="1" applyFill="1" applyBorder="1"/>
    <xf numFmtId="0" fontId="63" fillId="0" borderId="11" xfId="0" applyFont="1" applyBorder="1" applyAlignment="1">
      <alignment vertical="center" wrapText="1"/>
    </xf>
    <xf numFmtId="0" fontId="29" fillId="25" borderId="10" xfId="0" applyFont="1" applyFill="1" applyBorder="1" applyAlignment="1">
      <alignment vertical="top"/>
    </xf>
    <xf numFmtId="2" fontId="30" fillId="25" borderId="0" xfId="0" applyNumberFormat="1" applyFont="1" applyFill="1" applyAlignment="1">
      <alignment vertical="center" wrapText="1"/>
    </xf>
    <xf numFmtId="2" fontId="30" fillId="25" borderId="13" xfId="0" applyNumberFormat="1" applyFont="1" applyFill="1" applyBorder="1" applyAlignment="1">
      <alignment vertical="center" wrapText="1"/>
    </xf>
    <xf numFmtId="14" fontId="38" fillId="25" borderId="0" xfId="0" applyNumberFormat="1" applyFont="1" applyFill="1" applyAlignment="1">
      <alignment horizontal="left" vertical="center"/>
    </xf>
    <xf numFmtId="169" fontId="38" fillId="25" borderId="0" xfId="0" applyNumberFormat="1" applyFont="1" applyFill="1"/>
    <xf numFmtId="0" fontId="37" fillId="25" borderId="0" xfId="0" applyFont="1" applyFill="1" applyAlignment="1">
      <alignment horizontal="right" vertical="center"/>
    </xf>
    <xf numFmtId="0" fontId="29" fillId="25" borderId="0" xfId="0" applyFont="1" applyFill="1" applyAlignment="1">
      <alignment vertical="center"/>
    </xf>
    <xf numFmtId="0" fontId="54" fillId="25" borderId="10" xfId="0" applyFont="1" applyFill="1" applyBorder="1" applyAlignment="1">
      <alignment vertical="top"/>
    </xf>
    <xf numFmtId="2" fontId="54" fillId="25" borderId="0" xfId="0" applyNumberFormat="1" applyFont="1" applyFill="1" applyAlignment="1">
      <alignment vertical="center" wrapText="1"/>
    </xf>
    <xf numFmtId="2" fontId="44" fillId="25" borderId="0" xfId="0" applyNumberFormat="1" applyFont="1" applyFill="1" applyAlignment="1">
      <alignment vertical="center" wrapText="1"/>
    </xf>
    <xf numFmtId="0" fontId="54" fillId="25" borderId="0" xfId="0" applyFont="1" applyFill="1" applyAlignment="1">
      <alignment vertical="center"/>
    </xf>
    <xf numFmtId="0" fontId="54" fillId="25" borderId="13" xfId="0" applyFont="1" applyFill="1" applyBorder="1" applyAlignment="1">
      <alignment vertical="top"/>
    </xf>
    <xf numFmtId="2" fontId="56" fillId="25" borderId="0" xfId="0" applyNumberFormat="1" applyFont="1" applyFill="1" applyAlignment="1">
      <alignment vertical="center" wrapText="1"/>
    </xf>
    <xf numFmtId="2" fontId="29" fillId="30" borderId="57" xfId="0" applyNumberFormat="1" applyFont="1" applyFill="1" applyBorder="1" applyAlignment="1">
      <alignment horizontal="center" vertical="center" wrapText="1"/>
    </xf>
    <xf numFmtId="172" fontId="30" fillId="26" borderId="0" xfId="62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vertical="top"/>
    </xf>
    <xf numFmtId="0" fontId="29" fillId="25" borderId="23" xfId="0" applyFont="1" applyFill="1" applyBorder="1" applyAlignment="1">
      <alignment vertical="top"/>
    </xf>
    <xf numFmtId="0" fontId="29" fillId="25" borderId="22" xfId="0" applyFont="1" applyFill="1" applyBorder="1" applyAlignment="1">
      <alignment horizontal="center" vertical="center"/>
    </xf>
    <xf numFmtId="2" fontId="29" fillId="25" borderId="22" xfId="0" applyNumberFormat="1" applyFont="1" applyFill="1" applyBorder="1" applyAlignment="1">
      <alignment vertical="top" wrapText="1"/>
    </xf>
    <xf numFmtId="2" fontId="29" fillId="25" borderId="22" xfId="0" applyNumberFormat="1" applyFont="1" applyFill="1" applyBorder="1" applyAlignment="1">
      <alignment horizontal="center" vertical="center" wrapText="1"/>
    </xf>
    <xf numFmtId="2" fontId="29" fillId="25" borderId="22" xfId="0" applyNumberFormat="1" applyFont="1" applyFill="1" applyBorder="1" applyAlignment="1">
      <alignment vertical="center" wrapText="1"/>
    </xf>
    <xf numFmtId="2" fontId="29" fillId="25" borderId="58" xfId="0" applyNumberFormat="1" applyFont="1" applyFill="1" applyBorder="1" applyAlignment="1">
      <alignment vertical="center" wrapText="1"/>
    </xf>
    <xf numFmtId="172" fontId="29" fillId="0" borderId="45" xfId="62" applyNumberFormat="1" applyFont="1" applyBorder="1" applyAlignment="1">
      <alignment horizontal="center" vertical="center" wrapText="1"/>
    </xf>
    <xf numFmtId="172" fontId="29" fillId="0" borderId="21" xfId="62" applyNumberFormat="1" applyFont="1" applyBorder="1" applyAlignment="1">
      <alignment horizontal="center" vertical="center" wrapText="1"/>
    </xf>
    <xf numFmtId="2" fontId="41" fillId="30" borderId="16" xfId="0" applyNumberFormat="1" applyFont="1" applyFill="1" applyBorder="1" applyAlignment="1">
      <alignment horizontal="right" vertical="center"/>
    </xf>
    <xf numFmtId="166" fontId="57" fillId="30" borderId="38" xfId="61" applyNumberFormat="1" applyFont="1" applyFill="1" applyBorder="1" applyAlignment="1">
      <alignment horizontal="left" vertical="center" wrapText="1"/>
    </xf>
    <xf numFmtId="9" fontId="45" fillId="30" borderId="16" xfId="62" applyFont="1" applyFill="1" applyBorder="1" applyAlignment="1">
      <alignment horizontal="center" vertical="center"/>
    </xf>
    <xf numFmtId="9" fontId="45" fillId="30" borderId="0" xfId="62" applyFont="1" applyFill="1" applyBorder="1" applyAlignment="1">
      <alignment horizontal="center" vertical="center"/>
    </xf>
    <xf numFmtId="2" fontId="29" fillId="0" borderId="0" xfId="0" applyNumberFormat="1" applyFont="1" applyAlignment="1">
      <alignment vertical="center"/>
    </xf>
    <xf numFmtId="2" fontId="30" fillId="30" borderId="16" xfId="0" applyNumberFormat="1" applyFont="1" applyFill="1" applyBorder="1" applyAlignment="1">
      <alignment horizontal="left" vertical="center"/>
    </xf>
    <xf numFmtId="2" fontId="30" fillId="30" borderId="0" xfId="0" applyNumberFormat="1" applyFont="1" applyFill="1" applyAlignment="1">
      <alignment vertical="center"/>
    </xf>
    <xf numFmtId="0" fontId="30" fillId="30" borderId="49" xfId="0" applyFont="1" applyFill="1" applyBorder="1" applyAlignment="1">
      <alignment horizontal="right" vertical="center"/>
    </xf>
    <xf numFmtId="2" fontId="29" fillId="30" borderId="62" xfId="0" applyNumberFormat="1" applyFont="1" applyFill="1" applyBorder="1" applyAlignment="1">
      <alignment horizontal="center" vertical="center" wrapText="1"/>
    </xf>
    <xf numFmtId="44" fontId="42" fillId="31" borderId="11" xfId="61" applyFont="1" applyFill="1" applyBorder="1" applyAlignment="1">
      <alignment horizontal="center" vertical="center" wrapText="1"/>
    </xf>
    <xf numFmtId="44" fontId="42" fillId="31" borderId="11" xfId="61" applyFont="1" applyFill="1" applyBorder="1" applyAlignment="1">
      <alignment horizontal="center" wrapText="1"/>
    </xf>
    <xf numFmtId="0" fontId="33" fillId="25" borderId="32" xfId="41" applyFont="1" applyFill="1" applyBorder="1" applyAlignment="1">
      <alignment horizontal="left" vertical="center"/>
    </xf>
    <xf numFmtId="166" fontId="29" fillId="0" borderId="34" xfId="78" applyNumberFormat="1" applyFont="1" applyBorder="1" applyAlignment="1">
      <alignment vertical="top" wrapText="1"/>
    </xf>
    <xf numFmtId="166" fontId="29" fillId="0" borderId="23" xfId="78" applyNumberFormat="1" applyFont="1" applyBorder="1" applyAlignment="1">
      <alignment horizontal="center" vertical="center" wrapText="1"/>
    </xf>
    <xf numFmtId="169" fontId="37" fillId="31" borderId="11" xfId="0" applyNumberFormat="1" applyFont="1" applyFill="1" applyBorder="1"/>
    <xf numFmtId="0" fontId="40" fillId="31" borderId="54" xfId="0" applyFont="1" applyFill="1" applyBorder="1" applyAlignment="1">
      <alignment horizontal="center" vertical="center"/>
    </xf>
    <xf numFmtId="0" fontId="40" fillId="31" borderId="55" xfId="0" applyFont="1" applyFill="1" applyBorder="1" applyAlignment="1">
      <alignment horizontal="left" vertical="center"/>
    </xf>
    <xf numFmtId="2" fontId="40" fillId="31" borderId="55" xfId="0" applyNumberFormat="1" applyFont="1" applyFill="1" applyBorder="1" applyAlignment="1">
      <alignment horizontal="center" vertical="center" wrapText="1"/>
    </xf>
    <xf numFmtId="0" fontId="40" fillId="31" borderId="55" xfId="0" applyFont="1" applyFill="1" applyBorder="1" applyAlignment="1">
      <alignment horizontal="center" vertical="center"/>
    </xf>
    <xf numFmtId="2" fontId="40" fillId="31" borderId="56" xfId="0" applyNumberFormat="1" applyFont="1" applyFill="1" applyBorder="1" applyAlignment="1">
      <alignment vertical="center" wrapText="1"/>
    </xf>
    <xf numFmtId="0" fontId="29" fillId="25" borderId="37" xfId="0" applyFont="1" applyFill="1" applyBorder="1" applyAlignment="1">
      <alignment vertical="top"/>
    </xf>
    <xf numFmtId="0" fontId="29" fillId="25" borderId="36" xfId="0" applyFont="1" applyFill="1" applyBorder="1" applyAlignment="1">
      <alignment horizontal="center" vertical="center"/>
    </xf>
    <xf numFmtId="2" fontId="29" fillId="25" borderId="36" xfId="0" applyNumberFormat="1" applyFont="1" applyFill="1" applyBorder="1" applyAlignment="1">
      <alignment vertical="top" wrapText="1"/>
    </xf>
    <xf numFmtId="2" fontId="29" fillId="25" borderId="36" xfId="0" applyNumberFormat="1" applyFont="1" applyFill="1" applyBorder="1" applyAlignment="1">
      <alignment horizontal="center" vertical="center" wrapText="1"/>
    </xf>
    <xf numFmtId="2" fontId="30" fillId="25" borderId="36" xfId="0" applyNumberFormat="1" applyFont="1" applyFill="1" applyBorder="1" applyAlignment="1">
      <alignment vertical="center" wrapText="1"/>
    </xf>
    <xf numFmtId="2" fontId="30" fillId="25" borderId="69" xfId="0" applyNumberFormat="1" applyFont="1" applyFill="1" applyBorder="1" applyAlignment="1">
      <alignment vertical="center" wrapText="1"/>
    </xf>
    <xf numFmtId="0" fontId="40" fillId="31" borderId="70" xfId="0" applyFont="1" applyFill="1" applyBorder="1" applyAlignment="1">
      <alignment horizontal="left" vertical="center"/>
    </xf>
    <xf numFmtId="2" fontId="40" fillId="31" borderId="71" xfId="0" applyNumberFormat="1" applyFont="1" applyFill="1" applyBorder="1" applyAlignment="1">
      <alignment horizontal="center" vertical="center" wrapText="1"/>
    </xf>
    <xf numFmtId="0" fontId="40" fillId="31" borderId="71" xfId="0" applyFont="1" applyFill="1" applyBorder="1" applyAlignment="1">
      <alignment horizontal="center" vertical="center"/>
    </xf>
    <xf numFmtId="2" fontId="40" fillId="31" borderId="72" xfId="0" applyNumberFormat="1" applyFont="1" applyFill="1" applyBorder="1" applyAlignment="1">
      <alignment vertical="center" wrapText="1"/>
    </xf>
    <xf numFmtId="0" fontId="65" fillId="25" borderId="0" xfId="0" applyFont="1" applyFill="1" applyAlignment="1">
      <alignment horizontal="center" vertical="center"/>
    </xf>
    <xf numFmtId="0" fontId="64" fillId="30" borderId="48" xfId="0" applyFont="1" applyFill="1" applyBorder="1" applyAlignment="1">
      <alignment horizontal="right" vertical="center"/>
    </xf>
    <xf numFmtId="0" fontId="64" fillId="30" borderId="18" xfId="0" applyFont="1" applyFill="1" applyBorder="1" applyAlignment="1">
      <alignment horizontal="right" vertical="center"/>
    </xf>
    <xf numFmtId="0" fontId="64" fillId="30" borderId="46" xfId="0" applyFont="1" applyFill="1" applyBorder="1" applyAlignment="1">
      <alignment horizontal="right" vertical="center"/>
    </xf>
    <xf numFmtId="0" fontId="64" fillId="30" borderId="29" xfId="0" applyFont="1" applyFill="1" applyBorder="1" applyAlignment="1">
      <alignment horizontal="right" vertical="center"/>
    </xf>
    <xf numFmtId="0" fontId="37" fillId="31" borderId="11" xfId="0" applyFont="1" applyFill="1" applyBorder="1" applyAlignment="1">
      <alignment horizontal="right"/>
    </xf>
    <xf numFmtId="0" fontId="29" fillId="25" borderId="18" xfId="0" applyFont="1" applyFill="1" applyBorder="1" applyAlignment="1">
      <alignment horizontal="center" vertical="center"/>
    </xf>
    <xf numFmtId="2" fontId="29" fillId="25" borderId="19" xfId="0" applyNumberFormat="1" applyFont="1" applyFill="1" applyBorder="1" applyAlignment="1">
      <alignment vertical="center" wrapText="1"/>
    </xf>
    <xf numFmtId="0" fontId="29" fillId="25" borderId="19" xfId="0" applyFont="1" applyFill="1" applyBorder="1" applyAlignment="1">
      <alignment vertical="top"/>
    </xf>
    <xf numFmtId="2" fontId="29" fillId="25" borderId="19" xfId="0" applyNumberFormat="1" applyFont="1" applyFill="1" applyBorder="1" applyAlignment="1">
      <alignment horizontal="center" vertical="center" wrapText="1"/>
    </xf>
    <xf numFmtId="0" fontId="29" fillId="25" borderId="77" xfId="38" applyFont="1" applyFill="1" applyBorder="1" applyAlignment="1">
      <alignment horizontal="justify" vertical="center" wrapText="1"/>
    </xf>
    <xf numFmtId="41" fontId="29" fillId="25" borderId="77" xfId="38" applyNumberFormat="1" applyFont="1" applyFill="1" applyBorder="1" applyAlignment="1">
      <alignment horizontal="center" vertical="center"/>
    </xf>
    <xf numFmtId="9" fontId="29" fillId="25" borderId="77" xfId="38" applyNumberFormat="1" applyFont="1" applyFill="1" applyBorder="1" applyAlignment="1">
      <alignment horizontal="right" vertical="center"/>
    </xf>
    <xf numFmtId="41" fontId="29" fillId="25" borderId="77" xfId="38" applyNumberFormat="1" applyFont="1" applyFill="1" applyBorder="1" applyAlignment="1">
      <alignment horizontal="right" vertical="center"/>
    </xf>
    <xf numFmtId="0" fontId="29" fillId="25" borderId="77" xfId="38" applyFont="1" applyFill="1" applyBorder="1" applyAlignment="1">
      <alignment horizontal="center" vertical="center"/>
    </xf>
    <xf numFmtId="0" fontId="29" fillId="28" borderId="77" xfId="64" applyFont="1" applyFill="1" applyBorder="1" applyAlignment="1">
      <alignment horizontal="center" vertical="center"/>
    </xf>
    <xf numFmtId="168" fontId="29" fillId="30" borderId="77" xfId="38" applyNumberFormat="1" applyFont="1" applyFill="1" applyBorder="1" applyAlignment="1">
      <alignment horizontal="right" vertical="center"/>
    </xf>
    <xf numFmtId="168" fontId="29" fillId="0" borderId="77" xfId="38" applyNumberFormat="1" applyFont="1" applyFill="1" applyBorder="1" applyAlignment="1">
      <alignment vertical="center"/>
    </xf>
    <xf numFmtId="168" fontId="29" fillId="28" borderId="77" xfId="38" applyNumberFormat="1" applyFont="1" applyFill="1" applyBorder="1" applyAlignment="1">
      <alignment horizontal="right" vertical="center"/>
    </xf>
    <xf numFmtId="168" fontId="29" fillId="25" borderId="77" xfId="38" applyNumberFormat="1" applyFont="1" applyFill="1" applyBorder="1" applyAlignment="1">
      <alignment vertical="center"/>
    </xf>
    <xf numFmtId="167" fontId="29" fillId="25" borderId="77" xfId="38" applyNumberFormat="1" applyFont="1" applyFill="1" applyBorder="1" applyAlignment="1" applyProtection="1">
      <alignment horizontal="left" vertical="center"/>
    </xf>
    <xf numFmtId="41" fontId="29" fillId="0" borderId="19" xfId="45" applyNumberFormat="1" applyFont="1" applyBorder="1" applyAlignment="1">
      <alignment vertical="center"/>
    </xf>
    <xf numFmtId="1" fontId="29" fillId="0" borderId="78" xfId="38" applyNumberFormat="1" applyFont="1" applyFill="1" applyBorder="1" applyAlignment="1">
      <alignment horizontal="center" vertical="center"/>
    </xf>
    <xf numFmtId="1" fontId="29" fillId="25" borderId="79" xfId="38" applyNumberFormat="1" applyFont="1" applyFill="1" applyBorder="1" applyAlignment="1">
      <alignment horizontal="center" vertical="center"/>
    </xf>
    <xf numFmtId="0" fontId="30" fillId="27" borderId="77" xfId="38" applyFont="1" applyFill="1" applyBorder="1" applyAlignment="1">
      <alignment horizontal="justify" vertical="center"/>
    </xf>
    <xf numFmtId="43" fontId="29" fillId="25" borderId="77" xfId="38" applyNumberFormat="1" applyFont="1" applyFill="1" applyBorder="1" applyAlignment="1">
      <alignment horizontal="center" vertical="center"/>
    </xf>
    <xf numFmtId="1" fontId="29" fillId="25" borderId="78" xfId="38" applyNumberFormat="1" applyFont="1" applyFill="1" applyBorder="1" applyAlignment="1">
      <alignment horizontal="center" vertical="center"/>
    </xf>
    <xf numFmtId="9" fontId="29" fillId="0" borderId="77" xfId="62" applyFont="1" applyFill="1" applyBorder="1" applyAlignment="1">
      <alignment horizontal="right" vertical="center"/>
    </xf>
    <xf numFmtId="168" fontId="29" fillId="25" borderId="77" xfId="38" applyNumberFormat="1" applyFont="1" applyFill="1" applyBorder="1" applyAlignment="1">
      <alignment horizontal="right" vertical="center"/>
    </xf>
    <xf numFmtId="44" fontId="29" fillId="28" borderId="77" xfId="38" applyNumberFormat="1" applyFont="1" applyFill="1" applyBorder="1" applyAlignment="1">
      <alignment horizontal="right" vertical="center"/>
    </xf>
    <xf numFmtId="171" fontId="29" fillId="28" borderId="77" xfId="64" applyNumberFormat="1" applyFont="1" applyFill="1" applyBorder="1" applyAlignment="1">
      <alignment horizontal="center" vertical="center"/>
    </xf>
    <xf numFmtId="1" fontId="29" fillId="25" borderId="78" xfId="64" applyNumberFormat="1" applyFont="1" applyFill="1" applyBorder="1" applyAlignment="1">
      <alignment horizontal="center" vertical="center"/>
    </xf>
    <xf numFmtId="1" fontId="29" fillId="25" borderId="79" xfId="64" applyNumberFormat="1" applyFont="1" applyFill="1" applyBorder="1" applyAlignment="1">
      <alignment horizontal="center" vertical="center"/>
    </xf>
    <xf numFmtId="43" fontId="29" fillId="25" borderId="77" xfId="64" applyNumberFormat="1" applyFont="1" applyFill="1" applyBorder="1" applyAlignment="1">
      <alignment horizontal="center" vertical="center"/>
    </xf>
    <xf numFmtId="168" fontId="29" fillId="25" borderId="77" xfId="64" applyNumberFormat="1" applyFont="1" applyFill="1" applyBorder="1" applyAlignment="1">
      <alignment horizontal="right" vertical="center"/>
    </xf>
    <xf numFmtId="168" fontId="29" fillId="28" borderId="77" xfId="64" applyNumberFormat="1" applyFont="1" applyFill="1" applyBorder="1" applyAlignment="1">
      <alignment horizontal="right" vertical="center"/>
    </xf>
    <xf numFmtId="168" fontId="29" fillId="25" borderId="77" xfId="64" applyNumberFormat="1" applyFont="1" applyFill="1" applyBorder="1" applyAlignment="1">
      <alignment vertical="center"/>
    </xf>
    <xf numFmtId="167" fontId="29" fillId="25" borderId="77" xfId="64" applyNumberFormat="1" applyFont="1" applyFill="1" applyBorder="1" applyAlignment="1" applyProtection="1">
      <alignment horizontal="left" vertical="center"/>
    </xf>
    <xf numFmtId="0" fontId="29" fillId="25" borderId="77" xfId="64" applyFont="1" applyFill="1" applyBorder="1" applyAlignment="1">
      <alignment horizontal="justify" vertical="center" wrapText="1"/>
    </xf>
    <xf numFmtId="1" fontId="29" fillId="25" borderId="79" xfId="70" applyNumberFormat="1" applyFont="1" applyFill="1" applyBorder="1" applyAlignment="1">
      <alignment horizontal="center" vertical="center"/>
    </xf>
    <xf numFmtId="168" fontId="29" fillId="25" borderId="77" xfId="71" applyNumberFormat="1" applyFont="1" applyFill="1" applyBorder="1" applyAlignment="1">
      <alignment vertical="center"/>
    </xf>
    <xf numFmtId="164" fontId="29" fillId="25" borderId="77" xfId="38" applyNumberFormat="1" applyFont="1" applyFill="1" applyBorder="1" applyAlignment="1">
      <alignment horizontal="center" vertical="center"/>
    </xf>
    <xf numFmtId="168" fontId="29" fillId="28" borderId="77" xfId="71" applyNumberFormat="1" applyFont="1" applyFill="1" applyBorder="1" applyAlignment="1">
      <alignment vertical="center"/>
    </xf>
    <xf numFmtId="0" fontId="29" fillId="0" borderId="0" xfId="45" applyFont="1" applyAlignment="1">
      <alignment horizontal="center" vertical="center"/>
    </xf>
    <xf numFmtId="1" fontId="29" fillId="25" borderId="82" xfId="38" applyNumberFormat="1" applyFont="1" applyFill="1" applyBorder="1" applyAlignment="1">
      <alignment horizontal="center" vertical="center"/>
    </xf>
    <xf numFmtId="1" fontId="29" fillId="25" borderId="83" xfId="38" applyNumberFormat="1" applyFont="1" applyFill="1" applyBorder="1" applyAlignment="1">
      <alignment horizontal="center" vertical="center"/>
    </xf>
    <xf numFmtId="0" fontId="29" fillId="25" borderId="84" xfId="38" applyFont="1" applyFill="1" applyBorder="1" applyAlignment="1">
      <alignment horizontal="justify" vertical="center" wrapText="1"/>
    </xf>
    <xf numFmtId="41" fontId="29" fillId="25" borderId="84" xfId="38" applyNumberFormat="1" applyFont="1" applyFill="1" applyBorder="1" applyAlignment="1">
      <alignment horizontal="center" vertical="center"/>
    </xf>
    <xf numFmtId="9" fontId="29" fillId="25" borderId="84" xfId="38" applyNumberFormat="1" applyFont="1" applyFill="1" applyBorder="1" applyAlignment="1">
      <alignment horizontal="right" vertical="center"/>
    </xf>
    <xf numFmtId="41" fontId="29" fillId="25" borderId="84" xfId="38" applyNumberFormat="1" applyFont="1" applyFill="1" applyBorder="1" applyAlignment="1">
      <alignment horizontal="right" vertical="center"/>
    </xf>
    <xf numFmtId="0" fontId="29" fillId="25" borderId="84" xfId="38" applyFont="1" applyFill="1" applyBorder="1" applyAlignment="1">
      <alignment horizontal="center" vertical="center"/>
    </xf>
    <xf numFmtId="171" fontId="29" fillId="28" borderId="84" xfId="38" applyNumberFormat="1" applyFont="1" applyFill="1" applyBorder="1" applyAlignment="1">
      <alignment horizontal="center" vertical="center"/>
    </xf>
    <xf numFmtId="164" fontId="29" fillId="25" borderId="84" xfId="38" applyNumberFormat="1" applyFont="1" applyFill="1" applyBorder="1" applyAlignment="1">
      <alignment horizontal="center" vertical="center"/>
    </xf>
    <xf numFmtId="168" fontId="29" fillId="30" borderId="84" xfId="38" applyNumberFormat="1" applyFont="1" applyFill="1" applyBorder="1" applyAlignment="1">
      <alignment horizontal="right" vertical="center"/>
    </xf>
    <xf numFmtId="168" fontId="29" fillId="25" borderId="84" xfId="38" applyNumberFormat="1" applyFont="1" applyFill="1" applyBorder="1" applyAlignment="1">
      <alignment horizontal="right" vertical="center"/>
    </xf>
    <xf numFmtId="168" fontId="29" fillId="28" borderId="84" xfId="38" applyNumberFormat="1" applyFont="1" applyFill="1" applyBorder="1" applyAlignment="1">
      <alignment vertical="center"/>
    </xf>
    <xf numFmtId="168" fontId="29" fillId="25" borderId="84" xfId="38" applyNumberFormat="1" applyFont="1" applyFill="1" applyBorder="1" applyAlignment="1">
      <alignment vertical="center"/>
    </xf>
    <xf numFmtId="167" fontId="29" fillId="25" borderId="84" xfId="38" applyNumberFormat="1" applyFont="1" applyFill="1" applyBorder="1" applyAlignment="1" applyProtection="1">
      <alignment horizontal="left" vertical="center"/>
    </xf>
    <xf numFmtId="41" fontId="29" fillId="0" borderId="30" xfId="45" applyNumberFormat="1" applyFont="1" applyBorder="1" applyAlignment="1">
      <alignment vertical="center"/>
    </xf>
    <xf numFmtId="42" fontId="33" fillId="25" borderId="86" xfId="41" applyNumberFormat="1" applyFont="1" applyFill="1" applyBorder="1" applyAlignment="1">
      <alignment vertical="center"/>
    </xf>
    <xf numFmtId="0" fontId="33" fillId="25" borderId="43" xfId="41" applyFont="1" applyFill="1" applyBorder="1" applyAlignment="1">
      <alignment horizontal="center" vertical="center"/>
    </xf>
    <xf numFmtId="0" fontId="33" fillId="25" borderId="43" xfId="41" applyFont="1" applyFill="1" applyBorder="1" applyAlignment="1">
      <alignment horizontal="left" vertical="center"/>
    </xf>
    <xf numFmtId="0" fontId="33" fillId="25" borderId="43" xfId="41" applyFont="1" applyFill="1" applyBorder="1" applyAlignment="1">
      <alignment vertical="center"/>
    </xf>
    <xf numFmtId="165" fontId="33" fillId="25" borderId="43" xfId="41" applyNumberFormat="1" applyFont="1" applyFill="1" applyBorder="1" applyAlignment="1" applyProtection="1">
      <alignment horizontal="center" vertical="center"/>
    </xf>
    <xf numFmtId="166" fontId="33" fillId="25" borderId="43" xfId="41" applyNumberFormat="1" applyFont="1" applyFill="1" applyBorder="1" applyAlignment="1">
      <alignment horizontal="left" vertical="center"/>
    </xf>
    <xf numFmtId="166" fontId="33" fillId="25" borderId="88" xfId="41" applyNumberFormat="1" applyFont="1" applyFill="1" applyBorder="1" applyAlignment="1">
      <alignment vertical="center"/>
    </xf>
    <xf numFmtId="0" fontId="33" fillId="25" borderId="91" xfId="41" applyFont="1" applyFill="1" applyBorder="1" applyAlignment="1">
      <alignment horizontal="center" vertical="center"/>
    </xf>
    <xf numFmtId="0" fontId="33" fillId="25" borderId="91" xfId="41" applyFont="1" applyFill="1" applyBorder="1" applyAlignment="1">
      <alignment horizontal="left" vertical="center"/>
    </xf>
    <xf numFmtId="0" fontId="33" fillId="25" borderId="91" xfId="41" applyFont="1" applyFill="1" applyBorder="1" applyAlignment="1">
      <alignment vertical="center"/>
    </xf>
    <xf numFmtId="165" fontId="33" fillId="25" borderId="91" xfId="41" applyNumberFormat="1" applyFont="1" applyFill="1" applyBorder="1" applyAlignment="1" applyProtection="1">
      <alignment horizontal="center" vertical="center"/>
    </xf>
    <xf numFmtId="167" fontId="33" fillId="25" borderId="91" xfId="41" applyNumberFormat="1" applyFont="1" applyFill="1" applyBorder="1" applyAlignment="1">
      <alignment horizontal="left" vertical="center"/>
    </xf>
    <xf numFmtId="42" fontId="33" fillId="25" borderId="92" xfId="41" applyNumberFormat="1" applyFont="1" applyFill="1" applyBorder="1" applyAlignment="1">
      <alignment vertical="center"/>
    </xf>
    <xf numFmtId="166" fontId="69" fillId="25" borderId="0" xfId="75" applyNumberFormat="1" applyFont="1" applyFill="1" applyBorder="1" applyAlignment="1">
      <alignment horizontal="left" vertical="center"/>
    </xf>
    <xf numFmtId="2" fontId="70" fillId="25" borderId="0" xfId="0" applyNumberFormat="1" applyFont="1" applyFill="1" applyAlignment="1">
      <alignment vertical="center" wrapText="1"/>
    </xf>
    <xf numFmtId="2" fontId="29" fillId="25" borderId="95" xfId="0" applyNumberFormat="1" applyFont="1" applyFill="1" applyBorder="1" applyAlignment="1">
      <alignment vertical="center"/>
    </xf>
    <xf numFmtId="0" fontId="44" fillId="25" borderId="96" xfId="0" applyFont="1" applyFill="1" applyBorder="1" applyAlignment="1">
      <alignment vertical="center" wrapText="1"/>
    </xf>
    <xf numFmtId="0" fontId="41" fillId="25" borderId="65" xfId="77" applyFont="1" applyFill="1" applyBorder="1" applyAlignment="1">
      <alignment horizontal="center" vertical="center" wrapText="1"/>
    </xf>
    <xf numFmtId="0" fontId="63" fillId="0" borderId="20" xfId="0" applyFont="1" applyBorder="1" applyAlignment="1">
      <alignment vertical="center" wrapText="1"/>
    </xf>
    <xf numFmtId="0" fontId="63" fillId="0" borderId="20" xfId="0" applyFont="1" applyBorder="1" applyAlignment="1">
      <alignment wrapText="1"/>
    </xf>
    <xf numFmtId="42" fontId="33" fillId="26" borderId="86" xfId="41" applyNumberFormat="1" applyFont="1" applyFill="1" applyBorder="1" applyAlignment="1">
      <alignment vertical="center"/>
    </xf>
    <xf numFmtId="170" fontId="29" fillId="25" borderId="77" xfId="63" applyNumberFormat="1" applyFont="1" applyFill="1" applyBorder="1" applyAlignment="1">
      <alignment horizontal="center" vertical="center"/>
    </xf>
    <xf numFmtId="170" fontId="30" fillId="25" borderId="77" xfId="63" applyNumberFormat="1" applyFont="1" applyFill="1" applyBorder="1" applyAlignment="1">
      <alignment horizontal="center" vertical="center"/>
    </xf>
    <xf numFmtId="170" fontId="29" fillId="25" borderId="77" xfId="63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29" fillId="0" borderId="0" xfId="0" applyFont="1" applyAlignment="1">
      <alignment horizontal="center" vertical="top"/>
    </xf>
    <xf numFmtId="166" fontId="54" fillId="25" borderId="0" xfId="61" applyNumberFormat="1" applyFont="1" applyFill="1" applyAlignment="1">
      <alignment vertical="center"/>
    </xf>
    <xf numFmtId="0" fontId="33" fillId="25" borderId="87" xfId="41" applyFont="1" applyFill="1" applyBorder="1" applyAlignment="1">
      <alignment vertical="center"/>
    </xf>
    <xf numFmtId="0" fontId="33" fillId="25" borderId="24" xfId="41" applyFont="1" applyFill="1" applyBorder="1" applyAlignment="1">
      <alignment vertical="center"/>
    </xf>
    <xf numFmtId="172" fontId="33" fillId="0" borderId="43" xfId="41" applyNumberFormat="1" applyFont="1" applyFill="1" applyBorder="1" applyAlignment="1">
      <alignment horizontal="center" vertical="center"/>
    </xf>
    <xf numFmtId="9" fontId="33" fillId="0" borderId="43" xfId="41" applyNumberFormat="1" applyFont="1" applyFill="1" applyBorder="1" applyAlignment="1">
      <alignment horizontal="center" vertical="center"/>
    </xf>
    <xf numFmtId="2" fontId="29" fillId="30" borderId="28" xfId="0" applyNumberFormat="1" applyFont="1" applyFill="1" applyBorder="1" applyAlignment="1">
      <alignment horizontal="center" vertical="center" wrapText="1"/>
    </xf>
    <xf numFmtId="0" fontId="64" fillId="30" borderId="94" xfId="0" applyFont="1" applyFill="1" applyBorder="1" applyAlignment="1">
      <alignment horizontal="right" vertical="center"/>
    </xf>
    <xf numFmtId="0" fontId="30" fillId="30" borderId="75" xfId="0" applyFont="1" applyFill="1" applyBorder="1" applyAlignment="1">
      <alignment horizontal="right" vertical="center"/>
    </xf>
    <xf numFmtId="166" fontId="30" fillId="30" borderId="75" xfId="61" applyNumberFormat="1" applyFont="1" applyFill="1" applyBorder="1" applyAlignment="1">
      <alignment horizontal="left" vertical="top" wrapText="1"/>
    </xf>
    <xf numFmtId="166" fontId="30" fillId="30" borderId="75" xfId="61" applyNumberFormat="1" applyFont="1" applyFill="1" applyBorder="1" applyAlignment="1">
      <alignment horizontal="center" vertical="center" wrapText="1"/>
    </xf>
    <xf numFmtId="166" fontId="30" fillId="30" borderId="36" xfId="61" applyNumberFormat="1" applyFont="1" applyFill="1" applyBorder="1" applyAlignment="1">
      <alignment horizontal="left" vertical="top" wrapText="1"/>
    </xf>
    <xf numFmtId="0" fontId="30" fillId="30" borderId="94" xfId="0" applyFont="1" applyFill="1" applyBorder="1" applyAlignment="1">
      <alignment horizontal="right" vertical="center"/>
    </xf>
    <xf numFmtId="166" fontId="30" fillId="30" borderId="67" xfId="61" applyNumberFormat="1" applyFont="1" applyFill="1" applyBorder="1" applyAlignment="1">
      <alignment horizontal="center" vertical="center" wrapText="1"/>
    </xf>
    <xf numFmtId="2" fontId="29" fillId="30" borderId="98" xfId="0" applyNumberFormat="1" applyFont="1" applyFill="1" applyBorder="1" applyAlignment="1">
      <alignment horizontal="center" vertical="center" wrapText="1"/>
    </xf>
    <xf numFmtId="166" fontId="30" fillId="30" borderId="67" xfId="61" applyNumberFormat="1" applyFont="1" applyFill="1" applyBorder="1" applyAlignment="1">
      <alignment horizontal="left" vertical="top" wrapText="1"/>
    </xf>
    <xf numFmtId="170" fontId="33" fillId="26" borderId="86" xfId="63" applyNumberFormat="1" applyFont="1" applyFill="1" applyBorder="1" applyAlignment="1">
      <alignment vertical="center"/>
    </xf>
    <xf numFmtId="166" fontId="30" fillId="31" borderId="15" xfId="78" applyNumberFormat="1" applyFont="1" applyFill="1" applyBorder="1" applyAlignment="1">
      <alignment horizontal="center" vertical="center" wrapText="1"/>
    </xf>
    <xf numFmtId="2" fontId="45" fillId="31" borderId="99" xfId="0" applyNumberFormat="1" applyFont="1" applyFill="1" applyBorder="1" applyAlignment="1">
      <alignment horizontal="center" vertical="center" wrapText="1"/>
    </xf>
    <xf numFmtId="166" fontId="29" fillId="0" borderId="48" xfId="78" applyNumberFormat="1" applyFont="1" applyBorder="1" applyAlignment="1">
      <alignment vertical="center" wrapText="1"/>
    </xf>
    <xf numFmtId="166" fontId="29" fillId="25" borderId="62" xfId="78" applyNumberFormat="1" applyFont="1" applyFill="1" applyBorder="1" applyAlignment="1">
      <alignment vertical="center"/>
    </xf>
    <xf numFmtId="166" fontId="29" fillId="30" borderId="25" xfId="78" applyNumberFormat="1" applyFont="1" applyFill="1" applyBorder="1" applyAlignment="1">
      <alignment vertical="center" wrapText="1"/>
    </xf>
    <xf numFmtId="2" fontId="29" fillId="30" borderId="93" xfId="0" applyNumberFormat="1" applyFont="1" applyFill="1" applyBorder="1" applyAlignment="1">
      <alignment vertical="center" wrapText="1"/>
    </xf>
    <xf numFmtId="166" fontId="29" fillId="30" borderId="27" xfId="78" applyNumberFormat="1" applyFont="1" applyFill="1" applyBorder="1" applyAlignment="1">
      <alignment vertical="center"/>
    </xf>
    <xf numFmtId="166" fontId="29" fillId="0" borderId="100" xfId="61" applyNumberFormat="1" applyFont="1" applyBorder="1" applyAlignment="1">
      <alignment vertical="center" wrapText="1"/>
    </xf>
    <xf numFmtId="166" fontId="29" fillId="25" borderId="101" xfId="78" applyNumberFormat="1" applyFont="1" applyFill="1" applyBorder="1" applyAlignment="1">
      <alignment vertical="center"/>
    </xf>
    <xf numFmtId="166" fontId="29" fillId="0" borderId="94" xfId="78" applyNumberFormat="1" applyFont="1" applyBorder="1" applyAlignment="1">
      <alignment vertical="center" wrapText="1"/>
    </xf>
    <xf numFmtId="166" fontId="29" fillId="0" borderId="102" xfId="78" applyNumberFormat="1" applyFont="1" applyBorder="1" applyAlignment="1">
      <alignment vertical="center" wrapText="1"/>
    </xf>
    <xf numFmtId="166" fontId="29" fillId="25" borderId="57" xfId="78" applyNumberFormat="1" applyFont="1" applyFill="1" applyBorder="1" applyAlignment="1">
      <alignment vertical="center"/>
    </xf>
    <xf numFmtId="2" fontId="50" fillId="25" borderId="97" xfId="0" applyNumberFormat="1" applyFont="1" applyFill="1" applyBorder="1" applyAlignment="1">
      <alignment horizontal="center" vertical="center" wrapText="1"/>
    </xf>
    <xf numFmtId="166" fontId="29" fillId="25" borderId="103" xfId="78" applyNumberFormat="1" applyFont="1" applyFill="1" applyBorder="1" applyAlignment="1">
      <alignment vertical="center"/>
    </xf>
    <xf numFmtId="2" fontId="29" fillId="25" borderId="104" xfId="0" applyNumberFormat="1" applyFont="1" applyFill="1" applyBorder="1" applyAlignment="1">
      <alignment vertical="center"/>
    </xf>
    <xf numFmtId="0" fontId="30" fillId="27" borderId="77" xfId="94" applyFont="1" applyFill="1" applyAlignment="1">
      <alignment horizontal="justify" vertical="center"/>
    </xf>
    <xf numFmtId="1" fontId="29" fillId="25" borderId="78" xfId="93" applyNumberFormat="1" applyFont="1" applyFill="1" applyBorder="1" applyAlignment="1">
      <alignment horizontal="center" vertical="center"/>
    </xf>
    <xf numFmtId="170" fontId="29" fillId="25" borderId="77" xfId="48" applyNumberFormat="1" applyFont="1" applyFill="1" applyBorder="1" applyAlignment="1">
      <alignment horizontal="center" vertical="center"/>
    </xf>
    <xf numFmtId="9" fontId="29" fillId="25" borderId="77" xfId="93" applyNumberFormat="1" applyFont="1" applyFill="1" applyAlignment="1">
      <alignment horizontal="right" vertical="center"/>
    </xf>
    <xf numFmtId="170" fontId="29" fillId="25" borderId="77" xfId="48" applyNumberFormat="1" applyFont="1" applyFill="1" applyBorder="1" applyAlignment="1">
      <alignment horizontal="right" vertical="center"/>
    </xf>
    <xf numFmtId="0" fontId="29" fillId="25" borderId="77" xfId="93" applyFont="1" applyFill="1" applyAlignment="1">
      <alignment horizontal="center" vertical="center"/>
    </xf>
    <xf numFmtId="0" fontId="29" fillId="28" borderId="77" xfId="93" applyFont="1" applyFill="1" applyAlignment="1">
      <alignment horizontal="center" vertical="center"/>
    </xf>
    <xf numFmtId="164" fontId="29" fillId="25" borderId="12" xfId="93" applyNumberFormat="1" applyFont="1" applyFill="1" applyBorder="1" applyAlignment="1">
      <alignment horizontal="center" vertical="center"/>
    </xf>
    <xf numFmtId="168" fontId="29" fillId="30" borderId="77" xfId="93" applyNumberFormat="1" applyFont="1" applyFill="1" applyAlignment="1">
      <alignment horizontal="right" vertical="center"/>
    </xf>
    <xf numFmtId="168" fontId="29" fillId="25" borderId="77" xfId="93" applyNumberFormat="1" applyFont="1" applyFill="1" applyAlignment="1">
      <alignment vertical="center"/>
    </xf>
    <xf numFmtId="168" fontId="29" fillId="28" borderId="77" xfId="93" applyNumberFormat="1" applyFont="1" applyFill="1" applyAlignment="1">
      <alignment vertical="center"/>
    </xf>
    <xf numFmtId="167" fontId="29" fillId="25" borderId="77" xfId="93" applyNumberFormat="1" applyFont="1" applyFill="1" applyAlignment="1" applyProtection="1">
      <alignment horizontal="left" vertical="center"/>
    </xf>
    <xf numFmtId="1" fontId="29" fillId="25" borderId="81" xfId="64" applyNumberFormat="1" applyFont="1" applyFill="1" applyBorder="1" applyAlignment="1">
      <alignment horizontal="center" vertical="center"/>
    </xf>
    <xf numFmtId="1" fontId="29" fillId="25" borderId="79" xfId="64" applyNumberFormat="1" applyFont="1" applyFill="1" applyBorder="1" applyAlignment="1">
      <alignment horizontal="center" vertical="center" wrapText="1"/>
    </xf>
    <xf numFmtId="1" fontId="29" fillId="25" borderId="79" xfId="38" applyNumberFormat="1" applyFont="1" applyFill="1" applyBorder="1" applyAlignment="1">
      <alignment horizontal="center" vertical="center" wrapText="1"/>
    </xf>
    <xf numFmtId="1" fontId="29" fillId="25" borderId="79" xfId="93" applyNumberFormat="1" applyFont="1" applyFill="1" applyBorder="1" applyAlignment="1">
      <alignment horizontal="center" vertical="center" wrapText="1"/>
    </xf>
    <xf numFmtId="1" fontId="29" fillId="25" borderId="105" xfId="38" applyNumberFormat="1" applyFont="1" applyFill="1" applyBorder="1" applyAlignment="1">
      <alignment horizontal="center" vertical="center"/>
    </xf>
    <xf numFmtId="2" fontId="29" fillId="30" borderId="0" xfId="0" applyNumberFormat="1" applyFont="1" applyFill="1" applyAlignment="1">
      <alignment vertical="top"/>
    </xf>
    <xf numFmtId="167" fontId="29" fillId="25" borderId="106" xfId="38" applyNumberFormat="1" applyFont="1" applyFill="1" applyBorder="1" applyAlignment="1" applyProtection="1">
      <alignment horizontal="left" vertical="center"/>
    </xf>
    <xf numFmtId="166" fontId="52" fillId="25" borderId="72" xfId="61" applyNumberFormat="1" applyFont="1" applyFill="1" applyBorder="1" applyAlignment="1">
      <alignment horizontal="justify" vertical="center" wrapText="1"/>
    </xf>
    <xf numFmtId="170" fontId="29" fillId="25" borderId="80" xfId="48" applyNumberFormat="1" applyFont="1" applyFill="1" applyBorder="1" applyAlignment="1">
      <alignment horizontal="center" vertical="center"/>
    </xf>
    <xf numFmtId="0" fontId="30" fillId="27" borderId="77" xfId="93" applyFont="1" applyFill="1" applyAlignment="1">
      <alignment horizontal="justify" vertical="center"/>
    </xf>
    <xf numFmtId="0" fontId="29" fillId="25" borderId="77" xfId="93" applyFont="1" applyFill="1" applyAlignment="1">
      <alignment horizontal="justify" vertical="center" wrapText="1"/>
    </xf>
    <xf numFmtId="170" fontId="52" fillId="30" borderId="75" xfId="48" applyNumberFormat="1" applyFont="1" applyFill="1" applyBorder="1" applyAlignment="1">
      <alignment horizontal="center" vertical="center"/>
    </xf>
    <xf numFmtId="0" fontId="30" fillId="27" borderId="77" xfId="93" applyFont="1" applyFill="1" applyAlignment="1">
      <alignment horizontal="center" vertical="center"/>
    </xf>
    <xf numFmtId="0" fontId="39" fillId="25" borderId="84" xfId="38" applyFont="1" applyFill="1" applyBorder="1" applyAlignment="1">
      <alignment horizontal="justify" vertical="center" wrapText="1"/>
    </xf>
    <xf numFmtId="0" fontId="40" fillId="32" borderId="0" xfId="45" applyFont="1" applyFill="1" applyAlignment="1">
      <alignment horizontal="center" vertical="center"/>
    </xf>
    <xf numFmtId="0" fontId="78" fillId="33" borderId="77" xfId="94" applyFont="1" applyFill="1" applyAlignment="1">
      <alignment horizontal="center" vertical="center" wrapText="1"/>
    </xf>
    <xf numFmtId="0" fontId="29" fillId="25" borderId="77" xfId="94" applyFont="1" applyFill="1" applyAlignment="1">
      <alignment horizontal="justify" vertical="center"/>
    </xf>
    <xf numFmtId="170" fontId="30" fillId="25" borderId="77" xfId="48" applyNumberFormat="1" applyFont="1" applyFill="1" applyBorder="1" applyAlignment="1">
      <alignment horizontal="center" vertical="center"/>
    </xf>
    <xf numFmtId="167" fontId="29" fillId="25" borderId="19" xfId="38" applyNumberFormat="1" applyFont="1" applyFill="1" applyBorder="1" applyAlignment="1" applyProtection="1">
      <alignment horizontal="left" vertical="center"/>
    </xf>
    <xf numFmtId="0" fontId="78" fillId="33" borderId="77" xfId="93" applyFont="1" applyFill="1" applyAlignment="1">
      <alignment horizontal="center" vertical="center"/>
    </xf>
    <xf numFmtId="0" fontId="30" fillId="28" borderId="77" xfId="93" applyFont="1" applyFill="1" applyAlignment="1">
      <alignment horizontal="left" vertical="center" wrapText="1"/>
    </xf>
    <xf numFmtId="1" fontId="29" fillId="25" borderId="81" xfId="93" applyNumberFormat="1" applyFont="1" applyFill="1" applyBorder="1" applyAlignment="1">
      <alignment horizontal="center" vertical="center"/>
    </xf>
    <xf numFmtId="1" fontId="29" fillId="25" borderId="105" xfId="64" applyNumberFormat="1" applyFont="1" applyFill="1" applyBorder="1" applyAlignment="1">
      <alignment horizontal="center" vertical="center" wrapText="1"/>
    </xf>
    <xf numFmtId="1" fontId="29" fillId="25" borderId="105" xfId="70" applyNumberFormat="1" applyFont="1" applyFill="1" applyBorder="1" applyAlignment="1">
      <alignment horizontal="center" vertical="center"/>
    </xf>
    <xf numFmtId="170" fontId="29" fillId="25" borderId="80" xfId="63" applyNumberFormat="1" applyFont="1" applyFill="1" applyBorder="1" applyAlignment="1">
      <alignment horizontal="center" vertical="center"/>
    </xf>
    <xf numFmtId="9" fontId="29" fillId="0" borderId="80" xfId="62" applyFont="1" applyFill="1" applyBorder="1" applyAlignment="1">
      <alignment horizontal="right" vertical="center"/>
    </xf>
    <xf numFmtId="170" fontId="29" fillId="25" borderId="80" xfId="63" applyNumberFormat="1" applyFont="1" applyFill="1" applyBorder="1" applyAlignment="1">
      <alignment horizontal="right" vertical="center"/>
    </xf>
    <xf numFmtId="0" fontId="29" fillId="25" borderId="80" xfId="38" applyFont="1" applyFill="1" applyBorder="1" applyAlignment="1">
      <alignment horizontal="center" vertical="center"/>
    </xf>
    <xf numFmtId="168" fontId="29" fillId="30" borderId="80" xfId="38" applyNumberFormat="1" applyFont="1" applyFill="1" applyBorder="1" applyAlignment="1">
      <alignment horizontal="right" vertical="center"/>
    </xf>
    <xf numFmtId="168" fontId="29" fillId="25" borderId="80" xfId="38" applyNumberFormat="1" applyFont="1" applyFill="1" applyBorder="1" applyAlignment="1">
      <alignment horizontal="right" vertical="center"/>
    </xf>
    <xf numFmtId="168" fontId="29" fillId="25" borderId="80" xfId="38" applyNumberFormat="1" applyFont="1" applyFill="1" applyBorder="1" applyAlignment="1">
      <alignment vertical="center"/>
    </xf>
    <xf numFmtId="167" fontId="29" fillId="25" borderId="80" xfId="38" applyNumberFormat="1" applyFont="1" applyFill="1" applyBorder="1" applyAlignment="1" applyProtection="1">
      <alignment horizontal="left" vertical="center"/>
    </xf>
    <xf numFmtId="49" fontId="29" fillId="25" borderId="77" xfId="94" applyNumberFormat="1" applyFont="1" applyFill="1" applyAlignment="1">
      <alignment horizontal="justify" vertical="center" wrapText="1"/>
    </xf>
    <xf numFmtId="43" fontId="29" fillId="25" borderId="77" xfId="63" applyFont="1" applyFill="1" applyBorder="1" applyAlignment="1">
      <alignment horizontal="center" vertical="center"/>
    </xf>
    <xf numFmtId="0" fontId="49" fillId="25" borderId="77" xfId="93" applyFont="1" applyFill="1" applyAlignment="1">
      <alignment horizontal="justify" vertical="center" wrapText="1"/>
    </xf>
    <xf numFmtId="0" fontId="29" fillId="0" borderId="77" xfId="93" applyFont="1" applyFill="1" applyAlignment="1">
      <alignment horizontal="justify" vertical="center" wrapText="1"/>
    </xf>
    <xf numFmtId="0" fontId="30" fillId="0" borderId="0" xfId="45" applyFont="1" applyAlignment="1">
      <alignment horizontal="center" vertical="center"/>
    </xf>
    <xf numFmtId="2" fontId="29" fillId="0" borderId="0" xfId="45" applyNumberFormat="1" applyFont="1" applyAlignment="1">
      <alignment horizontal="center" vertical="center"/>
    </xf>
    <xf numFmtId="43" fontId="29" fillId="0" borderId="0" xfId="45" applyNumberFormat="1" applyFont="1" applyAlignment="1">
      <alignment vertical="center"/>
    </xf>
    <xf numFmtId="44" fontId="29" fillId="0" borderId="0" xfId="78" applyFont="1" applyAlignment="1">
      <alignment vertical="center"/>
    </xf>
    <xf numFmtId="44" fontId="29" fillId="0" borderId="0" xfId="78" applyFont="1" applyFill="1" applyAlignment="1">
      <alignment vertical="center"/>
    </xf>
    <xf numFmtId="171" fontId="29" fillId="28" borderId="77" xfId="94" applyNumberFormat="1" applyFont="1" applyFill="1" applyAlignment="1">
      <alignment horizontal="center" vertical="center"/>
    </xf>
    <xf numFmtId="171" fontId="29" fillId="28" borderId="84" xfId="93" applyNumberFormat="1" applyFont="1" applyFill="1" applyBorder="1" applyAlignment="1">
      <alignment horizontal="center" vertical="center"/>
    </xf>
    <xf numFmtId="168" fontId="29" fillId="28" borderId="84" xfId="93" applyNumberFormat="1" applyFont="1" applyFill="1" applyBorder="1" applyAlignment="1">
      <alignment vertical="center"/>
    </xf>
    <xf numFmtId="0" fontId="29" fillId="28" borderId="77" xfId="94" applyFont="1" applyFill="1" applyAlignment="1">
      <alignment horizontal="center" vertical="center"/>
    </xf>
    <xf numFmtId="1" fontId="29" fillId="25" borderId="79" xfId="94" applyNumberFormat="1" applyFont="1" applyFill="1" applyBorder="1" applyAlignment="1">
      <alignment horizontal="center" vertical="center" wrapText="1"/>
    </xf>
    <xf numFmtId="9" fontId="29" fillId="0" borderId="77" xfId="79" applyFont="1" applyFill="1" applyBorder="1" applyAlignment="1">
      <alignment horizontal="right" vertical="center"/>
    </xf>
    <xf numFmtId="43" fontId="29" fillId="25" borderId="80" xfId="38" applyNumberFormat="1" applyFont="1" applyFill="1" applyBorder="1" applyAlignment="1">
      <alignment horizontal="center" vertical="center"/>
    </xf>
    <xf numFmtId="1" fontId="29" fillId="25" borderId="79" xfId="93" applyNumberFormat="1" applyFont="1" applyFill="1" applyBorder="1" applyAlignment="1">
      <alignment horizontal="center" vertical="center"/>
    </xf>
    <xf numFmtId="164" fontId="29" fillId="25" borderId="77" xfId="93" applyNumberFormat="1" applyFont="1" applyFill="1" applyAlignment="1">
      <alignment horizontal="center" vertical="center"/>
    </xf>
    <xf numFmtId="168" fontId="29" fillId="25" borderId="77" xfId="93" applyNumberFormat="1" applyFont="1" applyFill="1" applyAlignment="1">
      <alignment horizontal="right" vertical="center"/>
    </xf>
    <xf numFmtId="167" fontId="29" fillId="25" borderId="106" xfId="93" applyNumberFormat="1" applyFont="1" applyFill="1" applyBorder="1" applyAlignment="1" applyProtection="1">
      <alignment horizontal="left" vertical="center"/>
    </xf>
    <xf numFmtId="43" fontId="29" fillId="25" borderId="77" xfId="48" applyFont="1" applyFill="1" applyBorder="1" applyAlignment="1">
      <alignment horizontal="center" vertical="center"/>
    </xf>
    <xf numFmtId="1" fontId="29" fillId="25" borderId="79" xfId="94" applyNumberFormat="1" applyFont="1" applyFill="1" applyBorder="1" applyAlignment="1">
      <alignment horizontal="center" vertical="center"/>
    </xf>
    <xf numFmtId="1" fontId="29" fillId="25" borderId="82" xfId="93" applyNumberFormat="1" applyFont="1" applyFill="1" applyBorder="1" applyAlignment="1">
      <alignment horizontal="center" vertical="center"/>
    </xf>
    <xf numFmtId="1" fontId="29" fillId="25" borderId="83" xfId="93" applyNumberFormat="1" applyFont="1" applyFill="1" applyBorder="1" applyAlignment="1">
      <alignment horizontal="center" vertical="center"/>
    </xf>
    <xf numFmtId="0" fontId="39" fillId="25" borderId="84" xfId="93" applyFont="1" applyFill="1" applyBorder="1" applyAlignment="1">
      <alignment horizontal="justify" vertical="center" wrapText="1"/>
    </xf>
    <xf numFmtId="41" fontId="29" fillId="25" borderId="84" xfId="93" applyNumberFormat="1" applyFont="1" applyFill="1" applyBorder="1" applyAlignment="1">
      <alignment horizontal="center" vertical="center"/>
    </xf>
    <xf numFmtId="9" fontId="29" fillId="25" borderId="84" xfId="93" applyNumberFormat="1" applyFont="1" applyFill="1" applyBorder="1" applyAlignment="1">
      <alignment horizontal="right" vertical="center"/>
    </xf>
    <xf numFmtId="41" fontId="29" fillId="25" borderId="84" xfId="93" applyNumberFormat="1" applyFont="1" applyFill="1" applyBorder="1" applyAlignment="1">
      <alignment horizontal="right" vertical="center"/>
    </xf>
    <xf numFmtId="0" fontId="29" fillId="25" borderId="84" xfId="93" applyFont="1" applyFill="1" applyBorder="1" applyAlignment="1">
      <alignment horizontal="center" vertical="center"/>
    </xf>
    <xf numFmtId="164" fontId="29" fillId="25" borderId="84" xfId="93" applyNumberFormat="1" applyFont="1" applyFill="1" applyBorder="1" applyAlignment="1">
      <alignment horizontal="center" vertical="center"/>
    </xf>
    <xf numFmtId="168" fontId="29" fillId="30" borderId="84" xfId="93" applyNumberFormat="1" applyFont="1" applyFill="1" applyBorder="1" applyAlignment="1">
      <alignment horizontal="right" vertical="center"/>
    </xf>
    <xf numFmtId="168" fontId="29" fillId="25" borderId="84" xfId="93" applyNumberFormat="1" applyFont="1" applyFill="1" applyBorder="1" applyAlignment="1">
      <alignment horizontal="right" vertical="center"/>
    </xf>
    <xf numFmtId="168" fontId="29" fillId="25" borderId="84" xfId="93" applyNumberFormat="1" applyFont="1" applyFill="1" applyBorder="1" applyAlignment="1">
      <alignment vertical="center"/>
    </xf>
    <xf numFmtId="167" fontId="29" fillId="25" borderId="84" xfId="93" applyNumberFormat="1" applyFont="1" applyFill="1" applyBorder="1" applyAlignment="1" applyProtection="1">
      <alignment horizontal="left" vertical="center"/>
    </xf>
    <xf numFmtId="170" fontId="52" fillId="30" borderId="22" xfId="48" applyNumberFormat="1" applyFont="1" applyFill="1" applyBorder="1" applyAlignment="1">
      <alignment horizontal="center" vertical="center"/>
    </xf>
    <xf numFmtId="0" fontId="79" fillId="0" borderId="77" xfId="94" applyFont="1" applyFill="1" applyAlignment="1">
      <alignment horizontal="right" vertical="center"/>
    </xf>
    <xf numFmtId="170" fontId="29" fillId="0" borderId="77" xfId="63" applyNumberFormat="1" applyFont="1" applyFill="1" applyBorder="1" applyAlignment="1">
      <alignment horizontal="center" vertical="center"/>
    </xf>
    <xf numFmtId="166" fontId="29" fillId="25" borderId="107" xfId="78" applyNumberFormat="1" applyFont="1" applyFill="1" applyBorder="1" applyAlignment="1">
      <alignment vertical="center"/>
    </xf>
    <xf numFmtId="2" fontId="29" fillId="25" borderId="108" xfId="0" applyNumberFormat="1" applyFont="1" applyFill="1" applyBorder="1" applyAlignment="1">
      <alignment vertical="center"/>
    </xf>
    <xf numFmtId="166" fontId="29" fillId="25" borderId="44" xfId="78" applyNumberFormat="1" applyFont="1" applyFill="1" applyBorder="1" applyAlignment="1">
      <alignment vertical="center"/>
    </xf>
    <xf numFmtId="2" fontId="29" fillId="25" borderId="22" xfId="0" applyNumberFormat="1" applyFont="1" applyFill="1" applyBorder="1" applyAlignment="1">
      <alignment vertical="center"/>
    </xf>
    <xf numFmtId="2" fontId="50" fillId="25" borderId="23" xfId="0" applyNumberFormat="1" applyFont="1" applyFill="1" applyBorder="1" applyAlignment="1">
      <alignment horizontal="left" vertical="center" wrapText="1" indent="2"/>
    </xf>
    <xf numFmtId="2" fontId="50" fillId="25" borderId="22" xfId="0" applyNumberFormat="1" applyFont="1" applyFill="1" applyBorder="1" applyAlignment="1">
      <alignment horizontal="left" vertical="center" wrapText="1" indent="2"/>
    </xf>
    <xf numFmtId="2" fontId="41" fillId="31" borderId="15" xfId="0" applyNumberFormat="1" applyFont="1" applyFill="1" applyBorder="1" applyAlignment="1">
      <alignment horizontal="center" vertical="center" wrapText="1"/>
    </xf>
    <xf numFmtId="2" fontId="41" fillId="31" borderId="16" xfId="0" applyNumberFormat="1" applyFont="1" applyFill="1" applyBorder="1" applyAlignment="1">
      <alignment horizontal="center" vertical="center" wrapText="1"/>
    </xf>
    <xf numFmtId="2" fontId="41" fillId="31" borderId="17" xfId="0" applyNumberFormat="1" applyFont="1" applyFill="1" applyBorder="1" applyAlignment="1">
      <alignment horizontal="center" vertical="center" wrapText="1"/>
    </xf>
    <xf numFmtId="2" fontId="41" fillId="31" borderId="29" xfId="0" applyNumberFormat="1" applyFont="1" applyFill="1" applyBorder="1" applyAlignment="1">
      <alignment horizontal="center" vertical="center" wrapText="1"/>
    </xf>
    <xf numFmtId="2" fontId="41" fillId="31" borderId="31" xfId="0" applyNumberFormat="1" applyFont="1" applyFill="1" applyBorder="1" applyAlignment="1">
      <alignment horizontal="center" vertical="center" wrapText="1"/>
    </xf>
    <xf numFmtId="2" fontId="41" fillId="31" borderId="30" xfId="0" applyNumberFormat="1" applyFont="1" applyFill="1" applyBorder="1" applyAlignment="1">
      <alignment horizontal="center" vertical="center" wrapText="1"/>
    </xf>
    <xf numFmtId="2" fontId="47" fillId="25" borderId="0" xfId="0" applyNumberFormat="1" applyFont="1" applyFill="1" applyAlignment="1">
      <alignment horizontal="center" vertical="center" wrapText="1"/>
    </xf>
    <xf numFmtId="2" fontId="47" fillId="25" borderId="31" xfId="0" applyNumberFormat="1" applyFont="1" applyFill="1" applyBorder="1" applyAlignment="1">
      <alignment horizontal="center" vertical="center" wrapText="1"/>
    </xf>
    <xf numFmtId="0" fontId="67" fillId="31" borderId="15" xfId="0" applyFont="1" applyFill="1" applyBorder="1" applyAlignment="1">
      <alignment horizontal="center" vertical="center"/>
    </xf>
    <xf numFmtId="0" fontId="67" fillId="31" borderId="16" xfId="0" applyFont="1" applyFill="1" applyBorder="1" applyAlignment="1">
      <alignment horizontal="center" vertical="center"/>
    </xf>
    <xf numFmtId="0" fontId="67" fillId="31" borderId="17" xfId="0" applyFont="1" applyFill="1" applyBorder="1" applyAlignment="1">
      <alignment horizontal="center" vertical="center"/>
    </xf>
    <xf numFmtId="0" fontId="67" fillId="31" borderId="29" xfId="0" applyFont="1" applyFill="1" applyBorder="1" applyAlignment="1">
      <alignment horizontal="center" vertical="center"/>
    </xf>
    <xf numFmtId="0" fontId="67" fillId="31" borderId="31" xfId="0" applyFont="1" applyFill="1" applyBorder="1" applyAlignment="1">
      <alignment horizontal="center" vertical="center"/>
    </xf>
    <xf numFmtId="0" fontId="67" fillId="31" borderId="30" xfId="0" applyFont="1" applyFill="1" applyBorder="1" applyAlignment="1">
      <alignment horizontal="center" vertical="center"/>
    </xf>
    <xf numFmtId="0" fontId="41" fillId="25" borderId="63" xfId="77" applyFont="1" applyFill="1" applyBorder="1" applyAlignment="1">
      <alignment horizontal="center" vertical="center" wrapText="1"/>
    </xf>
    <xf numFmtId="0" fontId="41" fillId="25" borderId="64" xfId="77" applyFont="1" applyFill="1" applyBorder="1" applyAlignment="1">
      <alignment horizontal="center" vertical="center" wrapText="1"/>
    </xf>
    <xf numFmtId="0" fontId="72" fillId="25" borderId="70" xfId="92" applyFont="1" applyFill="1" applyBorder="1" applyAlignment="1">
      <alignment horizontal="center" vertical="center" wrapText="1"/>
    </xf>
    <xf numFmtId="0" fontId="72" fillId="25" borderId="71" xfId="92" applyFont="1" applyFill="1" applyBorder="1" applyAlignment="1">
      <alignment horizontal="center" vertical="center" wrapText="1"/>
    </xf>
    <xf numFmtId="0" fontId="66" fillId="31" borderId="15" xfId="0" applyFont="1" applyFill="1" applyBorder="1" applyAlignment="1">
      <alignment horizontal="center" vertical="center"/>
    </xf>
    <xf numFmtId="0" fontId="66" fillId="31" borderId="16" xfId="0" applyFont="1" applyFill="1" applyBorder="1" applyAlignment="1">
      <alignment horizontal="center" vertical="center"/>
    </xf>
    <xf numFmtId="0" fontId="66" fillId="31" borderId="17" xfId="0" applyFont="1" applyFill="1" applyBorder="1" applyAlignment="1">
      <alignment horizontal="center" vertical="center"/>
    </xf>
    <xf numFmtId="0" fontId="66" fillId="31" borderId="29" xfId="0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horizontal="center" vertical="center"/>
    </xf>
    <xf numFmtId="0" fontId="66" fillId="31" borderId="30" xfId="0" applyFont="1" applyFill="1" applyBorder="1" applyAlignment="1">
      <alignment horizontal="center" vertical="center"/>
    </xf>
    <xf numFmtId="0" fontId="72" fillId="25" borderId="0" xfId="92" applyFont="1" applyFill="1" applyBorder="1" applyAlignment="1">
      <alignment horizontal="center" vertical="center"/>
    </xf>
    <xf numFmtId="0" fontId="50" fillId="26" borderId="25" xfId="0" applyFont="1" applyFill="1" applyBorder="1" applyAlignment="1">
      <alignment horizontal="center" vertical="center"/>
    </xf>
    <xf numFmtId="0" fontId="50" fillId="26" borderId="26" xfId="0" applyFont="1" applyFill="1" applyBorder="1" applyAlignment="1">
      <alignment horizontal="center" vertical="center"/>
    </xf>
    <xf numFmtId="0" fontId="50" fillId="26" borderId="27" xfId="0" applyFont="1" applyFill="1" applyBorder="1" applyAlignment="1">
      <alignment horizontal="center" vertical="center"/>
    </xf>
    <xf numFmtId="0" fontId="33" fillId="25" borderId="85" xfId="41" applyFont="1" applyFill="1" applyBorder="1" applyAlignment="1">
      <alignment horizontal="left" vertical="center"/>
    </xf>
    <xf numFmtId="0" fontId="33" fillId="25" borderId="32" xfId="41" applyFont="1" applyFill="1" applyBorder="1" applyAlignment="1">
      <alignment horizontal="left" vertical="center"/>
    </xf>
    <xf numFmtId="0" fontId="33" fillId="25" borderId="87" xfId="41" applyFont="1" applyFill="1" applyBorder="1" applyAlignment="1">
      <alignment horizontal="left" vertical="center"/>
    </xf>
    <xf numFmtId="0" fontId="33" fillId="25" borderId="24" xfId="41" applyFont="1" applyFill="1" applyBorder="1" applyAlignment="1">
      <alignment horizontal="left" vertical="center"/>
    </xf>
    <xf numFmtId="0" fontId="33" fillId="25" borderId="89" xfId="41" applyFont="1" applyFill="1" applyBorder="1" applyAlignment="1">
      <alignment horizontal="left" vertical="center"/>
    </xf>
    <xf numFmtId="0" fontId="33" fillId="25" borderId="90" xfId="41" applyFont="1" applyFill="1" applyBorder="1" applyAlignment="1">
      <alignment horizontal="left" vertical="center"/>
    </xf>
    <xf numFmtId="14" fontId="38" fillId="25" borderId="26" xfId="0" applyNumberFormat="1" applyFont="1" applyFill="1" applyBorder="1" applyAlignment="1">
      <alignment horizontal="center" vertical="center"/>
    </xf>
    <xf numFmtId="0" fontId="73" fillId="25" borderId="26" xfId="92" applyFont="1" applyFill="1" applyBorder="1" applyAlignment="1">
      <alignment horizontal="center"/>
    </xf>
    <xf numFmtId="2" fontId="39" fillId="30" borderId="18" xfId="0" applyNumberFormat="1" applyFont="1" applyFill="1" applyBorder="1" applyAlignment="1">
      <alignment horizontal="left" vertical="top" wrapText="1"/>
    </xf>
    <xf numFmtId="2" fontId="39" fillId="30" borderId="0" xfId="0" applyNumberFormat="1" applyFont="1" applyFill="1" applyAlignment="1">
      <alignment horizontal="left" vertical="top" wrapText="1"/>
    </xf>
    <xf numFmtId="2" fontId="39" fillId="30" borderId="19" xfId="0" applyNumberFormat="1" applyFont="1" applyFill="1" applyBorder="1" applyAlignment="1">
      <alignment horizontal="left" vertical="top" wrapText="1"/>
    </xf>
    <xf numFmtId="2" fontId="39" fillId="30" borderId="29" xfId="0" applyNumberFormat="1" applyFont="1" applyFill="1" applyBorder="1" applyAlignment="1">
      <alignment horizontal="left" vertical="top" wrapText="1"/>
    </xf>
    <xf numFmtId="2" fontId="39" fillId="30" borderId="31" xfId="0" applyNumberFormat="1" applyFont="1" applyFill="1" applyBorder="1" applyAlignment="1">
      <alignment horizontal="left" vertical="top" wrapText="1"/>
    </xf>
    <xf numFmtId="2" fontId="39" fillId="30" borderId="30" xfId="0" applyNumberFormat="1" applyFont="1" applyFill="1" applyBorder="1" applyAlignment="1">
      <alignment horizontal="left" vertical="top" wrapText="1"/>
    </xf>
    <xf numFmtId="0" fontId="48" fillId="29" borderId="25" xfId="0" applyFont="1" applyFill="1" applyBorder="1" applyAlignment="1">
      <alignment horizontal="center" vertical="center"/>
    </xf>
    <xf numFmtId="0" fontId="48" fillId="29" borderId="26" xfId="0" applyFont="1" applyFill="1" applyBorder="1" applyAlignment="1">
      <alignment horizontal="center" vertical="center"/>
    </xf>
    <xf numFmtId="0" fontId="48" fillId="29" borderId="27" xfId="0" applyFont="1" applyFill="1" applyBorder="1" applyAlignment="1">
      <alignment horizontal="center" vertical="center"/>
    </xf>
    <xf numFmtId="0" fontId="74" fillId="25" borderId="25" xfId="92" applyFont="1" applyFill="1" applyBorder="1" applyAlignment="1">
      <alignment horizontal="center"/>
    </xf>
    <xf numFmtId="0" fontId="74" fillId="25" borderId="26" xfId="92" applyFont="1" applyFill="1" applyBorder="1" applyAlignment="1">
      <alignment horizontal="center"/>
    </xf>
    <xf numFmtId="0" fontId="74" fillId="25" borderId="27" xfId="92" applyFont="1" applyFill="1" applyBorder="1" applyAlignment="1">
      <alignment horizontal="center"/>
    </xf>
    <xf numFmtId="0" fontId="35" fillId="34" borderId="54" xfId="34" applyFont="1" applyFill="1" applyBorder="1" applyAlignment="1" applyProtection="1">
      <alignment horizontal="center" vertical="center" wrapText="1"/>
    </xf>
    <xf numFmtId="0" fontId="35" fillId="34" borderId="55" xfId="34" applyFont="1" applyFill="1" applyBorder="1" applyAlignment="1" applyProtection="1">
      <alignment horizontal="center" vertical="center" wrapText="1"/>
    </xf>
    <xf numFmtId="2" fontId="35" fillId="34" borderId="55" xfId="34" applyNumberFormat="1" applyFont="1" applyFill="1" applyBorder="1" applyAlignment="1" applyProtection="1">
      <alignment horizontal="center" vertical="center" wrapText="1"/>
    </xf>
    <xf numFmtId="0" fontId="35" fillId="34" borderId="56" xfId="34" applyFont="1" applyFill="1" applyBorder="1" applyAlignment="1" applyProtection="1">
      <alignment horizontal="center" vertical="center" wrapText="1"/>
    </xf>
    <xf numFmtId="2" fontId="46" fillId="34" borderId="25" xfId="0" applyNumberFormat="1" applyFont="1" applyFill="1" applyBorder="1" applyAlignment="1">
      <alignment horizontal="center"/>
    </xf>
    <xf numFmtId="2" fontId="46" fillId="34" borderId="26" xfId="0" applyNumberFormat="1" applyFont="1" applyFill="1" applyBorder="1" applyAlignment="1">
      <alignment horizontal="center"/>
    </xf>
    <xf numFmtId="2" fontId="46" fillId="34" borderId="27" xfId="0" applyNumberFormat="1" applyFont="1" applyFill="1" applyBorder="1" applyAlignment="1">
      <alignment horizontal="center"/>
    </xf>
    <xf numFmtId="2" fontId="35" fillId="34" borderId="56" xfId="34" applyNumberFormat="1" applyFont="1" applyFill="1" applyBorder="1" applyAlignment="1" applyProtection="1">
      <alignment horizontal="center" vertical="center" wrapText="1"/>
    </xf>
    <xf numFmtId="0" fontId="34" fillId="35" borderId="76" xfId="39" applyFont="1" applyFill="1" applyBorder="1" applyAlignment="1">
      <alignment horizontal="center" vertical="center"/>
    </xf>
    <xf numFmtId="0" fontId="34" fillId="35" borderId="73" xfId="39" applyFont="1" applyFill="1" applyBorder="1" applyAlignment="1">
      <alignment horizontal="center" vertical="center"/>
    </xf>
    <xf numFmtId="0" fontId="34" fillId="35" borderId="74" xfId="39" applyFont="1" applyFill="1" applyBorder="1" applyAlignment="1">
      <alignment vertical="center"/>
    </xf>
    <xf numFmtId="0" fontId="34" fillId="35" borderId="22" xfId="39" applyFont="1" applyFill="1" applyBorder="1" applyAlignment="1">
      <alignment horizontal="center" vertical="center"/>
    </xf>
    <xf numFmtId="0" fontId="34" fillId="35" borderId="22" xfId="39" applyFont="1" applyFill="1" applyBorder="1" applyAlignment="1">
      <alignment vertical="center"/>
    </xf>
    <xf numFmtId="42" fontId="34" fillId="35" borderId="45" xfId="39" applyNumberFormat="1" applyFont="1" applyFill="1" applyBorder="1" applyAlignment="1">
      <alignment vertical="center"/>
    </xf>
    <xf numFmtId="0" fontId="34" fillId="35" borderId="76" xfId="89" applyFont="1" applyFill="1" applyBorder="1" applyAlignment="1">
      <alignment horizontal="center" vertical="center"/>
    </xf>
    <xf numFmtId="0" fontId="34" fillId="35" borderId="73" xfId="89" applyFont="1" applyFill="1" applyBorder="1" applyAlignment="1">
      <alignment horizontal="center" vertical="center" wrapText="1"/>
    </xf>
    <xf numFmtId="0" fontId="34" fillId="35" borderId="73" xfId="89" applyFont="1" applyFill="1" applyBorder="1" applyAlignment="1">
      <alignment horizontal="center" vertical="center"/>
    </xf>
    <xf numFmtId="0" fontId="34" fillId="35" borderId="74" xfId="89" applyFont="1" applyFill="1" applyBorder="1" applyAlignment="1">
      <alignment vertical="center"/>
    </xf>
    <xf numFmtId="170" fontId="34" fillId="35" borderId="22" xfId="48" applyNumberFormat="1" applyFont="1" applyFill="1" applyBorder="1" applyAlignment="1">
      <alignment horizontal="center" vertical="center"/>
    </xf>
    <xf numFmtId="0" fontId="34" fillId="35" borderId="22" xfId="89" applyFont="1" applyFill="1" applyBorder="1" applyAlignment="1">
      <alignment vertical="center"/>
    </xf>
    <xf numFmtId="170" fontId="34" fillId="35" borderId="22" xfId="48" applyNumberFormat="1" applyFont="1" applyFill="1" applyBorder="1" applyAlignment="1">
      <alignment vertical="center"/>
    </xf>
    <xf numFmtId="42" fontId="34" fillId="35" borderId="45" xfId="89" applyNumberFormat="1" applyFont="1" applyFill="1" applyBorder="1" applyAlignment="1">
      <alignment vertical="center"/>
    </xf>
    <xf numFmtId="2" fontId="68" fillId="34" borderId="66" xfId="0" applyNumberFormat="1" applyFont="1" applyFill="1" applyBorder="1" applyAlignment="1">
      <alignment horizontal="center" vertical="center"/>
    </xf>
    <xf numFmtId="2" fontId="68" fillId="34" borderId="67" xfId="0" applyNumberFormat="1" applyFont="1" applyFill="1" applyBorder="1" applyAlignment="1">
      <alignment horizontal="center" vertical="center"/>
    </xf>
    <xf numFmtId="2" fontId="68" fillId="34" borderId="68" xfId="0" applyNumberFormat="1" applyFont="1" applyFill="1" applyBorder="1" applyAlignment="1">
      <alignment horizontal="center" vertical="center"/>
    </xf>
  </cellXfs>
  <cellStyles count="9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63" builtinId="3"/>
    <cellStyle name="Comma 2" xfId="46"/>
    <cellStyle name="Comma 2 2" xfId="48"/>
    <cellStyle name="Currency" xfId="61" builtinId="4"/>
    <cellStyle name="Currency 2" xfId="50"/>
    <cellStyle name="Currency 3" xfId="75"/>
    <cellStyle name="Currency 4" xfId="78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92" builtinId="8"/>
    <cellStyle name="Input" xfId="34" builtinId="20" customBuiltin="1"/>
    <cellStyle name="Input 2" xfId="84"/>
    <cellStyle name="Input 3" xfId="91"/>
    <cellStyle name="Linked Cell" xfId="35" builtinId="24" customBuiltin="1"/>
    <cellStyle name="Neutral" xfId="36" builtinId="28" customBuiltin="1"/>
    <cellStyle name="Normal" xfId="0" builtinId="0"/>
    <cellStyle name="Normal 10" xfId="69"/>
    <cellStyle name="Normal 11" xfId="96"/>
    <cellStyle name="Normal 2" xfId="44"/>
    <cellStyle name="Normal 2 2" xfId="47"/>
    <cellStyle name="Normal 2 3" xfId="45"/>
    <cellStyle name="Normal 2 3 2" xfId="52"/>
    <cellStyle name="Normal 3" xfId="37"/>
    <cellStyle name="Normal 4" xfId="43"/>
    <cellStyle name="Normal 4 2" xfId="53"/>
    <cellStyle name="Normal 4 2 2" xfId="58"/>
    <cellStyle name="Normal 4 3" xfId="51"/>
    <cellStyle name="Normal 4 3 2" xfId="57"/>
    <cellStyle name="Normal 4 4" xfId="56"/>
    <cellStyle name="Normal 5" xfId="49"/>
    <cellStyle name="Normal 6" xfId="55"/>
    <cellStyle name="Normal 7" xfId="54"/>
    <cellStyle name="Normal 7 2" xfId="59"/>
    <cellStyle name="Normal 8" xfId="60"/>
    <cellStyle name="Normal 9" xfId="65"/>
    <cellStyle name="Note" xfId="38" builtinId="10" customBuiltin="1"/>
    <cellStyle name="Note 10 2" xfId="71"/>
    <cellStyle name="Note 10 2 10 2 2 4 2 2 2 2 2 2 2 2 2 2" xfId="93"/>
    <cellStyle name="Note 10 2 10 2 2 4 2 2 2 2 2 2 2 2 2 2 2 2 2 2 2 3 2" xfId="95"/>
    <cellStyle name="Note 10 2 11 3 3" xfId="90"/>
    <cellStyle name="Note 10 2 2" xfId="82"/>
    <cellStyle name="Note 17 2" xfId="72"/>
    <cellStyle name="Note 2" xfId="64"/>
    <cellStyle name="Note 2 134" xfId="94"/>
    <cellStyle name="Note 2 2" xfId="81"/>
    <cellStyle name="Note 2 24" xfId="70"/>
    <cellStyle name="Note 2 3" xfId="88"/>
    <cellStyle name="Note 2 6 2 2" xfId="74"/>
    <cellStyle name="Note 24" xfId="68"/>
    <cellStyle name="Note 25" xfId="67"/>
    <cellStyle name="Note 28 2" xfId="66"/>
    <cellStyle name="Note 3" xfId="80"/>
    <cellStyle name="Note 33" xfId="73"/>
    <cellStyle name="Note 4" xfId="87"/>
    <cellStyle name="Output" xfId="39" builtinId="21" customBuiltin="1"/>
    <cellStyle name="Output 2" xfId="77"/>
    <cellStyle name="Output 2 2" xfId="85"/>
    <cellStyle name="Output 2 2 2" xfId="89"/>
    <cellStyle name="Output 3" xfId="83"/>
    <cellStyle name="Percent" xfId="62" builtinId="5"/>
    <cellStyle name="Percent 2" xfId="76"/>
    <cellStyle name="Percent 3" xfId="79"/>
    <cellStyle name="Title" xfId="40" builtinId="15" customBuiltin="1"/>
    <cellStyle name="Total" xfId="41" builtinId="25" customBuiltin="1"/>
    <cellStyle name="Total 2" xfId="86"/>
    <cellStyle name="Warning Text" xfId="42" builtinId="11" customBuiltin="1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  <color rgb="FFFFFFD1"/>
      <color rgb="FFFFFF99"/>
      <color rgb="FFFFFFB9"/>
      <color rgb="FFE1EBF7"/>
      <color rgb="FFD7E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T82"/>
  <sheetViews>
    <sheetView zoomScale="70" zoomScaleNormal="70" workbookViewId="0">
      <selection activeCell="A9" sqref="A9"/>
    </sheetView>
  </sheetViews>
  <sheetFormatPr defaultColWidth="8.88671875" defaultRowHeight="15.75" x14ac:dyDescent="0.2"/>
  <cols>
    <col min="1" max="1" width="7.33203125" style="1" customWidth="1"/>
    <col min="2" max="2" width="13.77734375" style="6" customWidth="1"/>
    <col min="3" max="3" width="35.21875" style="6" customWidth="1"/>
    <col min="4" max="4" width="16.33203125" style="2" customWidth="1"/>
    <col min="5" max="5" width="13.6640625" style="7" customWidth="1"/>
    <col min="6" max="6" width="15.33203125" style="7" customWidth="1"/>
    <col min="7" max="7" width="18.109375" style="7" customWidth="1"/>
    <col min="8" max="8" width="7.44140625" style="6" customWidth="1"/>
    <col min="9" max="9" width="3.109375" style="6" customWidth="1"/>
    <col min="10" max="10" width="19.33203125" style="8" customWidth="1"/>
    <col min="11" max="11" width="19.44140625" style="8" customWidth="1"/>
    <col min="12" max="12" width="15.6640625" style="8" customWidth="1"/>
    <col min="13" max="13" width="17.109375" style="8" customWidth="1"/>
    <col min="14" max="14" width="14.6640625" style="8" customWidth="1"/>
    <col min="15" max="16" width="13" style="8" customWidth="1"/>
    <col min="17" max="17" width="5.109375" style="8" customWidth="1"/>
    <col min="18" max="18" width="16.6640625" style="8" customWidth="1"/>
    <col min="19" max="19" width="12" style="26" customWidth="1"/>
    <col min="20" max="20" width="8.88671875" style="1"/>
    <col min="21" max="21" width="10.33203125" style="1" bestFit="1" customWidth="1"/>
    <col min="22" max="16384" width="8.88671875" style="1"/>
  </cols>
  <sheetData>
    <row r="1" spans="1:20" ht="9.75" customHeight="1" thickBot="1" x14ac:dyDescent="0.25">
      <c r="A1" s="157"/>
      <c r="B1" s="158"/>
      <c r="C1" s="158"/>
      <c r="D1" s="159"/>
      <c r="E1" s="160"/>
      <c r="F1" s="160"/>
      <c r="G1" s="160"/>
      <c r="H1" s="158"/>
      <c r="I1" s="158"/>
      <c r="J1" s="161"/>
      <c r="K1" s="161"/>
      <c r="L1" s="161"/>
      <c r="M1" s="161"/>
      <c r="N1" s="161"/>
      <c r="O1" s="161"/>
      <c r="P1" s="161"/>
      <c r="Q1" s="162"/>
      <c r="R1" s="1"/>
      <c r="S1" s="1"/>
    </row>
    <row r="2" spans="1:20" s="3" customFormat="1" ht="48.75" customHeight="1" thickTop="1" thickBot="1" x14ac:dyDescent="0.2">
      <c r="A2" s="441" t="s">
        <v>172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3"/>
      <c r="R2" s="1"/>
      <c r="S2" s="1"/>
      <c r="T2" s="1"/>
    </row>
    <row r="3" spans="1:20" ht="16.5" thickTop="1" x14ac:dyDescent="0.2">
      <c r="A3" s="113"/>
      <c r="B3" s="15"/>
      <c r="C3" s="15"/>
      <c r="D3" s="16"/>
      <c r="E3" s="14"/>
      <c r="F3" s="14"/>
      <c r="G3" s="14"/>
      <c r="H3" s="15"/>
      <c r="I3" s="15"/>
      <c r="J3" s="114"/>
      <c r="K3" s="114"/>
      <c r="L3" s="114"/>
      <c r="M3" s="114"/>
      <c r="N3" s="114"/>
      <c r="O3" s="114"/>
      <c r="P3" s="114"/>
      <c r="Q3" s="115"/>
      <c r="R3" s="1"/>
      <c r="S3" s="1"/>
    </row>
    <row r="4" spans="1:20" ht="20.25" x14ac:dyDescent="0.3">
      <c r="A4" s="113"/>
      <c r="B4" s="15"/>
      <c r="C4" s="13" t="s">
        <v>7</v>
      </c>
      <c r="D4" s="116">
        <f>'BASE BID'!K4</f>
        <v>44218</v>
      </c>
      <c r="E4" s="14"/>
      <c r="F4" s="14"/>
      <c r="G4" s="14"/>
      <c r="H4" s="15"/>
      <c r="I4" s="15"/>
      <c r="J4" s="13" t="s">
        <v>177</v>
      </c>
      <c r="K4" s="117">
        <f>'BASE BID'!K7</f>
        <v>0</v>
      </c>
      <c r="L4" s="105"/>
      <c r="M4" s="105"/>
      <c r="N4" s="105"/>
      <c r="O4" s="105"/>
      <c r="P4" s="105"/>
      <c r="Q4" s="106"/>
      <c r="R4" s="1"/>
      <c r="S4" s="1"/>
    </row>
    <row r="5" spans="1:20" ht="20.25" x14ac:dyDescent="0.3">
      <c r="A5" s="113"/>
      <c r="B5" s="15"/>
      <c r="C5" s="13" t="s">
        <v>8</v>
      </c>
      <c r="D5" s="117">
        <f>'BASE BID'!K5</f>
        <v>0</v>
      </c>
      <c r="E5" s="14"/>
      <c r="F5" s="14"/>
      <c r="G5" s="14"/>
      <c r="H5" s="15"/>
      <c r="I5" s="15"/>
      <c r="J5" s="13" t="s">
        <v>171</v>
      </c>
      <c r="K5" s="117" t="s">
        <v>213</v>
      </c>
      <c r="L5" s="105"/>
      <c r="M5" s="105"/>
      <c r="N5" s="105"/>
      <c r="O5" s="105"/>
      <c r="P5" s="105"/>
      <c r="Q5" s="106"/>
      <c r="R5" s="1"/>
      <c r="S5" s="1"/>
    </row>
    <row r="6" spans="1:20" ht="20.25" customHeight="1" x14ac:dyDescent="0.3">
      <c r="A6" s="113"/>
      <c r="B6" s="15"/>
      <c r="C6" s="118" t="s">
        <v>9</v>
      </c>
      <c r="D6" s="117">
        <f>'BASE BID'!K6</f>
        <v>0</v>
      </c>
      <c r="E6" s="14"/>
      <c r="F6" s="14"/>
      <c r="G6" s="14"/>
      <c r="H6" s="15"/>
      <c r="I6" s="15"/>
      <c r="J6" s="172" t="s">
        <v>176</v>
      </c>
      <c r="K6" s="151">
        <f>D10</f>
        <v>122468.31026962594</v>
      </c>
      <c r="L6" s="105"/>
      <c r="M6" s="105"/>
      <c r="N6" s="105"/>
      <c r="O6" s="105"/>
      <c r="P6" s="105"/>
      <c r="Q6" s="106"/>
      <c r="R6" s="1"/>
      <c r="S6" s="1"/>
    </row>
    <row r="7" spans="1:20" ht="20.25" x14ac:dyDescent="0.3">
      <c r="A7" s="113"/>
      <c r="B7" s="15"/>
      <c r="C7" s="13"/>
      <c r="D7" s="16"/>
      <c r="E7" s="14"/>
      <c r="F7" s="13"/>
      <c r="G7" s="117"/>
      <c r="H7" s="15"/>
      <c r="I7" s="15"/>
      <c r="J7" s="105"/>
      <c r="K7" s="105"/>
      <c r="L7" s="105"/>
      <c r="M7" s="105"/>
      <c r="N7" s="105"/>
      <c r="O7" s="105"/>
      <c r="P7" s="105"/>
      <c r="Q7" s="115"/>
      <c r="R7" s="1"/>
      <c r="S7" s="1"/>
    </row>
    <row r="8" spans="1:20" ht="16.5" customHeight="1" thickBot="1" x14ac:dyDescent="0.25">
      <c r="A8" s="113"/>
      <c r="B8" s="15"/>
      <c r="C8" s="15"/>
      <c r="D8" s="16"/>
      <c r="E8" s="14"/>
      <c r="F8" s="14"/>
      <c r="G8" s="14"/>
      <c r="H8" s="15"/>
      <c r="I8" s="15"/>
      <c r="J8" s="114"/>
      <c r="K8" s="114"/>
      <c r="L8" s="114"/>
      <c r="M8" s="114"/>
      <c r="N8" s="114"/>
      <c r="O8" s="114"/>
      <c r="P8" s="114"/>
      <c r="Q8" s="115"/>
      <c r="R8" s="1"/>
      <c r="S8" s="1"/>
    </row>
    <row r="9" spans="1:20" ht="42.75" customHeight="1" thickBot="1" x14ac:dyDescent="0.25">
      <c r="A9" s="113"/>
      <c r="B9" s="385" t="s">
        <v>224</v>
      </c>
      <c r="C9" s="386"/>
      <c r="D9" s="243" t="s">
        <v>170</v>
      </c>
      <c r="E9" s="51"/>
      <c r="F9" s="14"/>
      <c r="G9" s="14"/>
      <c r="H9" s="105"/>
      <c r="I9" s="105"/>
      <c r="J9" s="114"/>
      <c r="K9" s="114"/>
      <c r="L9" s="119"/>
      <c r="M9" s="119"/>
      <c r="N9" s="119"/>
      <c r="O9" s="119"/>
      <c r="P9" s="119"/>
      <c r="Q9" s="107"/>
      <c r="R9" s="1"/>
      <c r="S9" s="1"/>
    </row>
    <row r="10" spans="1:20" s="27" customFormat="1" ht="24" customHeight="1" thickTop="1" thickBot="1" x14ac:dyDescent="0.25">
      <c r="A10" s="242"/>
      <c r="B10" s="387" t="s">
        <v>276</v>
      </c>
      <c r="C10" s="388"/>
      <c r="D10" s="303">
        <f>'BASE BID'!E9</f>
        <v>122468.31026962594</v>
      </c>
      <c r="E10" s="51"/>
      <c r="F10" s="14"/>
      <c r="G10" s="14"/>
      <c r="H10" s="105"/>
      <c r="I10" s="105"/>
      <c r="J10" s="114"/>
      <c r="K10" s="114"/>
      <c r="L10" s="253"/>
      <c r="M10" s="253"/>
      <c r="N10" s="253"/>
      <c r="O10" s="253"/>
      <c r="P10" s="123"/>
      <c r="Q10" s="124"/>
      <c r="R10" s="1"/>
      <c r="S10" s="1"/>
      <c r="T10" s="1"/>
    </row>
    <row r="11" spans="1:20" s="27" customFormat="1" ht="24.75" customHeight="1" thickBot="1" x14ac:dyDescent="0.25">
      <c r="A11" s="120"/>
      <c r="B11" s="395" t="s">
        <v>249</v>
      </c>
      <c r="C11" s="395"/>
      <c r="D11" s="239"/>
      <c r="E11" s="240"/>
      <c r="F11" s="14"/>
      <c r="G11" s="125"/>
      <c r="H11" s="121"/>
      <c r="I11" s="121"/>
      <c r="J11" s="122"/>
      <c r="K11" s="121"/>
      <c r="L11" s="123"/>
      <c r="M11" s="123"/>
      <c r="N11" s="123"/>
      <c r="O11" s="123"/>
      <c r="P11" s="123"/>
      <c r="Q11" s="124"/>
      <c r="R11" s="1"/>
      <c r="S11" s="1"/>
      <c r="T11" s="1"/>
    </row>
    <row r="12" spans="1:20" s="27" customFormat="1" ht="24.75" customHeight="1" thickBot="1" x14ac:dyDescent="0.25">
      <c r="A12" s="120"/>
      <c r="B12" s="396" t="s">
        <v>260</v>
      </c>
      <c r="C12" s="397"/>
      <c r="D12" s="398"/>
      <c r="E12" s="15"/>
      <c r="F12" s="240"/>
      <c r="G12" s="125"/>
      <c r="H12" s="121"/>
      <c r="I12" s="121"/>
      <c r="J12" s="122"/>
      <c r="K12" s="121"/>
      <c r="L12" s="123"/>
      <c r="M12" s="123"/>
      <c r="N12" s="123"/>
      <c r="O12" s="123"/>
      <c r="P12" s="123"/>
      <c r="Q12" s="124"/>
      <c r="R12" s="1"/>
      <c r="S12" s="1"/>
      <c r="T12" s="1"/>
    </row>
    <row r="13" spans="1:20" ht="15.75" customHeight="1" x14ac:dyDescent="0.2">
      <c r="A13" s="113"/>
      <c r="B13" s="15"/>
      <c r="C13" s="1"/>
      <c r="D13" s="16"/>
      <c r="E13" s="15"/>
      <c r="F13" s="14"/>
      <c r="G13" s="14"/>
      <c r="H13" s="15"/>
      <c r="I13" s="15"/>
      <c r="J13" s="377" t="s">
        <v>192</v>
      </c>
      <c r="K13" s="377"/>
      <c r="L13" s="377"/>
      <c r="M13" s="105"/>
      <c r="N13" s="105"/>
      <c r="O13" s="105"/>
      <c r="P13" s="105"/>
      <c r="Q13" s="106"/>
      <c r="R13" s="1"/>
      <c r="S13" s="1"/>
    </row>
    <row r="14" spans="1:20" ht="16.5" customHeight="1" thickBot="1" x14ac:dyDescent="0.25">
      <c r="A14" s="113"/>
      <c r="B14" s="15"/>
      <c r="C14" s="15"/>
      <c r="D14" s="16"/>
      <c r="E14" s="15"/>
      <c r="F14" s="14"/>
      <c r="G14" s="14"/>
      <c r="H14" s="15"/>
      <c r="I14" s="15"/>
      <c r="J14" s="378"/>
      <c r="K14" s="378"/>
      <c r="L14" s="378"/>
      <c r="M14" s="105"/>
      <c r="N14" s="105"/>
      <c r="O14" s="105"/>
      <c r="P14" s="105"/>
      <c r="Q14" s="106"/>
      <c r="R14" s="1"/>
      <c r="S14" s="1"/>
    </row>
    <row r="15" spans="1:20" ht="24" customHeight="1" x14ac:dyDescent="0.2">
      <c r="A15" s="113"/>
      <c r="B15" s="389" t="s">
        <v>228</v>
      </c>
      <c r="C15" s="390"/>
      <c r="D15" s="390"/>
      <c r="E15" s="390"/>
      <c r="F15" s="390"/>
      <c r="G15" s="391"/>
      <c r="H15" s="15"/>
      <c r="I15" s="15"/>
      <c r="J15" s="371" t="s">
        <v>189</v>
      </c>
      <c r="K15" s="372"/>
      <c r="L15" s="373"/>
      <c r="M15" s="105"/>
      <c r="N15" s="105"/>
      <c r="O15" s="105"/>
      <c r="P15" s="105"/>
      <c r="Q15" s="106"/>
      <c r="R15" s="1"/>
      <c r="S15" s="1"/>
    </row>
    <row r="16" spans="1:20" ht="25.5" customHeight="1" thickBot="1" x14ac:dyDescent="0.25">
      <c r="A16" s="113"/>
      <c r="B16" s="392"/>
      <c r="C16" s="393"/>
      <c r="D16" s="393"/>
      <c r="E16" s="393"/>
      <c r="F16" s="393"/>
      <c r="G16" s="394"/>
      <c r="H16" s="15"/>
      <c r="I16" s="15"/>
      <c r="J16" s="374"/>
      <c r="K16" s="375"/>
      <c r="L16" s="376"/>
      <c r="M16" s="105"/>
      <c r="N16" s="105"/>
      <c r="O16" s="105"/>
      <c r="P16" s="105"/>
      <c r="Q16" s="106"/>
      <c r="R16" s="1"/>
      <c r="S16" s="1"/>
    </row>
    <row r="17" spans="1:19" ht="36.75" customHeight="1" thickBot="1" x14ac:dyDescent="0.25">
      <c r="A17" s="113"/>
      <c r="B17" s="152" t="s">
        <v>190</v>
      </c>
      <c r="C17" s="153" t="s">
        <v>187</v>
      </c>
      <c r="D17" s="154" t="s">
        <v>178</v>
      </c>
      <c r="E17" s="155" t="s">
        <v>179</v>
      </c>
      <c r="F17" s="154" t="s">
        <v>180</v>
      </c>
      <c r="G17" s="156" t="s">
        <v>191</v>
      </c>
      <c r="H17" s="15"/>
      <c r="I17" s="15"/>
      <c r="J17" s="269" t="s">
        <v>268</v>
      </c>
      <c r="K17" s="270" t="s">
        <v>269</v>
      </c>
      <c r="L17" s="270" t="s">
        <v>270</v>
      </c>
      <c r="M17" s="281" t="s">
        <v>271</v>
      </c>
      <c r="N17" s="369" t="s">
        <v>272</v>
      </c>
      <c r="O17" s="370"/>
      <c r="P17" s="370"/>
      <c r="Q17" s="106"/>
      <c r="R17" s="1"/>
      <c r="S17" s="1"/>
    </row>
    <row r="18" spans="1:19" x14ac:dyDescent="0.2">
      <c r="A18" s="113"/>
      <c r="B18" s="56" t="s">
        <v>20</v>
      </c>
      <c r="C18" s="55" t="s">
        <v>181</v>
      </c>
      <c r="D18" s="53">
        <f>SUMIF('BASE BID'!D:D,B18,'BASE BID'!N:N)</f>
        <v>15429.762842316035</v>
      </c>
      <c r="E18" s="53">
        <f>SUMIF('BASE BID'!D:D,B18,'BASE BID'!P:P)</f>
        <v>0</v>
      </c>
      <c r="F18" s="77">
        <f>SUMIF('BASE BID'!D:D,B18,'BASE BID'!Q:Q)</f>
        <v>15429.762842316035</v>
      </c>
      <c r="G18" s="135">
        <f>F18/F32</f>
        <v>0.15321255564874339</v>
      </c>
      <c r="H18" s="15"/>
      <c r="I18" s="15"/>
      <c r="J18" s="271">
        <f t="shared" ref="J18:J31" si="0">((D18*(1+$H$35))+(E18*(1+$H$33+$H$34)))*(1+$H$36)</f>
        <v>18793.451141940928</v>
      </c>
      <c r="K18" s="276"/>
      <c r="L18" s="272">
        <f>J18-K18</f>
        <v>18793.451141940928</v>
      </c>
      <c r="M18" s="277"/>
      <c r="N18" s="241"/>
      <c r="O18" s="241"/>
      <c r="P18" s="241"/>
      <c r="Q18" s="106"/>
      <c r="R18" s="1"/>
      <c r="S18" s="1"/>
    </row>
    <row r="19" spans="1:19" x14ac:dyDescent="0.2">
      <c r="A19" s="113"/>
      <c r="B19" s="54" t="s">
        <v>38</v>
      </c>
      <c r="C19" s="52" t="s">
        <v>182</v>
      </c>
      <c r="D19" s="53">
        <f>SUMIF('BASE BID'!D:D,B19,'BASE BID'!N:N)</f>
        <v>5485.9124292901561</v>
      </c>
      <c r="E19" s="53">
        <f>SUMIF('BASE BID'!D:D,B19,'BASE BID'!P:P)</f>
        <v>0</v>
      </c>
      <c r="F19" s="77">
        <f>SUMIF('BASE BID'!D:D,B19,'BASE BID'!Q:Q)</f>
        <v>5485.9124292901561</v>
      </c>
      <c r="G19" s="136">
        <f t="shared" ref="G19:G31" si="1">F19/F$32</f>
        <v>5.4473336495597678E-2</v>
      </c>
      <c r="H19" s="15"/>
      <c r="I19" s="15"/>
      <c r="J19" s="278">
        <f t="shared" si="0"/>
        <v>6681.8413388754097</v>
      </c>
      <c r="K19" s="279"/>
      <c r="L19" s="280">
        <f t="shared" ref="L19:L31" si="2">J19-K19</f>
        <v>6681.8413388754097</v>
      </c>
      <c r="M19" s="277"/>
      <c r="N19" s="241"/>
      <c r="O19" s="241"/>
      <c r="P19" s="241"/>
      <c r="Q19" s="106"/>
      <c r="R19" s="1"/>
      <c r="S19" s="1"/>
    </row>
    <row r="20" spans="1:19" x14ac:dyDescent="0.2">
      <c r="A20" s="113"/>
      <c r="B20" s="54" t="s">
        <v>39</v>
      </c>
      <c r="C20" s="52" t="s">
        <v>40</v>
      </c>
      <c r="D20" s="53">
        <f>SUMIF('BASE BID'!D:D,B20,'BASE BID'!N:N)</f>
        <v>237.08665250812501</v>
      </c>
      <c r="E20" s="53">
        <f>SUMIF('BASE BID'!D:D,B20,'BASE BID'!P:P)</f>
        <v>60.430288841693745</v>
      </c>
      <c r="F20" s="77">
        <f>SUMIF('BASE BID'!D:D,B20,'BASE BID'!Q:Q)</f>
        <v>297.51694134981875</v>
      </c>
      <c r="G20" s="136">
        <f t="shared" si="1"/>
        <v>2.9542470223839741E-3</v>
      </c>
      <c r="H20" s="15"/>
      <c r="I20" s="15"/>
      <c r="J20" s="278">
        <f t="shared" si="0"/>
        <v>362.06895084820763</v>
      </c>
      <c r="K20" s="279"/>
      <c r="L20" s="280">
        <f t="shared" si="2"/>
        <v>362.06895084820763</v>
      </c>
      <c r="M20" s="277"/>
      <c r="N20" s="241"/>
      <c r="O20" s="241"/>
      <c r="P20" s="241"/>
      <c r="Q20" s="106"/>
      <c r="R20" s="1"/>
      <c r="S20" s="1"/>
    </row>
    <row r="21" spans="1:19" x14ac:dyDescent="0.2">
      <c r="A21" s="113"/>
      <c r="B21" s="54" t="s">
        <v>32</v>
      </c>
      <c r="C21" s="52" t="s">
        <v>183</v>
      </c>
      <c r="D21" s="53">
        <f>SUMIF('BASE BID'!D:D,B21,'BASE BID'!N:N)</f>
        <v>32.913251061770168</v>
      </c>
      <c r="E21" s="53">
        <f>SUMIF('BASE BID'!D:D,B21,'BASE BID'!P:P)</f>
        <v>30.424054500000004</v>
      </c>
      <c r="F21" s="77">
        <f>SUMIF('BASE BID'!D:D,B21,'BASE BID'!Q:Q)</f>
        <v>63.337305561770172</v>
      </c>
      <c r="G21" s="136">
        <f t="shared" si="1"/>
        <v>6.2891896344711279E-4</v>
      </c>
      <c r="H21" s="15"/>
      <c r="I21" s="15"/>
      <c r="J21" s="278">
        <f t="shared" si="0"/>
        <v>76.990436097648569</v>
      </c>
      <c r="K21" s="279"/>
      <c r="L21" s="280">
        <f t="shared" si="2"/>
        <v>76.990436097648569</v>
      </c>
      <c r="M21" s="277"/>
      <c r="N21" s="241"/>
      <c r="O21" s="241"/>
      <c r="P21" s="241"/>
      <c r="Q21" s="106"/>
      <c r="R21" s="1"/>
      <c r="S21" s="1"/>
    </row>
    <row r="22" spans="1:19" x14ac:dyDescent="0.2">
      <c r="A22" s="113"/>
      <c r="B22" s="54" t="s">
        <v>26</v>
      </c>
      <c r="C22" s="52" t="s">
        <v>28</v>
      </c>
      <c r="D22" s="53">
        <f>SUMIF('BASE BID'!D:D,B22,'BASE BID'!N:N)</f>
        <v>1128.2883237603803</v>
      </c>
      <c r="E22" s="53">
        <f>SUMIF('BASE BID'!D:D,B22,'BASE BID'!P:P)</f>
        <v>4260.7100000000009</v>
      </c>
      <c r="F22" s="77">
        <f>SUMIF('BASE BID'!D:D,B22,'BASE BID'!Q:Q)</f>
        <v>5388.998323760381</v>
      </c>
      <c r="G22" s="136">
        <f t="shared" si="1"/>
        <v>5.3511010765878296E-2</v>
      </c>
      <c r="H22" s="15"/>
      <c r="I22" s="15"/>
      <c r="J22" s="278">
        <f t="shared" si="0"/>
        <v>6542.1768550901434</v>
      </c>
      <c r="K22" s="279"/>
      <c r="L22" s="280">
        <f t="shared" si="2"/>
        <v>6542.1768550901434</v>
      </c>
      <c r="M22" s="277"/>
      <c r="N22" s="241"/>
      <c r="O22" s="241"/>
      <c r="P22" s="241"/>
      <c r="Q22" s="106"/>
      <c r="R22" s="1"/>
      <c r="S22" s="1"/>
    </row>
    <row r="23" spans="1:19" x14ac:dyDescent="0.2">
      <c r="A23" s="113"/>
      <c r="B23" s="54" t="s">
        <v>21</v>
      </c>
      <c r="C23" s="52" t="s">
        <v>29</v>
      </c>
      <c r="D23" s="53">
        <f>SUMIF('BASE BID'!D:D,B23,'BASE BID'!N:N)</f>
        <v>12181.778751279939</v>
      </c>
      <c r="E23" s="53">
        <f>SUMIF('BASE BID'!D:D,B23,'BASE BID'!P:P)</f>
        <v>13423.517408723057</v>
      </c>
      <c r="F23" s="77">
        <f>SUMIF('BASE BID'!D:D,B23,'BASE BID'!Q:Q)</f>
        <v>25605.296160002999</v>
      </c>
      <c r="G23" s="136">
        <f t="shared" si="1"/>
        <v>0.25425231112807939</v>
      </c>
      <c r="H23" s="15"/>
      <c r="I23" s="15"/>
      <c r="J23" s="278">
        <f t="shared" si="0"/>
        <v>31119.126372034378</v>
      </c>
      <c r="K23" s="279"/>
      <c r="L23" s="280">
        <f t="shared" si="2"/>
        <v>31119.126372034378</v>
      </c>
      <c r="M23" s="277"/>
      <c r="N23" s="241"/>
      <c r="O23" s="241"/>
      <c r="P23" s="241"/>
      <c r="Q23" s="106"/>
      <c r="R23" s="1"/>
      <c r="S23" s="1"/>
    </row>
    <row r="24" spans="1:19" x14ac:dyDescent="0.2">
      <c r="A24" s="113"/>
      <c r="B24" s="54" t="s">
        <v>45</v>
      </c>
      <c r="C24" s="52" t="s">
        <v>168</v>
      </c>
      <c r="D24" s="53">
        <f>SUMIF('BASE BID'!D:D,B24,'BASE BID'!N:N)</f>
        <v>2848.2604237866726</v>
      </c>
      <c r="E24" s="53">
        <f>SUMIF('BASE BID'!D:D,B24,'BASE BID'!P:P)</f>
        <v>6109.7013375000006</v>
      </c>
      <c r="F24" s="77">
        <f>SUMIF('BASE BID'!D:D,B24,'BASE BID'!Q:Q)</f>
        <v>8957.9617612866732</v>
      </c>
      <c r="G24" s="136">
        <f t="shared" si="1"/>
        <v>8.8949663638798956E-2</v>
      </c>
      <c r="H24" s="15"/>
      <c r="I24" s="15"/>
      <c r="J24" s="278">
        <f t="shared" si="0"/>
        <v>10879.790690959355</v>
      </c>
      <c r="K24" s="279"/>
      <c r="L24" s="280">
        <f t="shared" si="2"/>
        <v>10879.790690959355</v>
      </c>
      <c r="M24" s="277"/>
      <c r="N24" s="241"/>
      <c r="O24" s="241"/>
      <c r="P24" s="241"/>
      <c r="Q24" s="106"/>
      <c r="R24" s="1"/>
      <c r="S24" s="1"/>
    </row>
    <row r="25" spans="1:19" x14ac:dyDescent="0.2">
      <c r="A25" s="113"/>
      <c r="B25" s="54" t="s">
        <v>34</v>
      </c>
      <c r="C25" s="52" t="s">
        <v>184</v>
      </c>
      <c r="D25" s="53">
        <f>SUMIF('BASE BID'!D:D,B25,'BASE BID'!N:N)</f>
        <v>865.51548698874296</v>
      </c>
      <c r="E25" s="53">
        <f>SUMIF('BASE BID'!D:D,B25,'BASE BID'!P:P)</f>
        <v>2783.36688</v>
      </c>
      <c r="F25" s="77">
        <f>SUMIF('BASE BID'!D:D,B25,'BASE BID'!Q:Q)</f>
        <v>3648.8823669887433</v>
      </c>
      <c r="G25" s="136">
        <f t="shared" si="1"/>
        <v>3.6232221999859739E-2</v>
      </c>
      <c r="H25" s="15"/>
      <c r="I25" s="15"/>
      <c r="J25" s="278">
        <f t="shared" si="0"/>
        <v>4430.2131360762887</v>
      </c>
      <c r="K25" s="279"/>
      <c r="L25" s="280">
        <f t="shared" si="2"/>
        <v>4430.2131360762887</v>
      </c>
      <c r="M25" s="277"/>
      <c r="N25" s="241"/>
      <c r="O25" s="241"/>
      <c r="P25" s="241"/>
      <c r="Q25" s="106"/>
      <c r="R25" s="1"/>
      <c r="S25" s="1"/>
    </row>
    <row r="26" spans="1:19" x14ac:dyDescent="0.2">
      <c r="A26" s="113"/>
      <c r="B26" s="54" t="s">
        <v>118</v>
      </c>
      <c r="C26" s="52" t="s">
        <v>119</v>
      </c>
      <c r="D26" s="53">
        <f>SUMIF('BASE BID'!D:D,B26,'BASE BID'!N:N)</f>
        <v>3339.8862686935845</v>
      </c>
      <c r="E26" s="53">
        <f>SUMIF('BASE BID'!D:D,B26,'BASE BID'!P:P)</f>
        <v>2450.5</v>
      </c>
      <c r="F26" s="77">
        <f>SUMIF('BASE BID'!D:D,B26,'BASE BID'!Q:Q)</f>
        <v>5790.3862686935845</v>
      </c>
      <c r="G26" s="136">
        <f t="shared" si="1"/>
        <v>5.7496663266068136E-2</v>
      </c>
      <c r="H26" s="15"/>
      <c r="I26" s="15"/>
      <c r="J26" s="278">
        <f t="shared" si="0"/>
        <v>7040.2541877687854</v>
      </c>
      <c r="K26" s="279"/>
      <c r="L26" s="280">
        <f t="shared" si="2"/>
        <v>7040.2541877687854</v>
      </c>
      <c r="M26" s="277"/>
      <c r="N26" s="241"/>
      <c r="O26" s="241"/>
      <c r="P26" s="241"/>
      <c r="Q26" s="106"/>
      <c r="R26" s="1"/>
      <c r="S26" s="1"/>
    </row>
    <row r="27" spans="1:19" x14ac:dyDescent="0.2">
      <c r="A27" s="113"/>
      <c r="B27" s="54" t="s">
        <v>36</v>
      </c>
      <c r="C27" s="52" t="s">
        <v>160</v>
      </c>
      <c r="D27" s="53">
        <f>SUMIF('BASE BID'!D:D,B27,'BASE BID'!N:N)</f>
        <v>7512.5095799244518</v>
      </c>
      <c r="E27" s="53">
        <f>SUMIF('BASE BID'!D:D,B27,'BASE BID'!P:P)</f>
        <v>2550.9817863636367</v>
      </c>
      <c r="F27" s="77">
        <f>SUMIF('BASE BID'!D:D,B27,'BASE BID'!Q:Q)</f>
        <v>10063.491366288088</v>
      </c>
      <c r="G27" s="136">
        <f t="shared" si="1"/>
        <v>9.9927215131883865E-2</v>
      </c>
      <c r="H27" s="15"/>
      <c r="I27" s="15"/>
      <c r="J27" s="278">
        <f t="shared" si="0"/>
        <v>12244.386251573094</v>
      </c>
      <c r="K27" s="279"/>
      <c r="L27" s="280">
        <f t="shared" si="2"/>
        <v>12244.386251573094</v>
      </c>
      <c r="M27" s="277"/>
      <c r="N27" s="241"/>
      <c r="O27" s="241"/>
      <c r="P27" s="241"/>
      <c r="Q27" s="106"/>
      <c r="R27" s="1"/>
      <c r="S27" s="1"/>
    </row>
    <row r="28" spans="1:19" x14ac:dyDescent="0.2">
      <c r="A28" s="113"/>
      <c r="B28" s="54" t="s">
        <v>43</v>
      </c>
      <c r="C28" s="52" t="s">
        <v>185</v>
      </c>
      <c r="D28" s="53">
        <f>SUMIF('BASE BID'!D:D,B28,'BASE BID'!N:N)</f>
        <v>3480.1988926427157</v>
      </c>
      <c r="E28" s="53">
        <f>SUMIF('BASE BID'!D:D,B28,'BASE BID'!P:P)</f>
        <v>1815.1764785393259</v>
      </c>
      <c r="F28" s="77">
        <f>SUMIF('BASE BID'!D:D,B28,'BASE BID'!Q:Q)</f>
        <v>5295.3753711820418</v>
      </c>
      <c r="G28" s="136">
        <f t="shared" si="1"/>
        <v>5.2581365120737883E-2</v>
      </c>
      <c r="H28" s="15"/>
      <c r="I28" s="15"/>
      <c r="J28" s="278">
        <f t="shared" si="0"/>
        <v>6440.5551814711389</v>
      </c>
      <c r="K28" s="279"/>
      <c r="L28" s="280">
        <f t="shared" si="2"/>
        <v>6440.5551814711389</v>
      </c>
      <c r="M28" s="277"/>
      <c r="N28" s="241"/>
      <c r="O28" s="241"/>
      <c r="P28" s="241"/>
      <c r="Q28" s="106"/>
      <c r="R28" s="1"/>
      <c r="S28" s="1"/>
    </row>
    <row r="29" spans="1:19" x14ac:dyDescent="0.2">
      <c r="A29" s="113"/>
      <c r="B29" s="54" t="s">
        <v>44</v>
      </c>
      <c r="C29" s="52" t="s">
        <v>161</v>
      </c>
      <c r="D29" s="53">
        <f>SUMIF('BASE BID'!D:D,B29,'BASE BID'!N:N)</f>
        <v>9881.4928669052424</v>
      </c>
      <c r="E29" s="53">
        <f>SUMIF('BASE BID'!D:D,B29,'BASE BID'!P:P)</f>
        <v>4799.8</v>
      </c>
      <c r="F29" s="77">
        <f>SUMIF('BASE BID'!D:D,B29,'BASE BID'!Q:Q)</f>
        <v>14681.292866905242</v>
      </c>
      <c r="G29" s="136">
        <f t="shared" si="1"/>
        <v>0.14578049081852162</v>
      </c>
      <c r="H29" s="15"/>
      <c r="I29" s="15"/>
      <c r="J29" s="278">
        <f t="shared" si="0"/>
        <v>17857.455726890585</v>
      </c>
      <c r="K29" s="279"/>
      <c r="L29" s="280">
        <f t="shared" si="2"/>
        <v>17857.455726890585</v>
      </c>
      <c r="M29" s="277"/>
      <c r="N29" s="241"/>
      <c r="O29" s="241"/>
      <c r="P29" s="241"/>
      <c r="Q29" s="106"/>
      <c r="R29" s="1"/>
      <c r="S29" s="1"/>
    </row>
    <row r="30" spans="1:19" x14ac:dyDescent="0.2">
      <c r="A30" s="113"/>
      <c r="B30" s="54" t="s">
        <v>120</v>
      </c>
      <c r="C30" s="52" t="s">
        <v>162</v>
      </c>
      <c r="D30" s="53">
        <f>SUMIF('BASE BID'!D:D,B30,'BASE BID'!N:N)</f>
        <v>0</v>
      </c>
      <c r="E30" s="53">
        <f>SUMIF('BASE BID'!D:D,B30,'BASE BID'!P:P)</f>
        <v>0</v>
      </c>
      <c r="F30" s="77">
        <f>SUMIF('BASE BID'!D:D,B30,'BASE BID'!Q:Q)</f>
        <v>0</v>
      </c>
      <c r="G30" s="136">
        <f t="shared" si="1"/>
        <v>0</v>
      </c>
      <c r="H30" s="15"/>
      <c r="I30" s="15"/>
      <c r="J30" s="278">
        <f t="shared" si="0"/>
        <v>0</v>
      </c>
      <c r="K30" s="279"/>
      <c r="L30" s="280">
        <f t="shared" si="2"/>
        <v>0</v>
      </c>
      <c r="M30" s="365"/>
      <c r="N30" s="366"/>
      <c r="O30" s="366"/>
      <c r="P30" s="366"/>
      <c r="Q30" s="106"/>
      <c r="R30" s="1"/>
      <c r="S30" s="1"/>
    </row>
    <row r="31" spans="1:19" ht="16.5" thickBot="1" x14ac:dyDescent="0.25">
      <c r="A31" s="113"/>
      <c r="B31" s="54" t="s">
        <v>163</v>
      </c>
      <c r="C31" s="52" t="s">
        <v>186</v>
      </c>
      <c r="D31" s="53">
        <f>SUMIF('BASE BID'!D:D,B31,'BASE BID'!N:N)</f>
        <v>0</v>
      </c>
      <c r="E31" s="53">
        <f>SUMIF('BASE BID'!D:D,B31,'BASE BID'!P:P)</f>
        <v>0</v>
      </c>
      <c r="F31" s="77">
        <f>SUMIF('BASE BID'!D:D,B31,'BASE BID'!Q:Q)</f>
        <v>0</v>
      </c>
      <c r="G31" s="136">
        <f t="shared" si="1"/>
        <v>0</v>
      </c>
      <c r="H31" s="15"/>
      <c r="I31" s="15"/>
      <c r="J31" s="278">
        <f t="shared" si="0"/>
        <v>0</v>
      </c>
      <c r="K31" s="279"/>
      <c r="L31" s="280">
        <f t="shared" si="2"/>
        <v>0</v>
      </c>
      <c r="M31" s="367"/>
      <c r="N31" s="368"/>
      <c r="O31" s="368"/>
      <c r="P31" s="368"/>
      <c r="Q31" s="106"/>
      <c r="R31" s="1"/>
      <c r="S31" s="1"/>
    </row>
    <row r="32" spans="1:19" ht="16.5" thickBot="1" x14ac:dyDescent="0.25">
      <c r="A32" s="113"/>
      <c r="B32" s="168"/>
      <c r="C32" s="144" t="s">
        <v>4</v>
      </c>
      <c r="D32" s="62">
        <f>SUM(D18:D31)</f>
        <v>62423.605769157803</v>
      </c>
      <c r="E32" s="62">
        <f>SUM(E18:E31)</f>
        <v>38284.60823446772</v>
      </c>
      <c r="F32" s="62">
        <f>SUM(F18:F31)</f>
        <v>100708.21400362553</v>
      </c>
      <c r="G32" s="145"/>
      <c r="I32" s="15"/>
      <c r="J32" s="273">
        <f>SUM(J18:J31)</f>
        <v>122468.31026962597</v>
      </c>
      <c r="K32" s="274"/>
      <c r="L32" s="275">
        <f>J32-K32</f>
        <v>122468.31026962597</v>
      </c>
      <c r="M32" s="277">
        <f>SUM(M18:M31)</f>
        <v>0</v>
      </c>
      <c r="N32" s="241"/>
      <c r="O32" s="241"/>
      <c r="P32" s="241"/>
      <c r="Q32" s="106"/>
      <c r="R32" s="1"/>
      <c r="S32" s="1"/>
    </row>
    <row r="33" spans="1:19" x14ac:dyDescent="0.2">
      <c r="A33" s="113"/>
      <c r="B33" s="259"/>
      <c r="C33" s="260" t="s">
        <v>159</v>
      </c>
      <c r="D33" s="261">
        <v>0</v>
      </c>
      <c r="E33" s="262">
        <f>E32*H33</f>
        <v>3637.0377822744335</v>
      </c>
      <c r="F33" s="262">
        <f>D33+E33</f>
        <v>3637.0377822744335</v>
      </c>
      <c r="G33" s="126"/>
      <c r="H33" s="127">
        <f>'BASE BID'!D5</f>
        <v>9.5000000000000001E-2</v>
      </c>
      <c r="I33" s="15"/>
      <c r="J33" s="105"/>
      <c r="K33" s="105"/>
      <c r="L33" s="105"/>
      <c r="M33" s="105"/>
      <c r="N33" s="105"/>
      <c r="O33" s="105"/>
      <c r="P33" s="105"/>
      <c r="Q33" s="106"/>
      <c r="R33" s="1"/>
      <c r="S33" s="1"/>
    </row>
    <row r="34" spans="1:19" x14ac:dyDescent="0.2">
      <c r="A34" s="113"/>
      <c r="B34" s="169"/>
      <c r="C34" s="64" t="s">
        <v>265</v>
      </c>
      <c r="D34" s="65">
        <v>0</v>
      </c>
      <c r="E34" s="66">
        <f>E32*H34</f>
        <v>3828.4608234467723</v>
      </c>
      <c r="F34" s="66">
        <f>D34+E34</f>
        <v>3828.4608234467723</v>
      </c>
      <c r="G34" s="258"/>
      <c r="H34" s="127">
        <f>'BASE BID'!D6</f>
        <v>0.1</v>
      </c>
      <c r="I34" s="15"/>
      <c r="J34" s="105"/>
      <c r="K34" s="105"/>
      <c r="L34" s="105"/>
      <c r="M34" s="105"/>
      <c r="N34" s="105"/>
      <c r="O34" s="105"/>
      <c r="P34" s="105"/>
      <c r="Q34" s="106"/>
      <c r="R34" s="1"/>
      <c r="S34" s="1"/>
    </row>
    <row r="35" spans="1:19" ht="16.5" thickBot="1" x14ac:dyDescent="0.25">
      <c r="A35" s="113"/>
      <c r="B35" s="170"/>
      <c r="C35" s="68" t="s">
        <v>273</v>
      </c>
      <c r="D35" s="263">
        <f>D32*H35</f>
        <v>12484.721153831561</v>
      </c>
      <c r="E35" s="69">
        <v>0</v>
      </c>
      <c r="F35" s="69">
        <f>D35+E35</f>
        <v>12484.721153831561</v>
      </c>
      <c r="G35" s="57"/>
      <c r="H35" s="127">
        <f>'BASE BID'!D7</f>
        <v>0.2</v>
      </c>
      <c r="I35" s="15"/>
      <c r="J35" s="105"/>
      <c r="K35" s="105"/>
      <c r="L35" s="105"/>
      <c r="M35" s="105"/>
      <c r="N35" s="105"/>
      <c r="O35" s="105"/>
      <c r="P35" s="105"/>
      <c r="Q35" s="106"/>
      <c r="R35" s="1"/>
      <c r="S35" s="1"/>
    </row>
    <row r="36" spans="1:19" ht="17.25" thickTop="1" thickBot="1" x14ac:dyDescent="0.25">
      <c r="A36" s="113"/>
      <c r="B36" s="171"/>
      <c r="C36" s="71" t="s">
        <v>173</v>
      </c>
      <c r="D36" s="72"/>
      <c r="E36" s="73"/>
      <c r="F36" s="73">
        <f>SUM(F32:F35)*H36</f>
        <v>1809.8765064476745</v>
      </c>
      <c r="G36" s="58"/>
      <c r="H36" s="127">
        <f>'BASE BID'!D8</f>
        <v>1.4999999999999999E-2</v>
      </c>
      <c r="I36" s="15"/>
      <c r="J36" s="105"/>
      <c r="K36" s="105"/>
      <c r="L36" s="105"/>
      <c r="M36" s="105"/>
      <c r="N36" s="105"/>
      <c r="O36" s="105"/>
      <c r="P36" s="105"/>
      <c r="Q36" s="106"/>
      <c r="R36" s="1"/>
      <c r="S36" s="1"/>
    </row>
    <row r="37" spans="1:19" ht="16.5" thickBot="1" x14ac:dyDescent="0.25">
      <c r="A37" s="113"/>
      <c r="B37" s="171"/>
      <c r="C37" s="74" t="s">
        <v>87</v>
      </c>
      <c r="D37" s="75"/>
      <c r="E37" s="76"/>
      <c r="F37" s="76">
        <f>F32+F33+F34+F35+F36</f>
        <v>122468.31026962597</v>
      </c>
      <c r="G37" s="58"/>
      <c r="I37" s="15"/>
      <c r="J37" s="105"/>
      <c r="K37" s="105"/>
      <c r="L37" s="105"/>
      <c r="M37" s="105"/>
      <c r="N37" s="105"/>
      <c r="O37" s="105"/>
      <c r="P37" s="105"/>
      <c r="Q37" s="106"/>
      <c r="R37" s="1"/>
      <c r="S37" s="1"/>
    </row>
    <row r="38" spans="1:19" x14ac:dyDescent="0.2">
      <c r="A38" s="17"/>
      <c r="B38" s="15"/>
      <c r="C38" s="15"/>
      <c r="D38" s="16"/>
      <c r="E38" s="15"/>
      <c r="F38" s="14"/>
      <c r="G38" s="14"/>
      <c r="H38" s="15"/>
      <c r="I38" s="15"/>
      <c r="J38" s="105"/>
      <c r="K38" s="105"/>
      <c r="L38" s="105"/>
      <c r="M38" s="105"/>
      <c r="N38" s="105"/>
      <c r="O38" s="105"/>
      <c r="P38" s="105"/>
      <c r="Q38" s="106"/>
      <c r="R38" s="1"/>
      <c r="S38" s="1"/>
    </row>
    <row r="39" spans="1:19" x14ac:dyDescent="0.2">
      <c r="A39" s="113"/>
      <c r="B39" s="15"/>
      <c r="C39" s="15"/>
      <c r="D39" s="16"/>
      <c r="E39" s="15"/>
      <c r="F39" s="14"/>
      <c r="G39" s="14"/>
      <c r="H39" s="15"/>
      <c r="I39" s="15"/>
      <c r="J39" s="105"/>
      <c r="K39" s="105"/>
      <c r="L39" s="105"/>
      <c r="M39" s="105"/>
      <c r="N39" s="105"/>
      <c r="O39" s="105"/>
      <c r="P39" s="105"/>
      <c r="Q39" s="106"/>
      <c r="R39" s="1"/>
      <c r="S39" s="1"/>
    </row>
    <row r="40" spans="1:19" x14ac:dyDescent="0.2">
      <c r="A40" s="113"/>
      <c r="B40" s="15"/>
      <c r="C40" s="15"/>
      <c r="D40" s="16"/>
      <c r="E40" s="15"/>
      <c r="F40" s="14"/>
      <c r="G40" s="14"/>
      <c r="H40" s="15"/>
      <c r="I40" s="15"/>
      <c r="J40" s="105"/>
      <c r="K40" s="105"/>
      <c r="L40" s="105"/>
      <c r="M40" s="105"/>
      <c r="N40" s="105"/>
      <c r="O40" s="105"/>
      <c r="P40" s="105"/>
      <c r="Q40" s="106"/>
      <c r="R40" s="1"/>
      <c r="S40" s="1"/>
    </row>
    <row r="41" spans="1:19" ht="15.75" customHeight="1" x14ac:dyDescent="0.2">
      <c r="A41" s="113"/>
      <c r="B41" s="15"/>
      <c r="C41" s="15"/>
      <c r="D41" s="16"/>
      <c r="E41" s="15"/>
      <c r="F41" s="14"/>
      <c r="G41" s="14"/>
      <c r="H41" s="15"/>
      <c r="I41" s="15"/>
      <c r="J41" s="377" t="s">
        <v>192</v>
      </c>
      <c r="K41" s="377"/>
      <c r="L41" s="377"/>
      <c r="M41" s="105"/>
      <c r="N41" s="105"/>
      <c r="O41" s="105"/>
      <c r="P41" s="105"/>
      <c r="Q41" s="106"/>
      <c r="R41" s="1"/>
      <c r="S41" s="1"/>
    </row>
    <row r="42" spans="1:19" ht="16.5" customHeight="1" thickBot="1" x14ac:dyDescent="0.25">
      <c r="A42" s="113"/>
      <c r="B42" s="15"/>
      <c r="C42" s="15"/>
      <c r="D42" s="16"/>
      <c r="E42" s="15"/>
      <c r="F42" s="14"/>
      <c r="G42" s="14"/>
      <c r="H42" s="15"/>
      <c r="I42" s="15"/>
      <c r="J42" s="378"/>
      <c r="K42" s="378"/>
      <c r="L42" s="378"/>
      <c r="M42" s="105"/>
      <c r="N42" s="105"/>
      <c r="O42" s="105"/>
      <c r="P42" s="105"/>
      <c r="Q42" s="106"/>
      <c r="R42" s="1"/>
      <c r="S42" s="1"/>
    </row>
    <row r="43" spans="1:19" ht="24" customHeight="1" x14ac:dyDescent="0.2">
      <c r="A43" s="113"/>
      <c r="B43" s="15"/>
      <c r="C43" s="379" t="s">
        <v>230</v>
      </c>
      <c r="D43" s="380"/>
      <c r="E43" s="380"/>
      <c r="F43" s="380"/>
      <c r="G43" s="381"/>
      <c r="H43" s="15"/>
      <c r="I43" s="15"/>
      <c r="J43" s="371" t="s">
        <v>189</v>
      </c>
      <c r="K43" s="372"/>
      <c r="L43" s="373"/>
      <c r="M43" s="105"/>
      <c r="N43" s="105"/>
      <c r="O43" s="105"/>
      <c r="P43" s="105"/>
      <c r="Q43" s="106"/>
      <c r="R43" s="1"/>
      <c r="S43" s="1"/>
    </row>
    <row r="44" spans="1:19" ht="23.25" customHeight="1" thickBot="1" x14ac:dyDescent="0.25">
      <c r="A44" s="113"/>
      <c r="B44" s="15"/>
      <c r="C44" s="382"/>
      <c r="D44" s="383"/>
      <c r="E44" s="383"/>
      <c r="F44" s="383"/>
      <c r="G44" s="384"/>
      <c r="H44" s="15"/>
      <c r="I44" s="15"/>
      <c r="J44" s="374"/>
      <c r="K44" s="375"/>
      <c r="L44" s="376"/>
      <c r="M44" s="105"/>
      <c r="N44" s="105"/>
      <c r="O44" s="105"/>
      <c r="P44" s="105"/>
      <c r="Q44" s="106"/>
      <c r="R44" s="1"/>
      <c r="S44" s="1"/>
    </row>
    <row r="45" spans="1:19" ht="38.25" customHeight="1" thickBot="1" x14ac:dyDescent="0.25">
      <c r="A45" s="113"/>
      <c r="B45" s="15"/>
      <c r="C45" s="163" t="s">
        <v>49</v>
      </c>
      <c r="D45" s="164" t="s">
        <v>178</v>
      </c>
      <c r="E45" s="165" t="s">
        <v>179</v>
      </c>
      <c r="F45" s="164" t="s">
        <v>180</v>
      </c>
      <c r="G45" s="166" t="s">
        <v>188</v>
      </c>
      <c r="H45" s="167"/>
      <c r="I45" s="167"/>
      <c r="J45" s="269" t="s">
        <v>274</v>
      </c>
      <c r="K45" s="270" t="s">
        <v>269</v>
      </c>
      <c r="L45" s="270" t="s">
        <v>270</v>
      </c>
      <c r="M45" s="281" t="s">
        <v>271</v>
      </c>
      <c r="N45" s="369" t="s">
        <v>272</v>
      </c>
      <c r="O45" s="370"/>
      <c r="P45" s="370"/>
      <c r="Q45" s="106"/>
      <c r="R45" s="1"/>
      <c r="S45" s="1"/>
    </row>
    <row r="46" spans="1:19" x14ac:dyDescent="0.2">
      <c r="A46" s="113"/>
      <c r="B46" s="15"/>
      <c r="C46" s="244" t="s">
        <v>181</v>
      </c>
      <c r="D46" s="149">
        <f>SUMIF('BASE BID'!E:E,C46,'BASE BID'!N:N)</f>
        <v>15429.762842316035</v>
      </c>
      <c r="E46" s="149">
        <f>SUMIF('BASE BID'!E:E,C46,'BASE BID'!P:P)</f>
        <v>0</v>
      </c>
      <c r="F46" s="150">
        <f>SUMIF('BASE BID'!E:E,C46,'BASE BID'!Q:Q)</f>
        <v>15429.762842316035</v>
      </c>
      <c r="G46" s="135">
        <f t="shared" ref="G46" si="3">F46/F$32</f>
        <v>0.15321255564874339</v>
      </c>
      <c r="H46" s="15"/>
      <c r="I46" s="15"/>
      <c r="J46" s="271">
        <f t="shared" ref="J46:J71" si="4">((D46*(1+$H$75))+(E46*(1+$H$74+$H$73)))*(1+$H$76)</f>
        <v>18793.451141940928</v>
      </c>
      <c r="K46" s="276"/>
      <c r="L46" s="272">
        <f>J46-K46</f>
        <v>18793.451141940928</v>
      </c>
      <c r="M46" s="277"/>
      <c r="N46" s="241"/>
      <c r="O46" s="241"/>
      <c r="P46" s="241"/>
      <c r="Q46" s="106"/>
      <c r="R46" s="1"/>
      <c r="S46" s="1"/>
    </row>
    <row r="47" spans="1:19" x14ac:dyDescent="0.25">
      <c r="A47" s="113"/>
      <c r="B47" s="15"/>
      <c r="C47" s="245" t="s">
        <v>242</v>
      </c>
      <c r="D47" s="149">
        <f>SUMIF('BASE BID'!E:E,C47,'BASE BID'!N:N)</f>
        <v>922.46324293182249</v>
      </c>
      <c r="E47" s="149">
        <f>SUMIF('BASE BID'!E:E,C47,'BASE BID'!P:P)</f>
        <v>1728.8499000000002</v>
      </c>
      <c r="F47" s="150">
        <f>SUMIF('BASE BID'!E:E,C47,'BASE BID'!Q:Q)</f>
        <v>2651.3131429318228</v>
      </c>
      <c r="G47" s="135">
        <f t="shared" ref="G47:G66" si="5">F47/F$32</f>
        <v>2.6326682179433493E-2</v>
      </c>
      <c r="H47" s="15"/>
      <c r="I47" s="15"/>
      <c r="J47" s="278">
        <f t="shared" si="4"/>
        <v>3220.5254948484594</v>
      </c>
      <c r="K47" s="279"/>
      <c r="L47" s="280">
        <f t="shared" ref="L47:L67" si="6">J47-K47</f>
        <v>3220.5254948484594</v>
      </c>
      <c r="M47" s="277"/>
      <c r="N47" s="241"/>
      <c r="O47" s="241"/>
      <c r="P47" s="241"/>
      <c r="Q47" s="106"/>
      <c r="R47" s="1"/>
      <c r="S47" s="1"/>
    </row>
    <row r="48" spans="1:19" x14ac:dyDescent="0.25">
      <c r="A48" s="113"/>
      <c r="B48" s="15"/>
      <c r="C48" s="245" t="s">
        <v>243</v>
      </c>
      <c r="D48" s="149">
        <f>SUMIF('BASE BID'!E:E,C48,'BASE BID'!N:N)</f>
        <v>2160.8835769400512</v>
      </c>
      <c r="E48" s="149">
        <f>SUMIF('BASE BID'!E:E,C48,'BASE BID'!P:P)</f>
        <v>1369.3050000000001</v>
      </c>
      <c r="F48" s="150">
        <f>SUMIF('BASE BID'!E:E,C48,'BASE BID'!Q:Q)</f>
        <v>3530.1885769400515</v>
      </c>
      <c r="G48" s="135">
        <f t="shared" si="5"/>
        <v>3.5053631045556657E-2</v>
      </c>
      <c r="H48" s="15"/>
      <c r="I48" s="15"/>
      <c r="J48" s="278">
        <f t="shared" si="4"/>
        <v>4292.8204638379821</v>
      </c>
      <c r="K48" s="279"/>
      <c r="L48" s="280">
        <f t="shared" si="6"/>
        <v>4292.8204638379821</v>
      </c>
      <c r="M48" s="277"/>
      <c r="N48" s="241"/>
      <c r="O48" s="241"/>
      <c r="P48" s="241"/>
      <c r="Q48" s="106"/>
      <c r="R48" s="1"/>
      <c r="S48" s="1"/>
    </row>
    <row r="49" spans="1:19" x14ac:dyDescent="0.25">
      <c r="A49" s="113"/>
      <c r="B49" s="15"/>
      <c r="C49" s="245" t="s">
        <v>59</v>
      </c>
      <c r="D49" s="149">
        <f>SUMIF('BASE BID'!E:E,C49,'BASE BID'!N:N)</f>
        <v>210.6420926319071</v>
      </c>
      <c r="E49" s="149">
        <f>SUMIF('BASE BID'!E:E,C49,'BASE BID'!P:P)</f>
        <v>461.50650000000002</v>
      </c>
      <c r="F49" s="150">
        <f>SUMIF('BASE BID'!E:E,C49,'BASE BID'!Q:Q)</f>
        <v>672.14859263190715</v>
      </c>
      <c r="G49" s="135">
        <f t="shared" si="5"/>
        <v>6.6742181785460876E-3</v>
      </c>
      <c r="H49" s="15"/>
      <c r="I49" s="15"/>
      <c r="J49" s="278">
        <f t="shared" si="4"/>
        <v>816.33484033816285</v>
      </c>
      <c r="K49" s="279"/>
      <c r="L49" s="280">
        <f t="shared" si="6"/>
        <v>816.33484033816285</v>
      </c>
      <c r="M49" s="277"/>
      <c r="N49" s="241"/>
      <c r="O49" s="241"/>
      <c r="P49" s="241"/>
      <c r="Q49" s="106"/>
      <c r="R49" s="1"/>
      <c r="S49" s="1"/>
    </row>
    <row r="50" spans="1:19" x14ac:dyDescent="0.25">
      <c r="A50" s="113"/>
      <c r="B50" s="15"/>
      <c r="C50" s="245" t="s">
        <v>254</v>
      </c>
      <c r="D50" s="149">
        <f>SUMIF('BASE BID'!E:E,C50,'BASE BID'!N:N)</f>
        <v>544.38389854694992</v>
      </c>
      <c r="E50" s="149">
        <f>SUMIF('BASE BID'!E:E,C50,'BASE BID'!P:P)</f>
        <v>205.065</v>
      </c>
      <c r="F50" s="150">
        <f>SUMIF('BASE BID'!E:E,C50,'BASE BID'!Q:Q)</f>
        <v>749.44889854694998</v>
      </c>
      <c r="G50" s="135">
        <f t="shared" si="5"/>
        <v>7.441785220418759E-3</v>
      </c>
      <c r="H50" s="15"/>
      <c r="I50" s="15"/>
      <c r="J50" s="278">
        <f t="shared" si="4"/>
        <v>911.788053555185</v>
      </c>
      <c r="K50" s="279"/>
      <c r="L50" s="280">
        <f t="shared" si="6"/>
        <v>911.788053555185</v>
      </c>
      <c r="M50" s="277"/>
      <c r="N50" s="241"/>
      <c r="O50" s="241"/>
      <c r="P50" s="241"/>
      <c r="Q50" s="106"/>
      <c r="R50" s="1"/>
      <c r="S50" s="1"/>
    </row>
    <row r="51" spans="1:19" x14ac:dyDescent="0.25">
      <c r="A51" s="113"/>
      <c r="B51" s="15"/>
      <c r="C51" s="245" t="s">
        <v>216</v>
      </c>
      <c r="D51" s="149">
        <f>SUMIF('BASE BID'!E:E,C51,'BASE BID'!N:N)</f>
        <v>237.08665250812501</v>
      </c>
      <c r="E51" s="149">
        <f>SUMIF('BASE BID'!E:E,C51,'BASE BID'!P:P)</f>
        <v>60.430288841693745</v>
      </c>
      <c r="F51" s="150">
        <f>SUMIF('BASE BID'!E:E,C51,'BASE BID'!Q:Q)</f>
        <v>297.51694134981875</v>
      </c>
      <c r="G51" s="135">
        <f t="shared" si="5"/>
        <v>2.9542470223839741E-3</v>
      </c>
      <c r="H51" s="15"/>
      <c r="I51" s="15"/>
      <c r="J51" s="278">
        <f t="shared" si="4"/>
        <v>362.06895084820763</v>
      </c>
      <c r="K51" s="279"/>
      <c r="L51" s="280">
        <f t="shared" si="6"/>
        <v>362.06895084820763</v>
      </c>
      <c r="M51" s="277"/>
      <c r="N51" s="241"/>
      <c r="O51" s="241"/>
      <c r="P51" s="241"/>
      <c r="Q51" s="106"/>
      <c r="R51" s="1"/>
      <c r="S51" s="1"/>
    </row>
    <row r="52" spans="1:19" x14ac:dyDescent="0.25">
      <c r="A52" s="113"/>
      <c r="B52" s="15"/>
      <c r="C52" s="245" t="s">
        <v>142</v>
      </c>
      <c r="D52" s="149">
        <f>SUMIF('BASE BID'!E:E,C52,'BASE BID'!N:N)</f>
        <v>654.87339435683577</v>
      </c>
      <c r="E52" s="149">
        <f>SUMIF('BASE BID'!E:E,C52,'BASE BID'!P:P)</f>
        <v>2321.8603800000001</v>
      </c>
      <c r="F52" s="150">
        <f>SUMIF('BASE BID'!E:E,C52,'BASE BID'!Q:Q)</f>
        <v>2976.733774356836</v>
      </c>
      <c r="G52" s="135">
        <f t="shared" si="5"/>
        <v>2.9558003821313648E-2</v>
      </c>
      <c r="H52" s="15"/>
      <c r="I52" s="15"/>
      <c r="J52" s="278">
        <f t="shared" si="4"/>
        <v>3613.8782957381259</v>
      </c>
      <c r="K52" s="279"/>
      <c r="L52" s="280">
        <f t="shared" si="6"/>
        <v>3613.8782957381259</v>
      </c>
      <c r="M52" s="277"/>
      <c r="N52" s="241"/>
      <c r="O52" s="241"/>
      <c r="P52" s="241"/>
      <c r="Q52" s="106"/>
      <c r="R52" s="1"/>
      <c r="S52" s="1"/>
    </row>
    <row r="53" spans="1:19" x14ac:dyDescent="0.25">
      <c r="A53" s="113"/>
      <c r="B53" s="15"/>
      <c r="C53" s="245" t="s">
        <v>212</v>
      </c>
      <c r="D53" s="149">
        <f>SUMIF('BASE BID'!E:E,C53,'BASE BID'!N:N)</f>
        <v>5485.9124292901561</v>
      </c>
      <c r="E53" s="149">
        <f>SUMIF('BASE BID'!E:E,C53,'BASE BID'!P:P)</f>
        <v>0</v>
      </c>
      <c r="F53" s="150">
        <f>SUMIF('BASE BID'!E:E,C53,'BASE BID'!Q:Q)</f>
        <v>5485.9124292901561</v>
      </c>
      <c r="G53" s="135">
        <f t="shared" si="5"/>
        <v>5.4473336495597678E-2</v>
      </c>
      <c r="H53" s="15"/>
      <c r="I53" s="15"/>
      <c r="J53" s="278">
        <f t="shared" si="4"/>
        <v>6681.8413388754097</v>
      </c>
      <c r="K53" s="279"/>
      <c r="L53" s="280">
        <f t="shared" si="6"/>
        <v>6681.8413388754097</v>
      </c>
      <c r="M53" s="277"/>
      <c r="N53" s="241"/>
      <c r="O53" s="241"/>
      <c r="P53" s="241"/>
      <c r="Q53" s="106"/>
      <c r="R53" s="1"/>
      <c r="S53" s="1"/>
    </row>
    <row r="54" spans="1:19" x14ac:dyDescent="0.25">
      <c r="A54" s="113"/>
      <c r="B54" s="15"/>
      <c r="C54" s="245" t="s">
        <v>138</v>
      </c>
      <c r="D54" s="149">
        <f>SUMIF('BASE BID'!E:E,C54,'BASE BID'!N:N)</f>
        <v>1128.2883237603803</v>
      </c>
      <c r="E54" s="149">
        <f>SUMIF('BASE BID'!E:E,C54,'BASE BID'!P:P)</f>
        <v>4260.7100000000009</v>
      </c>
      <c r="F54" s="150">
        <f>SUMIF('BASE BID'!E:E,C54,'BASE BID'!Q:Q)</f>
        <v>5388.998323760381</v>
      </c>
      <c r="G54" s="135">
        <f t="shared" si="5"/>
        <v>5.3511010765878296E-2</v>
      </c>
      <c r="H54" s="15"/>
      <c r="I54" s="15"/>
      <c r="J54" s="278">
        <f t="shared" si="4"/>
        <v>6542.1768550901434</v>
      </c>
      <c r="K54" s="279"/>
      <c r="L54" s="280">
        <f t="shared" si="6"/>
        <v>6542.1768550901434</v>
      </c>
      <c r="M54" s="277"/>
      <c r="N54" s="241"/>
      <c r="O54" s="241"/>
      <c r="P54" s="241"/>
      <c r="Q54" s="106"/>
      <c r="R54" s="1"/>
      <c r="S54" s="1"/>
    </row>
    <row r="55" spans="1:19" x14ac:dyDescent="0.25">
      <c r="A55" s="113"/>
      <c r="B55" s="15"/>
      <c r="C55" s="245" t="s">
        <v>123</v>
      </c>
      <c r="D55" s="149">
        <f>SUMIF('BASE BID'!E:E,C55,'BASE BID'!N:N)</f>
        <v>3240.350107121712</v>
      </c>
      <c r="E55" s="149">
        <f>SUMIF('BASE BID'!E:E,C55,'BASE BID'!P:P)</f>
        <v>1324.2868875000001</v>
      </c>
      <c r="F55" s="150">
        <f>SUMIF('BASE BID'!E:E,C55,'BASE BID'!Q:Q)</f>
        <v>4564.6369946217128</v>
      </c>
      <c r="G55" s="135">
        <f t="shared" si="5"/>
        <v>4.5325369333402976E-2</v>
      </c>
      <c r="H55" s="15"/>
      <c r="I55" s="15"/>
      <c r="J55" s="278">
        <f t="shared" si="4"/>
        <v>5553.0071034951825</v>
      </c>
      <c r="K55" s="279"/>
      <c r="L55" s="280">
        <f t="shared" si="6"/>
        <v>5553.0071034951825</v>
      </c>
      <c r="M55" s="277"/>
      <c r="N55" s="241"/>
      <c r="O55" s="241"/>
      <c r="P55" s="241"/>
      <c r="Q55" s="106"/>
      <c r="R55" s="1"/>
      <c r="S55" s="1"/>
    </row>
    <row r="56" spans="1:19" x14ac:dyDescent="0.25">
      <c r="A56" s="113"/>
      <c r="B56" s="15"/>
      <c r="C56" s="245" t="s">
        <v>146</v>
      </c>
      <c r="D56" s="149">
        <f>SUMIF('BASE BID'!E:E,C56,'BASE BID'!N:N)</f>
        <v>9881.4928669052424</v>
      </c>
      <c r="E56" s="149">
        <f>SUMIF('BASE BID'!E:E,C56,'BASE BID'!P:P)</f>
        <v>4799.8</v>
      </c>
      <c r="F56" s="150">
        <f>SUMIF('BASE BID'!E:E,C56,'BASE BID'!Q:Q)</f>
        <v>14681.292866905242</v>
      </c>
      <c r="G56" s="135">
        <f t="shared" si="5"/>
        <v>0.14578049081852162</v>
      </c>
      <c r="H56" s="15"/>
      <c r="I56" s="15"/>
      <c r="J56" s="278">
        <f t="shared" si="4"/>
        <v>17857.455726890585</v>
      </c>
      <c r="K56" s="279"/>
      <c r="L56" s="280">
        <f t="shared" si="6"/>
        <v>17857.455726890585</v>
      </c>
      <c r="M56" s="277"/>
      <c r="N56" s="241"/>
      <c r="O56" s="241"/>
      <c r="P56" s="241"/>
      <c r="Q56" s="106"/>
      <c r="R56" s="1"/>
      <c r="S56" s="1"/>
    </row>
    <row r="57" spans="1:19" x14ac:dyDescent="0.25">
      <c r="A57" s="113"/>
      <c r="B57" s="15"/>
      <c r="C57" s="245" t="s">
        <v>67</v>
      </c>
      <c r="D57" s="149">
        <f>SUMIF('BASE BID'!E:E,C57,'BASE BID'!N:N)</f>
        <v>68.915769165249927</v>
      </c>
      <c r="E57" s="149">
        <f>SUMIF('BASE BID'!E:E,C57,'BASE BID'!P:P)</f>
        <v>71.819999999999993</v>
      </c>
      <c r="F57" s="150">
        <f>SUMIF('BASE BID'!E:E,C57,'BASE BID'!Q:Q)</f>
        <v>140.73576916524991</v>
      </c>
      <c r="G57" s="135">
        <f t="shared" si="5"/>
        <v>1.3974606794256461E-3</v>
      </c>
      <c r="H57" s="15"/>
      <c r="I57" s="15"/>
      <c r="J57" s="278">
        <f t="shared" si="4"/>
        <v>171.0516803432744</v>
      </c>
      <c r="K57" s="279"/>
      <c r="L57" s="280">
        <f t="shared" si="6"/>
        <v>171.0516803432744</v>
      </c>
      <c r="M57" s="277"/>
      <c r="N57" s="241"/>
      <c r="O57" s="241"/>
      <c r="P57" s="241"/>
      <c r="Q57" s="106"/>
      <c r="R57" s="1"/>
      <c r="S57" s="1"/>
    </row>
    <row r="58" spans="1:19" x14ac:dyDescent="0.25">
      <c r="A58" s="113"/>
      <c r="B58" s="15"/>
      <c r="C58" s="245" t="s">
        <v>119</v>
      </c>
      <c r="D58" s="149">
        <f>SUMIF('BASE BID'!E:E,C58,'BASE BID'!N:N)</f>
        <v>3339.8862686935845</v>
      </c>
      <c r="E58" s="149">
        <f>SUMIF('BASE BID'!E:E,C58,'BASE BID'!P:P)</f>
        <v>2450.5</v>
      </c>
      <c r="F58" s="150">
        <f>SUMIF('BASE BID'!E:E,C58,'BASE BID'!Q:Q)</f>
        <v>5790.3862686935845</v>
      </c>
      <c r="G58" s="135">
        <f t="shared" si="5"/>
        <v>5.7496663266068136E-2</v>
      </c>
      <c r="H58" s="15"/>
      <c r="I58" s="15"/>
      <c r="J58" s="278">
        <f t="shared" si="4"/>
        <v>7040.2541877687854</v>
      </c>
      <c r="K58" s="279"/>
      <c r="L58" s="280">
        <f t="shared" si="6"/>
        <v>7040.2541877687854</v>
      </c>
      <c r="M58" s="277"/>
      <c r="N58" s="241"/>
      <c r="O58" s="241"/>
      <c r="P58" s="241"/>
      <c r="Q58" s="106"/>
      <c r="R58" s="1"/>
      <c r="S58" s="1"/>
    </row>
    <row r="59" spans="1:19" x14ac:dyDescent="0.25">
      <c r="A59" s="113"/>
      <c r="B59" s="15"/>
      <c r="C59" s="245" t="s">
        <v>58</v>
      </c>
      <c r="D59" s="149">
        <f>SUMIF('BASE BID'!E:E,C59,'BASE BID'!N:N)</f>
        <v>371.4216650904375</v>
      </c>
      <c r="E59" s="149">
        <f>SUMIF('BASE BID'!E:E,C59,'BASE BID'!P:P)</f>
        <v>733.2034336666668</v>
      </c>
      <c r="F59" s="150">
        <f>SUMIF('BASE BID'!E:E,C59,'BASE BID'!Q:Q)</f>
        <v>1104.6250987571043</v>
      </c>
      <c r="G59" s="135">
        <f t="shared" si="5"/>
        <v>1.0968570038560483E-2</v>
      </c>
      <c r="H59" s="15"/>
      <c r="I59" s="15"/>
      <c r="J59" s="278">
        <f t="shared" si="4"/>
        <v>1341.7123628602947</v>
      </c>
      <c r="K59" s="279"/>
      <c r="L59" s="280">
        <f t="shared" si="6"/>
        <v>1341.7123628602947</v>
      </c>
      <c r="M59" s="277"/>
      <c r="N59" s="241"/>
      <c r="O59" s="241"/>
      <c r="P59" s="241"/>
      <c r="Q59" s="106"/>
      <c r="R59" s="1"/>
      <c r="S59" s="1"/>
    </row>
    <row r="60" spans="1:19" x14ac:dyDescent="0.25">
      <c r="A60" s="113"/>
      <c r="B60" s="15"/>
      <c r="C60" s="245" t="s">
        <v>136</v>
      </c>
      <c r="D60" s="149">
        <f>SUMIF('BASE BID'!E:E,C60,'BASE BID'!N:N)</f>
        <v>805.4329833778379</v>
      </c>
      <c r="E60" s="149">
        <f>SUMIF('BASE BID'!E:E,C60,'BASE BID'!P:P)</f>
        <v>381.3127225563909</v>
      </c>
      <c r="F60" s="150">
        <f>SUMIF('BASE BID'!E:E,C60,'BASE BID'!Q:Q)</f>
        <v>1186.7457059342289</v>
      </c>
      <c r="G60" s="135">
        <f t="shared" si="5"/>
        <v>1.1784001113270718E-2</v>
      </c>
      <c r="H60" s="15"/>
      <c r="I60" s="15"/>
      <c r="J60" s="278">
        <f t="shared" si="4"/>
        <v>1443.5211077609167</v>
      </c>
      <c r="K60" s="279"/>
      <c r="L60" s="280">
        <f t="shared" si="6"/>
        <v>1443.5211077609167</v>
      </c>
      <c r="M60" s="277"/>
      <c r="N60" s="241"/>
      <c r="O60" s="241"/>
      <c r="P60" s="241"/>
      <c r="Q60" s="106"/>
      <c r="R60" s="1"/>
      <c r="S60" s="1"/>
    </row>
    <row r="61" spans="1:19" x14ac:dyDescent="0.25">
      <c r="A61" s="113"/>
      <c r="B61" s="15"/>
      <c r="C61" s="245" t="s">
        <v>63</v>
      </c>
      <c r="D61" s="149">
        <f>SUMIF('BASE BID'!E:E,C61,'BASE BID'!N:N)</f>
        <v>21.029302734330521</v>
      </c>
      <c r="E61" s="149">
        <f>SUMIF('BASE BID'!E:E,C61,'BASE BID'!P:P)</f>
        <v>9.6721170000000019</v>
      </c>
      <c r="F61" s="150">
        <f>SUMIF('BASE BID'!E:E,C61,'BASE BID'!Q:Q)</f>
        <v>30.701419734330521</v>
      </c>
      <c r="G61" s="135">
        <f t="shared" si="5"/>
        <v>3.0485517033620774E-4</v>
      </c>
      <c r="H61" s="15"/>
      <c r="I61" s="15"/>
      <c r="J61" s="278">
        <f t="shared" si="4"/>
        <v>37.345243242639569</v>
      </c>
      <c r="K61" s="279"/>
      <c r="L61" s="280">
        <f t="shared" si="6"/>
        <v>37.345243242639569</v>
      </c>
      <c r="M61" s="277"/>
      <c r="N61" s="241"/>
      <c r="O61" s="241"/>
      <c r="P61" s="241"/>
      <c r="Q61" s="106"/>
      <c r="R61" s="1"/>
      <c r="S61" s="1"/>
    </row>
    <row r="62" spans="1:19" x14ac:dyDescent="0.25">
      <c r="A62" s="113"/>
      <c r="B62" s="15"/>
      <c r="C62" s="245" t="s">
        <v>55</v>
      </c>
      <c r="D62" s="149">
        <f>SUMIF('BASE BID'!E:E,C62,'BASE BID'!N:N)</f>
        <v>115.53792624115285</v>
      </c>
      <c r="E62" s="149">
        <f>SUMIF('BASE BID'!E:E,C62,'BASE BID'!P:P)</f>
        <v>158.14197000000001</v>
      </c>
      <c r="F62" s="150">
        <f>SUMIF('BASE BID'!E:E,C62,'BASE BID'!Q:Q)</f>
        <v>273.67989624115285</v>
      </c>
      <c r="G62" s="135">
        <f t="shared" si="5"/>
        <v>2.7175528724131706E-3</v>
      </c>
      <c r="H62" s="15"/>
      <c r="I62" s="15"/>
      <c r="J62" s="278">
        <f t="shared" si="4"/>
        <v>332.53954312397417</v>
      </c>
      <c r="K62" s="279"/>
      <c r="L62" s="280">
        <f t="shared" si="6"/>
        <v>332.53954312397417</v>
      </c>
      <c r="M62" s="277"/>
      <c r="N62" s="241"/>
      <c r="O62" s="241"/>
      <c r="P62" s="241"/>
      <c r="Q62" s="106"/>
      <c r="R62" s="1"/>
      <c r="S62" s="1"/>
    </row>
    <row r="63" spans="1:19" x14ac:dyDescent="0.25">
      <c r="A63" s="113"/>
      <c r="B63" s="15"/>
      <c r="C63" s="245" t="s">
        <v>56</v>
      </c>
      <c r="D63" s="149">
        <f>SUMIF('BASE BID'!E:E,C63,'BASE BID'!N:N)</f>
        <v>1916.8960062544236</v>
      </c>
      <c r="E63" s="149">
        <f>SUMIF('BASE BID'!E:E,C63,'BASE BID'!P:P)</f>
        <v>1121.286075</v>
      </c>
      <c r="F63" s="150">
        <f>SUMIF('BASE BID'!E:E,C63,'BASE BID'!Q:Q)</f>
        <v>3038.1820812544233</v>
      </c>
      <c r="G63" s="135">
        <f t="shared" si="5"/>
        <v>3.0168165638852933E-2</v>
      </c>
      <c r="H63" s="15"/>
      <c r="I63" s="15"/>
      <c r="J63" s="278">
        <f t="shared" si="4"/>
        <v>3694.8152481372626</v>
      </c>
      <c r="K63" s="279"/>
      <c r="L63" s="280">
        <f t="shared" si="6"/>
        <v>3694.8152481372626</v>
      </c>
      <c r="M63" s="277"/>
      <c r="N63" s="241"/>
      <c r="O63" s="241"/>
      <c r="P63" s="241"/>
      <c r="Q63" s="106"/>
      <c r="R63" s="1"/>
      <c r="S63" s="1"/>
    </row>
    <row r="64" spans="1:19" x14ac:dyDescent="0.25">
      <c r="A64" s="113"/>
      <c r="B64" s="15"/>
      <c r="C64" s="245" t="s">
        <v>145</v>
      </c>
      <c r="D64" s="149">
        <f>SUMIF('BASE BID'!E:E,C64,'BASE BID'!N:N)</f>
        <v>66.994899773312</v>
      </c>
      <c r="E64" s="149">
        <f>SUMIF('BASE BID'!E:E,C64,'BASE BID'!P:P)</f>
        <v>44.4</v>
      </c>
      <c r="F64" s="150">
        <f>SUMIF('BASE BID'!E:E,C64,'BASE BID'!Q:Q)</f>
        <v>111.39489977331201</v>
      </c>
      <c r="G64" s="135">
        <f t="shared" si="5"/>
        <v>1.1061153340411909E-3</v>
      </c>
      <c r="H64" s="15"/>
      <c r="I64" s="15"/>
      <c r="J64" s="278">
        <f t="shared" si="4"/>
        <v>135.45365792389399</v>
      </c>
      <c r="K64" s="279"/>
      <c r="L64" s="280">
        <f t="shared" si="6"/>
        <v>135.45365792389399</v>
      </c>
      <c r="M64" s="277"/>
      <c r="N64" s="241"/>
      <c r="O64" s="241"/>
      <c r="P64" s="241"/>
      <c r="Q64" s="106"/>
      <c r="R64" s="1"/>
      <c r="S64" s="1"/>
    </row>
    <row r="65" spans="1:19" x14ac:dyDescent="0.25">
      <c r="A65" s="113"/>
      <c r="B65" s="15"/>
      <c r="C65" s="245" t="s">
        <v>214</v>
      </c>
      <c r="D65" s="149">
        <f>SUMIF('BASE BID'!E:E,C65,'BASE BID'!N:N)</f>
        <v>335.19107362384312</v>
      </c>
      <c r="E65" s="149">
        <f>SUMIF('BASE BID'!E:E,C65,'BASE BID'!P:P)</f>
        <v>18.9084</v>
      </c>
      <c r="F65" s="150">
        <f>SUMIF('BASE BID'!E:E,C65,'BASE BID'!Q:Q)</f>
        <v>354.0994736238431</v>
      </c>
      <c r="G65" s="135">
        <f t="shared" si="5"/>
        <v>3.516093271310475E-3</v>
      </c>
      <c r="H65" s="15"/>
      <c r="I65" s="15"/>
      <c r="J65" s="278">
        <f t="shared" si="4"/>
        <v>431.19719874384089</v>
      </c>
      <c r="K65" s="279"/>
      <c r="L65" s="280">
        <f t="shared" si="6"/>
        <v>431.19719874384089</v>
      </c>
      <c r="M65" s="277"/>
      <c r="N65" s="241"/>
      <c r="O65" s="241"/>
      <c r="P65" s="241"/>
      <c r="Q65" s="106"/>
      <c r="R65" s="1"/>
      <c r="S65" s="1"/>
    </row>
    <row r="66" spans="1:19" x14ac:dyDescent="0.25">
      <c r="A66" s="113"/>
      <c r="B66" s="15"/>
      <c r="C66" s="245" t="s">
        <v>231</v>
      </c>
      <c r="D66" s="149">
        <f>SUMIF('BASE BID'!E:E,C66,'BASE BID'!N:N)</f>
        <v>3480.1988926427157</v>
      </c>
      <c r="E66" s="149">
        <f>SUMIF('BASE BID'!E:E,C66,'BASE BID'!P:P)</f>
        <v>1815.1764785393259</v>
      </c>
      <c r="F66" s="150">
        <f>SUMIF('BASE BID'!E:E,C66,'BASE BID'!Q:Q)</f>
        <v>5295.3753711820418</v>
      </c>
      <c r="G66" s="135">
        <f t="shared" si="5"/>
        <v>5.2581365120737883E-2</v>
      </c>
      <c r="H66" s="15"/>
      <c r="I66" s="15"/>
      <c r="J66" s="278">
        <f t="shared" si="4"/>
        <v>6440.5551814711389</v>
      </c>
      <c r="K66" s="279"/>
      <c r="L66" s="280">
        <f t="shared" si="6"/>
        <v>6440.5551814711389</v>
      </c>
      <c r="M66" s="277"/>
      <c r="N66" s="241"/>
      <c r="O66" s="241"/>
      <c r="P66" s="241"/>
      <c r="Q66" s="106"/>
      <c r="R66" s="1"/>
      <c r="S66" s="1"/>
    </row>
    <row r="67" spans="1:19" x14ac:dyDescent="0.25">
      <c r="A67" s="113"/>
      <c r="B67" s="15"/>
      <c r="C67" s="245" t="s">
        <v>236</v>
      </c>
      <c r="D67" s="149">
        <f>SUMIF('BASE BID'!E:E,C67,'BASE BID'!N:N)</f>
        <v>182.65508064036928</v>
      </c>
      <c r="E67" s="149">
        <f>SUMIF('BASE BID'!E:E,C67,'BASE BID'!P:P)</f>
        <v>147.91499999999999</v>
      </c>
      <c r="F67" s="150">
        <f>SUMIF('BASE BID'!E:E,C67,'BASE BID'!Q:Q)</f>
        <v>330.57008064036927</v>
      </c>
      <c r="G67" s="135">
        <f t="shared" ref="G67:G71" si="7">F67/F$32</f>
        <v>3.2824540074602917E-3</v>
      </c>
      <c r="H67" s="15"/>
      <c r="I67" s="15"/>
      <c r="J67" s="278">
        <f t="shared" si="4"/>
        <v>401.88368959496972</v>
      </c>
      <c r="K67" s="279"/>
      <c r="L67" s="280">
        <f t="shared" si="6"/>
        <v>401.88368959496972</v>
      </c>
      <c r="M67" s="277"/>
      <c r="N67" s="241"/>
      <c r="O67" s="241"/>
      <c r="P67" s="241"/>
      <c r="Q67" s="106"/>
      <c r="R67" s="1"/>
      <c r="S67" s="1"/>
    </row>
    <row r="68" spans="1:19" x14ac:dyDescent="0.25">
      <c r="A68" s="113"/>
      <c r="B68" s="15"/>
      <c r="C68" s="245" t="s">
        <v>122</v>
      </c>
      <c r="D68" s="149">
        <f>SUMIF('BASE BID'!E:E,C68,'BASE BID'!N:N)</f>
        <v>7512.5095799244518</v>
      </c>
      <c r="E68" s="149">
        <f>SUMIF('BASE BID'!E:E,C68,'BASE BID'!P:P)</f>
        <v>2550.9817863636367</v>
      </c>
      <c r="F68" s="150">
        <f>SUMIF('BASE BID'!E:E,C68,'BASE BID'!Q:Q)</f>
        <v>10063.491366288088</v>
      </c>
      <c r="G68" s="135">
        <f t="shared" si="7"/>
        <v>9.9927215131883865E-2</v>
      </c>
      <c r="H68" s="15"/>
      <c r="I68" s="15"/>
      <c r="J68" s="278">
        <f t="shared" si="4"/>
        <v>12244.386251573094</v>
      </c>
      <c r="K68" s="279"/>
      <c r="L68" s="280">
        <f t="shared" ref="L68:L71" si="8">J68-K68</f>
        <v>12244.386251573094</v>
      </c>
      <c r="M68" s="277"/>
      <c r="N68" s="241"/>
      <c r="O68" s="241"/>
      <c r="P68" s="241"/>
      <c r="Q68" s="106"/>
      <c r="R68" s="1"/>
      <c r="S68" s="1"/>
    </row>
    <row r="69" spans="1:19" x14ac:dyDescent="0.25">
      <c r="A69" s="113"/>
      <c r="B69" s="15"/>
      <c r="C69" s="245" t="s">
        <v>37</v>
      </c>
      <c r="D69" s="149">
        <f>SUMIF('BASE BID'!E:E,C69,'BASE BID'!N:N)</f>
        <v>11.883948327439649</v>
      </c>
      <c r="E69" s="149">
        <f>SUMIF('BASE BID'!E:E,C69,'BASE BID'!P:P)</f>
        <v>20.7519375</v>
      </c>
      <c r="F69" s="150">
        <f>SUMIF('BASE BID'!E:E,C69,'BASE BID'!Q:Q)</f>
        <v>32.635885827439651</v>
      </c>
      <c r="G69" s="135">
        <f t="shared" si="7"/>
        <v>3.24063793110905E-4</v>
      </c>
      <c r="H69" s="15"/>
      <c r="I69" s="15"/>
      <c r="J69" s="278">
        <f t="shared" si="4"/>
        <v>39.645192855008993</v>
      </c>
      <c r="K69" s="279"/>
      <c r="L69" s="280">
        <f t="shared" si="8"/>
        <v>39.645192855008993</v>
      </c>
      <c r="M69" s="277"/>
      <c r="N69" s="241"/>
      <c r="O69" s="241"/>
      <c r="P69" s="241"/>
      <c r="Q69" s="106"/>
      <c r="R69" s="1"/>
      <c r="S69" s="1"/>
    </row>
    <row r="70" spans="1:19" x14ac:dyDescent="0.25">
      <c r="A70" s="113"/>
      <c r="B70" s="15"/>
      <c r="C70" s="245" t="s">
        <v>60</v>
      </c>
      <c r="D70" s="149">
        <f>SUMIF('BASE BID'!E:E,C70,'BASE BID'!N:N)</f>
        <v>2440.1106642779105</v>
      </c>
      <c r="E70" s="149">
        <f>SUMIF('BASE BID'!E:E,C70,'BASE BID'!P:P)</f>
        <v>7892.2729200000003</v>
      </c>
      <c r="F70" s="150">
        <f>SUMIF('BASE BID'!E:E,C70,'BASE BID'!Q:Q)</f>
        <v>10332.38358427791</v>
      </c>
      <c r="G70" s="135">
        <f t="shared" si="7"/>
        <v>0.10259722790740725</v>
      </c>
      <c r="H70" s="15"/>
      <c r="I70" s="15"/>
      <c r="J70" s="278">
        <f t="shared" si="4"/>
        <v>12544.789920581494</v>
      </c>
      <c r="K70" s="279"/>
      <c r="L70" s="280">
        <f t="shared" si="8"/>
        <v>12544.789920581494</v>
      </c>
      <c r="M70" s="277"/>
      <c r="N70" s="241"/>
      <c r="O70" s="241"/>
      <c r="P70" s="241"/>
      <c r="Q70" s="106"/>
      <c r="R70" s="1"/>
      <c r="S70" s="1"/>
    </row>
    <row r="71" spans="1:19" ht="16.5" thickBot="1" x14ac:dyDescent="0.3">
      <c r="A71" s="113"/>
      <c r="B71" s="15"/>
      <c r="C71" s="245" t="s">
        <v>246</v>
      </c>
      <c r="D71" s="149">
        <f>SUMIF('BASE BID'!E:E,C71,'BASE BID'!N:N)</f>
        <v>1858.802281081538</v>
      </c>
      <c r="E71" s="149">
        <f>SUMIF('BASE BID'!E:E,C71,'BASE BID'!P:P)</f>
        <v>4336.4514374999999</v>
      </c>
      <c r="F71" s="150">
        <f>SUMIF('BASE BID'!E:E,C71,'BASE BID'!Q:Q)</f>
        <v>6195.2537185815381</v>
      </c>
      <c r="G71" s="135">
        <f t="shared" si="7"/>
        <v>6.1516866125324268E-2</v>
      </c>
      <c r="H71" s="15"/>
      <c r="I71" s="15"/>
      <c r="J71" s="278">
        <f t="shared" si="4"/>
        <v>7523.8115381869993</v>
      </c>
      <c r="K71" s="279"/>
      <c r="L71" s="280">
        <f t="shared" si="8"/>
        <v>7523.8115381869993</v>
      </c>
      <c r="M71" s="282"/>
      <c r="N71" s="283"/>
      <c r="O71" s="283"/>
      <c r="P71" s="283"/>
      <c r="Q71" s="106"/>
      <c r="R71" s="1"/>
      <c r="S71" s="1"/>
    </row>
    <row r="72" spans="1:19" ht="16.5" thickBot="1" x14ac:dyDescent="0.25">
      <c r="A72" s="113"/>
      <c r="B72" s="15"/>
      <c r="C72" s="61" t="s">
        <v>4</v>
      </c>
      <c r="D72" s="62">
        <f>SUM(D46:D71)</f>
        <v>62423.60576915781</v>
      </c>
      <c r="E72" s="62">
        <f>SUM(E46:E71)</f>
        <v>38284.60823446772</v>
      </c>
      <c r="F72" s="62">
        <f>SUM(F46:F71)</f>
        <v>100708.21400362553</v>
      </c>
      <c r="G72" s="145"/>
      <c r="I72" s="15"/>
      <c r="J72" s="273">
        <f>SUM(J46:J71)</f>
        <v>122468.31026962596</v>
      </c>
      <c r="K72" s="274"/>
      <c r="L72" s="275">
        <f>J72-K72</f>
        <v>122468.31026962596</v>
      </c>
      <c r="M72" s="277">
        <f>SUM(M46:M71)</f>
        <v>0</v>
      </c>
      <c r="N72" s="241"/>
      <c r="O72" s="241"/>
      <c r="P72" s="241"/>
      <c r="Q72" s="106"/>
      <c r="R72" s="1"/>
      <c r="S72" s="1"/>
    </row>
    <row r="73" spans="1:19" x14ac:dyDescent="0.2">
      <c r="A73" s="113"/>
      <c r="B73" s="15"/>
      <c r="C73" s="264" t="s">
        <v>159</v>
      </c>
      <c r="D73" s="65">
        <v>0</v>
      </c>
      <c r="E73" s="66">
        <f>E72*H73</f>
        <v>3637.0377822744335</v>
      </c>
      <c r="F73" s="66">
        <f>D73+E73</f>
        <v>3637.0377822744335</v>
      </c>
      <c r="G73" s="126"/>
      <c r="H73" s="127">
        <f>H33</f>
        <v>9.5000000000000001E-2</v>
      </c>
      <c r="I73" s="15"/>
      <c r="J73" s="105"/>
      <c r="K73" s="105"/>
      <c r="L73" s="105"/>
      <c r="M73" s="105"/>
      <c r="N73" s="105"/>
      <c r="O73" s="105"/>
      <c r="P73" s="105"/>
      <c r="Q73" s="106"/>
      <c r="R73" s="1"/>
      <c r="S73" s="1"/>
    </row>
    <row r="74" spans="1:19" x14ac:dyDescent="0.2">
      <c r="A74" s="113"/>
      <c r="B74" s="15"/>
      <c r="C74" s="63" t="s">
        <v>265</v>
      </c>
      <c r="D74" s="261">
        <v>0</v>
      </c>
      <c r="E74" s="262">
        <f>E72*H74</f>
        <v>3828.4608234467723</v>
      </c>
      <c r="F74" s="262">
        <f>D74+E74</f>
        <v>3828.4608234467723</v>
      </c>
      <c r="G74" s="126"/>
      <c r="H74" s="127">
        <f t="shared" ref="H74:H76" si="9">H34</f>
        <v>0.1</v>
      </c>
      <c r="I74" s="15"/>
      <c r="J74" s="105"/>
      <c r="K74" s="105"/>
      <c r="L74" s="105"/>
      <c r="M74" s="105"/>
      <c r="N74" s="105"/>
      <c r="O74" s="105"/>
      <c r="P74" s="105"/>
      <c r="Q74" s="106"/>
      <c r="R74" s="1"/>
      <c r="S74" s="1"/>
    </row>
    <row r="75" spans="1:19" ht="16.5" thickBot="1" x14ac:dyDescent="0.25">
      <c r="A75" s="113"/>
      <c r="B75" s="15"/>
      <c r="C75" s="67" t="s">
        <v>273</v>
      </c>
      <c r="D75" s="267">
        <f>D72*H75</f>
        <v>12484.721153831562</v>
      </c>
      <c r="E75" s="265">
        <v>0</v>
      </c>
      <c r="F75" s="265">
        <f>D75+E75</f>
        <v>12484.721153831562</v>
      </c>
      <c r="G75" s="266"/>
      <c r="H75" s="127">
        <f t="shared" si="9"/>
        <v>0.2</v>
      </c>
      <c r="I75" s="15"/>
      <c r="J75" s="105"/>
      <c r="K75" s="105"/>
      <c r="L75" s="105"/>
      <c r="M75" s="105"/>
      <c r="N75" s="105"/>
      <c r="O75" s="105"/>
      <c r="P75" s="105"/>
      <c r="Q75" s="106"/>
      <c r="R75" s="1"/>
      <c r="S75" s="1"/>
    </row>
    <row r="76" spans="1:19" ht="17.25" thickTop="1" thickBot="1" x14ac:dyDescent="0.25">
      <c r="A76" s="113"/>
      <c r="B76" s="15"/>
      <c r="C76" s="78" t="s">
        <v>173</v>
      </c>
      <c r="D76" s="72"/>
      <c r="E76" s="73"/>
      <c r="F76" s="73">
        <f>SUM(F72:F75)*H76</f>
        <v>1809.8765064476745</v>
      </c>
      <c r="G76" s="59"/>
      <c r="H76" s="127">
        <f t="shared" si="9"/>
        <v>1.4999999999999999E-2</v>
      </c>
      <c r="I76" s="15"/>
      <c r="J76" s="105"/>
      <c r="K76" s="105"/>
      <c r="L76" s="105"/>
      <c r="M76" s="105"/>
      <c r="N76" s="105"/>
      <c r="O76" s="105"/>
      <c r="P76" s="105"/>
      <c r="Q76" s="106"/>
      <c r="R76" s="1"/>
      <c r="S76" s="1"/>
    </row>
    <row r="77" spans="1:19" ht="16.5" thickBot="1" x14ac:dyDescent="0.25">
      <c r="A77" s="113"/>
      <c r="B77" s="15"/>
      <c r="C77" s="70" t="s">
        <v>87</v>
      </c>
      <c r="D77" s="75"/>
      <c r="E77" s="76"/>
      <c r="F77" s="76">
        <f>F72+F73+F74+F75+F76</f>
        <v>122468.31026962597</v>
      </c>
      <c r="G77" s="60"/>
      <c r="I77" s="15"/>
      <c r="J77" s="105"/>
      <c r="K77" s="105"/>
      <c r="L77" s="105"/>
      <c r="M77" s="105"/>
      <c r="N77" s="105"/>
      <c r="O77" s="105"/>
      <c r="P77" s="105"/>
      <c r="Q77" s="106"/>
      <c r="R77" s="1"/>
      <c r="S77" s="1"/>
    </row>
    <row r="78" spans="1:19" x14ac:dyDescent="0.2">
      <c r="A78" s="113"/>
      <c r="B78" s="15"/>
      <c r="C78" s="15"/>
      <c r="D78" s="16"/>
      <c r="E78" s="14"/>
      <c r="F78" s="14"/>
      <c r="G78" s="14"/>
      <c r="H78" s="15"/>
      <c r="I78" s="15"/>
      <c r="J78" s="105"/>
      <c r="K78" s="105"/>
      <c r="L78" s="105"/>
      <c r="M78" s="105"/>
      <c r="N78" s="105"/>
      <c r="O78" s="105"/>
      <c r="P78" s="105"/>
      <c r="Q78" s="106"/>
      <c r="R78" s="1"/>
      <c r="S78" s="1"/>
    </row>
    <row r="79" spans="1:19" x14ac:dyDescent="0.2">
      <c r="A79" s="128"/>
      <c r="B79" s="15"/>
      <c r="C79" s="15"/>
      <c r="D79" s="16"/>
      <c r="E79" s="14"/>
      <c r="F79" s="14"/>
      <c r="G79" s="14"/>
      <c r="H79" s="15"/>
      <c r="I79" s="15"/>
      <c r="J79" s="105"/>
      <c r="K79" s="105"/>
      <c r="L79" s="105"/>
      <c r="M79" s="105"/>
      <c r="N79" s="105"/>
      <c r="O79" s="105"/>
      <c r="P79" s="105"/>
      <c r="Q79" s="106"/>
      <c r="R79" s="1"/>
      <c r="S79" s="1"/>
    </row>
    <row r="80" spans="1:19" x14ac:dyDescent="0.2">
      <c r="A80" s="129"/>
      <c r="B80" s="130"/>
      <c r="C80" s="130"/>
      <c r="D80" s="131"/>
      <c r="E80" s="132"/>
      <c r="F80" s="132"/>
      <c r="G80" s="132"/>
      <c r="H80" s="130"/>
      <c r="I80" s="130"/>
      <c r="J80" s="133"/>
      <c r="K80" s="133"/>
      <c r="L80" s="133"/>
      <c r="M80" s="133"/>
      <c r="N80" s="133"/>
      <c r="O80" s="133"/>
      <c r="P80" s="133"/>
      <c r="Q80" s="134"/>
      <c r="R80" s="1"/>
      <c r="S80" s="1"/>
    </row>
    <row r="81" spans="18:19" x14ac:dyDescent="0.2">
      <c r="R81" s="1"/>
      <c r="S81" s="1"/>
    </row>
    <row r="82" spans="18:19" x14ac:dyDescent="0.2">
      <c r="R82" s="1"/>
      <c r="S82" s="1"/>
    </row>
  </sheetData>
  <sortState ref="B38:C129">
    <sortCondition ref="B38:B129"/>
  </sortState>
  <mergeCells count="13">
    <mergeCell ref="A2:Q2"/>
    <mergeCell ref="B9:C9"/>
    <mergeCell ref="B10:C10"/>
    <mergeCell ref="B15:G16"/>
    <mergeCell ref="J13:L14"/>
    <mergeCell ref="J15:L16"/>
    <mergeCell ref="B11:C11"/>
    <mergeCell ref="B12:D12"/>
    <mergeCell ref="N45:P45"/>
    <mergeCell ref="N17:P17"/>
    <mergeCell ref="J43:L44"/>
    <mergeCell ref="J41:L42"/>
    <mergeCell ref="C43:G44"/>
  </mergeCells>
  <phoneticPr fontId="55" type="noConversion"/>
  <conditionalFormatting sqref="D10">
    <cfRule type="expression" dxfId="1" priority="7" stopIfTrue="1">
      <formula>$D$10&lt;&gt;SUM(#REF!)</formula>
    </cfRule>
  </conditionalFormatting>
  <conditionalFormatting sqref="D11">
    <cfRule type="expression" dxfId="0" priority="2" stopIfTrue="1">
      <formula>$D$10&lt;&gt;SUM(#REF!)</formula>
    </cfRule>
  </conditionalFormatting>
  <hyperlinks>
    <hyperlink ref="B10:C10" location="'BASE BID'!A1" display="Base bid"/>
    <hyperlink ref="B11" location="'HOURLY RATES'!A1" display="Hourly Rates"/>
  </hyperlinks>
  <printOptions horizontalCentered="1"/>
  <pageMargins left="0.43307086614173201" right="0.43307086614173201" top="0.39370078740157499" bottom="0.39370078740157499" header="0.196850393700787" footer="0.196850393700787"/>
  <pageSetup paperSize="9" scale="36" orientation="portrait" r:id="rId1"/>
  <headerFooter>
    <oddFooter>&amp;C&amp;P of &amp;N</oddFooter>
  </headerFooter>
  <rowBreaks count="1" manualBreakCount="1">
    <brk id="3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Y354"/>
  <sheetViews>
    <sheetView tabSelected="1" zoomScale="50" zoomScaleNormal="50" zoomScaleSheetLayoutView="40" workbookViewId="0">
      <pane ySplit="1" topLeftCell="A2" activePane="bottomLeft" state="frozen"/>
      <selection pane="bottomLeft" activeCell="A12" sqref="A12"/>
    </sheetView>
  </sheetViews>
  <sheetFormatPr defaultColWidth="8.88671875" defaultRowHeight="15.75" x14ac:dyDescent="0.2"/>
  <cols>
    <col min="1" max="1" width="5.33203125" style="6" customWidth="1"/>
    <col min="2" max="2" width="15.6640625" style="6" customWidth="1"/>
    <col min="3" max="3" width="16.44140625" style="6" customWidth="1"/>
    <col min="4" max="4" width="10.109375" style="6" customWidth="1"/>
    <col min="5" max="5" width="23.6640625" style="6" customWidth="1"/>
    <col min="6" max="6" width="70" style="8" customWidth="1"/>
    <col min="7" max="7" width="10.77734375" style="7" customWidth="1"/>
    <col min="8" max="8" width="10.21875" style="7" customWidth="1"/>
    <col min="9" max="9" width="13.44140625" style="7" customWidth="1"/>
    <col min="10" max="10" width="10" style="6" customWidth="1"/>
    <col min="11" max="11" width="12.109375" style="6" customWidth="1"/>
    <col min="12" max="12" width="13.21875" style="6" customWidth="1"/>
    <col min="13" max="13" width="12.109375" style="8" customWidth="1"/>
    <col min="14" max="14" width="11.44140625" style="8" customWidth="1"/>
    <col min="15" max="15" width="12.109375" style="8" customWidth="1"/>
    <col min="16" max="16" width="14" style="8" customWidth="1"/>
    <col min="17" max="17" width="15" style="8" customWidth="1"/>
    <col min="18" max="18" width="15.88671875" style="1" customWidth="1"/>
    <col min="19" max="19" width="13" style="1" customWidth="1"/>
    <col min="20" max="20" width="15.88671875" style="1" bestFit="1" customWidth="1"/>
    <col min="21" max="21" width="11.5546875" style="1" customWidth="1"/>
    <col min="22" max="22" width="9.77734375" style="1" bestFit="1" customWidth="1"/>
    <col min="23" max="23" width="10" style="1" bestFit="1" customWidth="1"/>
    <col min="24" max="24" width="10.5546875" style="252" customWidth="1"/>
    <col min="25" max="25" width="8.88671875" style="1"/>
    <col min="26" max="26" width="8.88671875" style="1" customWidth="1"/>
    <col min="27" max="16384" width="8.88671875" style="1"/>
  </cols>
  <sheetData>
    <row r="1" spans="1:25" s="5" customFormat="1" ht="48" thickBot="1" x14ac:dyDescent="0.25">
      <c r="A1" s="419" t="s">
        <v>2</v>
      </c>
      <c r="B1" s="420" t="s">
        <v>10</v>
      </c>
      <c r="C1" s="420" t="s">
        <v>15</v>
      </c>
      <c r="D1" s="420" t="s">
        <v>11</v>
      </c>
      <c r="E1" s="420" t="s">
        <v>49</v>
      </c>
      <c r="F1" s="421" t="s">
        <v>1</v>
      </c>
      <c r="G1" s="421" t="s">
        <v>3</v>
      </c>
      <c r="H1" s="421" t="s">
        <v>13</v>
      </c>
      <c r="I1" s="421" t="s">
        <v>12</v>
      </c>
      <c r="J1" s="420" t="s">
        <v>0</v>
      </c>
      <c r="K1" s="420" t="s">
        <v>30</v>
      </c>
      <c r="L1" s="420" t="s">
        <v>31</v>
      </c>
      <c r="M1" s="420" t="s">
        <v>48</v>
      </c>
      <c r="N1" s="420" t="s">
        <v>23</v>
      </c>
      <c r="O1" s="420" t="s">
        <v>14</v>
      </c>
      <c r="P1" s="420" t="s">
        <v>22</v>
      </c>
      <c r="Q1" s="420" t="s">
        <v>5</v>
      </c>
      <c r="R1" s="422" t="s">
        <v>88</v>
      </c>
      <c r="S1" s="4"/>
      <c r="T1" s="4"/>
      <c r="U1" s="4"/>
      <c r="V1" s="4"/>
      <c r="W1" s="4"/>
      <c r="X1" s="250"/>
      <c r="Y1" s="4"/>
    </row>
    <row r="2" spans="1:25" s="3" customFormat="1" ht="26.25" thickBot="1" x14ac:dyDescent="0.4">
      <c r="A2" s="423" t="s">
        <v>6</v>
      </c>
      <c r="B2" s="424"/>
      <c r="C2" s="424"/>
      <c r="D2" s="424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5"/>
      <c r="X2" s="251"/>
    </row>
    <row r="3" spans="1:25" ht="21" thickBot="1" x14ac:dyDescent="0.35">
      <c r="A3" s="173"/>
      <c r="B3" s="406" t="s">
        <v>248</v>
      </c>
      <c r="C3" s="406"/>
      <c r="D3" s="406"/>
      <c r="E3" s="406"/>
      <c r="F3" s="116"/>
      <c r="G3" s="14"/>
      <c r="H3" s="14"/>
      <c r="I3" s="14"/>
      <c r="J3" s="14"/>
      <c r="K3" s="14"/>
      <c r="L3" s="14"/>
      <c r="M3" s="14"/>
      <c r="N3" s="105"/>
      <c r="O3" s="105"/>
      <c r="P3" s="105"/>
      <c r="Q3" s="105"/>
      <c r="R3" s="174"/>
    </row>
    <row r="4" spans="1:25" ht="23.25" x14ac:dyDescent="0.3">
      <c r="A4" s="173"/>
      <c r="B4" s="91"/>
      <c r="C4" s="35"/>
      <c r="D4" s="137" t="s">
        <v>85</v>
      </c>
      <c r="E4" s="138">
        <f>Q308</f>
        <v>100708.2140036255</v>
      </c>
      <c r="F4" s="99"/>
      <c r="G4" s="50"/>
      <c r="H4" s="91"/>
      <c r="I4" s="102"/>
      <c r="J4" s="28" t="s">
        <v>7</v>
      </c>
      <c r="K4" s="85">
        <v>44218</v>
      </c>
      <c r="L4" s="103"/>
      <c r="M4" s="85"/>
      <c r="N4" s="92"/>
      <c r="O4" s="92"/>
      <c r="P4" s="92"/>
      <c r="Q4" s="99"/>
      <c r="R4" s="175"/>
    </row>
    <row r="5" spans="1:25" ht="20.25" x14ac:dyDescent="0.3">
      <c r="A5" s="173"/>
      <c r="B5" s="93"/>
      <c r="C5" s="36" t="s">
        <v>86</v>
      </c>
      <c r="D5" s="37">
        <v>9.5000000000000001E-2</v>
      </c>
      <c r="E5" s="38">
        <f>P308*D5</f>
        <v>3637.0377822744335</v>
      </c>
      <c r="F5" s="39" t="s">
        <v>221</v>
      </c>
      <c r="G5" s="50"/>
      <c r="H5" s="93"/>
      <c r="I5" s="97"/>
      <c r="J5" s="30" t="s">
        <v>8</v>
      </c>
      <c r="K5" s="86"/>
      <c r="L5" s="29"/>
      <c r="M5" s="86"/>
      <c r="N5" s="90"/>
      <c r="O5" s="90"/>
      <c r="P5" s="90"/>
      <c r="Q5" s="100"/>
      <c r="R5" s="175"/>
    </row>
    <row r="6" spans="1:25" ht="20.25" x14ac:dyDescent="0.3">
      <c r="A6" s="173"/>
      <c r="B6" s="93"/>
      <c r="C6" s="36" t="s">
        <v>264</v>
      </c>
      <c r="D6" s="37">
        <v>0.1</v>
      </c>
      <c r="E6" s="38">
        <f>P308*D6</f>
        <v>3828.4608234467723</v>
      </c>
      <c r="F6" s="39" t="s">
        <v>84</v>
      </c>
      <c r="G6" s="50"/>
      <c r="H6" s="93"/>
      <c r="I6" s="97"/>
      <c r="J6" s="30" t="s">
        <v>9</v>
      </c>
      <c r="K6" s="87"/>
      <c r="L6" s="29"/>
      <c r="M6" s="87"/>
      <c r="N6" s="90"/>
      <c r="O6" s="90"/>
      <c r="P6" s="90"/>
      <c r="Q6" s="100"/>
      <c r="R6" s="175"/>
    </row>
    <row r="7" spans="1:25" ht="20.25" x14ac:dyDescent="0.3">
      <c r="A7" s="173"/>
      <c r="B7" s="93"/>
      <c r="C7" s="36" t="s">
        <v>263</v>
      </c>
      <c r="D7" s="37">
        <v>0.2</v>
      </c>
      <c r="E7" s="40">
        <f>N308*D7</f>
        <v>12484.721153831561</v>
      </c>
      <c r="F7" s="39" t="s">
        <v>84</v>
      </c>
      <c r="G7" s="50"/>
      <c r="H7" s="93"/>
      <c r="I7" s="97"/>
      <c r="J7" s="30" t="s">
        <v>62</v>
      </c>
      <c r="K7" s="88"/>
      <c r="L7" s="29"/>
      <c r="M7" s="88"/>
      <c r="N7" s="90"/>
      <c r="O7" s="90"/>
      <c r="P7" s="90"/>
      <c r="Q7" s="100"/>
      <c r="R7" s="175"/>
    </row>
    <row r="8" spans="1:25" ht="21" thickBot="1" x14ac:dyDescent="0.35">
      <c r="A8" s="173"/>
      <c r="B8" s="93"/>
      <c r="C8" s="48" t="s">
        <v>173</v>
      </c>
      <c r="D8" s="41">
        <v>1.4999999999999999E-2</v>
      </c>
      <c r="E8" s="42">
        <f>(E4+E5+E6+E7)*D8</f>
        <v>1809.876506447674</v>
      </c>
      <c r="F8" s="39" t="s">
        <v>174</v>
      </c>
      <c r="G8" s="50"/>
      <c r="H8" s="93"/>
      <c r="I8" s="97"/>
      <c r="J8" s="30"/>
      <c r="K8" s="88"/>
      <c r="L8" s="29"/>
      <c r="M8" s="301"/>
      <c r="N8" s="90"/>
      <c r="O8" s="90"/>
      <c r="P8" s="90"/>
      <c r="Q8" s="100"/>
      <c r="R8" s="175"/>
    </row>
    <row r="9" spans="1:25" ht="27.75" thickTop="1" thickBot="1" x14ac:dyDescent="0.35">
      <c r="A9" s="173"/>
      <c r="B9" s="94"/>
      <c r="C9" s="43"/>
      <c r="D9" s="44" t="s">
        <v>81</v>
      </c>
      <c r="E9" s="45">
        <f>E4+E5+E6+E7+E8</f>
        <v>122468.31026962594</v>
      </c>
      <c r="F9" s="101"/>
      <c r="G9" s="50"/>
      <c r="H9" s="93"/>
      <c r="I9" s="97"/>
      <c r="J9" s="31" t="s">
        <v>150</v>
      </c>
      <c r="K9" s="362">
        <v>650</v>
      </c>
      <c r="L9" s="29"/>
      <c r="M9" s="301"/>
      <c r="N9" s="90"/>
      <c r="O9" s="90"/>
      <c r="P9" s="90"/>
      <c r="Q9" s="100"/>
      <c r="R9" s="175"/>
    </row>
    <row r="10" spans="1:25" ht="19.5" thickBot="1" x14ac:dyDescent="0.35">
      <c r="A10" s="173"/>
      <c r="B10" s="14"/>
      <c r="C10" s="14"/>
      <c r="D10" s="14"/>
      <c r="E10" s="14"/>
      <c r="F10" s="14"/>
      <c r="G10" s="50"/>
      <c r="H10" s="93"/>
      <c r="I10" s="97"/>
      <c r="J10" s="31" t="s">
        <v>151</v>
      </c>
      <c r="K10" s="307">
        <v>650</v>
      </c>
      <c r="L10" s="29"/>
      <c r="M10" s="301"/>
      <c r="N10" s="90"/>
      <c r="O10" s="90"/>
      <c r="P10" s="90"/>
      <c r="Q10" s="100"/>
      <c r="R10" s="175"/>
    </row>
    <row r="11" spans="1:25" ht="18.75" x14ac:dyDescent="0.3">
      <c r="A11" s="173"/>
      <c r="B11" s="91"/>
      <c r="C11" s="47" t="s">
        <v>79</v>
      </c>
      <c r="D11" s="139">
        <v>0</v>
      </c>
      <c r="E11" s="142" t="s">
        <v>113</v>
      </c>
      <c r="F11" s="99"/>
      <c r="G11" s="50"/>
      <c r="H11" s="93"/>
      <c r="I11" s="97"/>
      <c r="J11" s="32" t="s">
        <v>77</v>
      </c>
      <c r="K11" s="307"/>
      <c r="L11" s="29"/>
      <c r="M11" s="301"/>
      <c r="N11" s="90"/>
      <c r="O11" s="90"/>
      <c r="P11" s="90"/>
      <c r="Q11" s="100"/>
      <c r="R11" s="175"/>
    </row>
    <row r="12" spans="1:25" ht="18.75" x14ac:dyDescent="0.3">
      <c r="A12" s="173"/>
      <c r="B12" s="93"/>
      <c r="C12" s="46" t="s">
        <v>80</v>
      </c>
      <c r="D12" s="140">
        <v>0.05</v>
      </c>
      <c r="E12" s="143" t="s">
        <v>226</v>
      </c>
      <c r="F12" s="100"/>
      <c r="G12" s="50"/>
      <c r="H12" s="93"/>
      <c r="I12" s="97"/>
      <c r="J12" s="32" t="s">
        <v>78</v>
      </c>
      <c r="K12" s="307">
        <v>1</v>
      </c>
      <c r="L12" s="29"/>
      <c r="M12" s="301"/>
      <c r="N12" s="90"/>
      <c r="O12" s="90"/>
      <c r="P12" s="90"/>
      <c r="Q12" s="100"/>
      <c r="R12" s="175"/>
    </row>
    <row r="13" spans="1:25" ht="19.5" thickBot="1" x14ac:dyDescent="0.35">
      <c r="A13" s="173"/>
      <c r="B13" s="49" t="s">
        <v>222</v>
      </c>
      <c r="C13" s="96"/>
      <c r="D13" s="96"/>
      <c r="E13" s="98"/>
      <c r="F13" s="101"/>
      <c r="G13" s="50"/>
      <c r="H13" s="93"/>
      <c r="I13" s="97"/>
      <c r="J13" s="31" t="s">
        <v>153</v>
      </c>
      <c r="K13" s="307"/>
      <c r="L13" s="29"/>
      <c r="M13" s="301"/>
      <c r="N13" s="90"/>
      <c r="O13" s="90"/>
      <c r="P13" s="90"/>
      <c r="Q13" s="100"/>
      <c r="R13" s="175"/>
    </row>
    <row r="14" spans="1:25" ht="21" thickBot="1" x14ac:dyDescent="0.35">
      <c r="A14" s="173"/>
      <c r="B14" s="12"/>
      <c r="C14" s="12"/>
      <c r="D14" s="15"/>
      <c r="E14" s="15"/>
      <c r="F14" s="116"/>
      <c r="G14" s="50"/>
      <c r="H14" s="93"/>
      <c r="I14" s="97"/>
      <c r="J14" s="31" t="s">
        <v>154</v>
      </c>
      <c r="K14" s="307"/>
      <c r="L14" s="29"/>
      <c r="M14" s="301"/>
      <c r="N14" s="90"/>
      <c r="O14" s="90"/>
      <c r="P14" s="90"/>
      <c r="Q14" s="100"/>
      <c r="R14" s="175"/>
    </row>
    <row r="15" spans="1:25" ht="21" thickBot="1" x14ac:dyDescent="0.35">
      <c r="A15" s="173"/>
      <c r="B15" s="111" t="s">
        <v>206</v>
      </c>
      <c r="C15" s="108"/>
      <c r="D15" s="109"/>
      <c r="E15" s="109"/>
      <c r="F15" s="110"/>
      <c r="G15" s="50"/>
      <c r="H15" s="94"/>
      <c r="I15" s="104"/>
      <c r="J15" s="34"/>
      <c r="K15" s="89"/>
      <c r="L15" s="33"/>
      <c r="M15" s="95"/>
      <c r="N15" s="95"/>
      <c r="O15" s="95"/>
      <c r="P15" s="95"/>
      <c r="Q15" s="101"/>
      <c r="R15" s="175"/>
    </row>
    <row r="16" spans="1:25" ht="16.5" customHeight="1" thickBot="1" x14ac:dyDescent="0.25">
      <c r="A16" s="173"/>
      <c r="B16" s="15"/>
      <c r="C16" s="15"/>
      <c r="D16" s="15"/>
      <c r="E16" s="405"/>
      <c r="F16" s="40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76"/>
      <c r="S16" s="7"/>
    </row>
    <row r="17" spans="1:25" s="5" customFormat="1" ht="48" thickBot="1" x14ac:dyDescent="0.25">
      <c r="A17" s="419" t="s">
        <v>2</v>
      </c>
      <c r="B17" s="420" t="s">
        <v>10</v>
      </c>
      <c r="C17" s="420" t="s">
        <v>15</v>
      </c>
      <c r="D17" s="420" t="s">
        <v>11</v>
      </c>
      <c r="E17" s="420" t="s">
        <v>49</v>
      </c>
      <c r="F17" s="421" t="s">
        <v>1</v>
      </c>
      <c r="G17" s="421" t="s">
        <v>3</v>
      </c>
      <c r="H17" s="421" t="s">
        <v>13</v>
      </c>
      <c r="I17" s="421" t="s">
        <v>12</v>
      </c>
      <c r="J17" s="420" t="s">
        <v>0</v>
      </c>
      <c r="K17" s="420" t="s">
        <v>30</v>
      </c>
      <c r="L17" s="420" t="s">
        <v>31</v>
      </c>
      <c r="M17" s="420" t="s">
        <v>48</v>
      </c>
      <c r="N17" s="420" t="s">
        <v>23</v>
      </c>
      <c r="O17" s="420" t="s">
        <v>14</v>
      </c>
      <c r="P17" s="420" t="s">
        <v>22</v>
      </c>
      <c r="Q17" s="421" t="s">
        <v>5</v>
      </c>
      <c r="R17" s="426" t="s">
        <v>88</v>
      </c>
      <c r="S17" s="7"/>
      <c r="T17" s="4"/>
      <c r="U17" s="4"/>
      <c r="V17" s="4"/>
      <c r="W17" s="4"/>
      <c r="X17" s="250"/>
      <c r="Y17" s="4"/>
    </row>
    <row r="18" spans="1:25" s="11" customFormat="1" ht="20.100000000000001" customHeight="1" x14ac:dyDescent="0.2">
      <c r="A18" s="427"/>
      <c r="B18" s="428"/>
      <c r="C18" s="428"/>
      <c r="D18" s="428" t="s">
        <v>20</v>
      </c>
      <c r="E18" s="428"/>
      <c r="F18" s="429" t="s">
        <v>152</v>
      </c>
      <c r="G18" s="430"/>
      <c r="H18" s="431"/>
      <c r="I18" s="431"/>
      <c r="J18" s="431"/>
      <c r="K18" s="431"/>
      <c r="L18" s="431"/>
      <c r="M18" s="431"/>
      <c r="N18" s="431"/>
      <c r="O18" s="431"/>
      <c r="P18" s="431"/>
      <c r="Q18" s="431"/>
      <c r="R18" s="432">
        <f>SUM(Q19:Q66)</f>
        <v>15429.762842316035</v>
      </c>
      <c r="S18" s="7"/>
      <c r="X18" s="210"/>
    </row>
    <row r="19" spans="1:25" s="11" customFormat="1" x14ac:dyDescent="0.2">
      <c r="A19" s="189"/>
      <c r="B19" s="190"/>
      <c r="C19" s="190"/>
      <c r="D19" s="190"/>
      <c r="E19" s="190"/>
      <c r="F19" s="177"/>
      <c r="G19" s="178"/>
      <c r="H19" s="179"/>
      <c r="I19" s="180"/>
      <c r="J19" s="181"/>
      <c r="K19" s="182"/>
      <c r="L19" s="181"/>
      <c r="M19" s="183"/>
      <c r="N19" s="184"/>
      <c r="O19" s="185"/>
      <c r="P19" s="186"/>
      <c r="Q19" s="187"/>
      <c r="R19" s="188"/>
      <c r="S19" s="7"/>
      <c r="X19" s="210"/>
    </row>
    <row r="20" spans="1:25" s="11" customFormat="1" x14ac:dyDescent="0.2">
      <c r="A20" s="189"/>
      <c r="B20" s="190"/>
      <c r="C20" s="190"/>
      <c r="D20" s="190"/>
      <c r="E20" s="190"/>
      <c r="F20" s="191" t="s">
        <v>92</v>
      </c>
      <c r="G20" s="178"/>
      <c r="H20" s="179"/>
      <c r="I20" s="249"/>
      <c r="J20" s="181"/>
      <c r="K20" s="182"/>
      <c r="L20" s="192"/>
      <c r="M20" s="183"/>
      <c r="N20" s="184"/>
      <c r="O20" s="185"/>
      <c r="P20" s="186"/>
      <c r="Q20" s="187"/>
      <c r="R20" s="188"/>
      <c r="S20" s="7"/>
      <c r="X20" s="210"/>
    </row>
    <row r="21" spans="1:25" s="11" customFormat="1" x14ac:dyDescent="0.2">
      <c r="A21" s="193">
        <f>IF(J21&lt;&gt;"",1+MAX($A$20:A20),"")</f>
        <v>1</v>
      </c>
      <c r="B21" s="190"/>
      <c r="C21" s="190"/>
      <c r="D21" s="190" t="s">
        <v>20</v>
      </c>
      <c r="E21" s="190" t="s">
        <v>181</v>
      </c>
      <c r="F21" s="177" t="s">
        <v>245</v>
      </c>
      <c r="G21" s="247">
        <v>1</v>
      </c>
      <c r="H21" s="194">
        <f>IF(VLOOKUP(J21,'HOURLY RATES'!B$116:C$124,2,0)=0,$J$3,VLOOKUP(J21,'HOURLY RATES'!B$116:C$124,2,0))</f>
        <v>0</v>
      </c>
      <c r="I21" s="249">
        <f t="shared" ref="I21:I31" si="0">(G21*(1+H21))</f>
        <v>1</v>
      </c>
      <c r="J21" s="181" t="s">
        <v>18</v>
      </c>
      <c r="K21" s="182"/>
      <c r="L21" s="192">
        <f t="shared" ref="L21:L31" si="1">K21*I21</f>
        <v>0</v>
      </c>
      <c r="M21" s="183">
        <f>IF(VLOOKUP(E21,'HOURLY RATES'!C$6:D$105,2,0)=0,$E$3,VLOOKUP(E21,'HOURLY RATES'!C$6:D$105,2,0))</f>
        <v>55</v>
      </c>
      <c r="N21" s="195">
        <f t="shared" ref="N21:N31" si="2">M21*L21</f>
        <v>0</v>
      </c>
      <c r="O21" s="185"/>
      <c r="P21" s="207"/>
      <c r="Q21" s="187">
        <f t="shared" ref="Q21:Q31" si="3">P21+N21</f>
        <v>0</v>
      </c>
      <c r="R21" s="188"/>
      <c r="S21" s="7"/>
      <c r="X21" s="210"/>
    </row>
    <row r="22" spans="1:25" s="11" customFormat="1" x14ac:dyDescent="0.2">
      <c r="A22" s="193">
        <f>IF(J22&lt;&gt;"",1+MAX($A$20:A21),"")</f>
        <v>2</v>
      </c>
      <c r="B22" s="190"/>
      <c r="C22" s="190"/>
      <c r="D22" s="190" t="s">
        <v>20</v>
      </c>
      <c r="E22" s="190" t="s">
        <v>181</v>
      </c>
      <c r="F22" s="177" t="s">
        <v>147</v>
      </c>
      <c r="G22" s="247">
        <v>1</v>
      </c>
      <c r="H22" s="194">
        <f>IF(VLOOKUP(J22,'HOURLY RATES'!B$116:C$124,2,0)=0,$J$3,VLOOKUP(J22,'HOURLY RATES'!B$116:C$124,2,0))</f>
        <v>0</v>
      </c>
      <c r="I22" s="249">
        <f t="shared" si="0"/>
        <v>1</v>
      </c>
      <c r="J22" s="181" t="s">
        <v>18</v>
      </c>
      <c r="K22" s="182"/>
      <c r="L22" s="192">
        <f t="shared" si="1"/>
        <v>0</v>
      </c>
      <c r="M22" s="183">
        <f>IF(VLOOKUP(E22,'HOURLY RATES'!C$6:D$105,2,0)=0,$E$3,VLOOKUP(E22,'HOURLY RATES'!C$6:D$105,2,0))</f>
        <v>55</v>
      </c>
      <c r="N22" s="195">
        <f t="shared" si="2"/>
        <v>0</v>
      </c>
      <c r="O22" s="185"/>
      <c r="P22" s="186"/>
      <c r="Q22" s="187">
        <f t="shared" si="3"/>
        <v>0</v>
      </c>
      <c r="R22" s="188"/>
      <c r="S22" s="7"/>
      <c r="X22" s="210"/>
    </row>
    <row r="23" spans="1:25" s="11" customFormat="1" x14ac:dyDescent="0.2">
      <c r="A23" s="193">
        <f>IF(J23&lt;&gt;"",1+MAX($A$20:A22),"")</f>
        <v>3</v>
      </c>
      <c r="B23" s="190"/>
      <c r="C23" s="190"/>
      <c r="D23" s="190" t="s">
        <v>20</v>
      </c>
      <c r="E23" s="190" t="s">
        <v>181</v>
      </c>
      <c r="F23" s="177" t="s">
        <v>89</v>
      </c>
      <c r="G23" s="247">
        <v>1</v>
      </c>
      <c r="H23" s="194">
        <f>IF(VLOOKUP(J23,'HOURLY RATES'!B$116:C$124,2,0)=0,$J$3,VLOOKUP(J23,'HOURLY RATES'!B$116:C$124,2,0))</f>
        <v>0</v>
      </c>
      <c r="I23" s="249">
        <f t="shared" si="0"/>
        <v>1</v>
      </c>
      <c r="J23" s="181" t="s">
        <v>18</v>
      </c>
      <c r="K23" s="182"/>
      <c r="L23" s="192">
        <f t="shared" si="1"/>
        <v>0</v>
      </c>
      <c r="M23" s="183">
        <f>IF(VLOOKUP(E23,'HOURLY RATES'!C$6:D$105,2,0)=0,$E$3,VLOOKUP(E23,'HOURLY RATES'!C$6:D$105,2,0))</f>
        <v>55</v>
      </c>
      <c r="N23" s="195">
        <f t="shared" si="2"/>
        <v>0</v>
      </c>
      <c r="O23" s="196"/>
      <c r="P23" s="186"/>
      <c r="Q23" s="187">
        <f t="shared" si="3"/>
        <v>0</v>
      </c>
      <c r="R23" s="188"/>
      <c r="S23" s="7"/>
      <c r="X23" s="210"/>
    </row>
    <row r="24" spans="1:25" s="11" customFormat="1" x14ac:dyDescent="0.2">
      <c r="A24" s="193">
        <f>IF(J24&lt;&gt;"",1+MAX($A$20:A23),"")</f>
        <v>4</v>
      </c>
      <c r="B24" s="190"/>
      <c r="C24" s="190"/>
      <c r="D24" s="190" t="s">
        <v>20</v>
      </c>
      <c r="E24" s="190" t="s">
        <v>181</v>
      </c>
      <c r="F24" s="177" t="s">
        <v>148</v>
      </c>
      <c r="G24" s="247">
        <v>1</v>
      </c>
      <c r="H24" s="194">
        <f>IF(VLOOKUP(J24,'HOURLY RATES'!B$116:C$124,2,0)=0,$J$3,VLOOKUP(J24,'HOURLY RATES'!B$116:C$124,2,0))</f>
        <v>0</v>
      </c>
      <c r="I24" s="249">
        <f t="shared" si="0"/>
        <v>1</v>
      </c>
      <c r="J24" s="181" t="s">
        <v>18</v>
      </c>
      <c r="K24" s="182"/>
      <c r="L24" s="192">
        <f t="shared" si="1"/>
        <v>0</v>
      </c>
      <c r="M24" s="183">
        <f>IF(VLOOKUP(E24,'HOURLY RATES'!C$6:D$105,2,0)=0,$E$3,VLOOKUP(E24,'HOURLY RATES'!C$6:D$105,2,0))</f>
        <v>55</v>
      </c>
      <c r="N24" s="195">
        <f t="shared" si="2"/>
        <v>0</v>
      </c>
      <c r="O24" s="185"/>
      <c r="P24" s="186"/>
      <c r="Q24" s="187">
        <f t="shared" si="3"/>
        <v>0</v>
      </c>
      <c r="R24" s="188"/>
      <c r="S24" s="7"/>
      <c r="X24" s="210"/>
    </row>
    <row r="25" spans="1:25" s="11" customFormat="1" x14ac:dyDescent="0.2">
      <c r="A25" s="193">
        <f>IF(J25&lt;&gt;"",1+MAX($A$20:A24),"")</f>
        <v>5</v>
      </c>
      <c r="B25" s="190"/>
      <c r="C25" s="190"/>
      <c r="D25" s="190" t="s">
        <v>20</v>
      </c>
      <c r="E25" s="190" t="s">
        <v>181</v>
      </c>
      <c r="F25" s="177" t="s">
        <v>227</v>
      </c>
      <c r="G25" s="247">
        <v>1</v>
      </c>
      <c r="H25" s="194">
        <f>IF(VLOOKUP(J25,'HOURLY RATES'!B$116:C$124,2,0)=0,$J$3,VLOOKUP(J25,'HOURLY RATES'!B$116:C$124,2,0))</f>
        <v>0</v>
      </c>
      <c r="I25" s="249">
        <f t="shared" si="0"/>
        <v>1</v>
      </c>
      <c r="J25" s="181" t="s">
        <v>18</v>
      </c>
      <c r="K25" s="182"/>
      <c r="L25" s="192">
        <f t="shared" si="1"/>
        <v>0</v>
      </c>
      <c r="M25" s="183">
        <f>IF(VLOOKUP(E25,'HOURLY RATES'!C$6:D$105,2,0)=0,$E$3,VLOOKUP(E25,'HOURLY RATES'!C$6:D$105,2,0))</f>
        <v>55</v>
      </c>
      <c r="N25" s="195">
        <f t="shared" si="2"/>
        <v>0</v>
      </c>
      <c r="O25" s="185"/>
      <c r="P25" s="186"/>
      <c r="Q25" s="187">
        <f t="shared" si="3"/>
        <v>0</v>
      </c>
      <c r="R25" s="188"/>
      <c r="S25" s="7"/>
      <c r="X25" s="210"/>
    </row>
    <row r="26" spans="1:25" s="11" customFormat="1" x14ac:dyDescent="0.2">
      <c r="A26" s="193">
        <f>IF(J26&lt;&gt;"",1+MAX($A$20:A25),"")</f>
        <v>6</v>
      </c>
      <c r="B26" s="190"/>
      <c r="C26" s="190"/>
      <c r="D26" s="190" t="s">
        <v>20</v>
      </c>
      <c r="E26" s="190" t="s">
        <v>181</v>
      </c>
      <c r="F26" s="177" t="s">
        <v>90</v>
      </c>
      <c r="G26" s="247">
        <v>1</v>
      </c>
      <c r="H26" s="194">
        <f>IF(VLOOKUP(J26,'HOURLY RATES'!B$116:C$124,2,0)=0,$J$3,VLOOKUP(J26,'HOURLY RATES'!B$116:C$124,2,0))</f>
        <v>0</v>
      </c>
      <c r="I26" s="249">
        <f t="shared" si="0"/>
        <v>1</v>
      </c>
      <c r="J26" s="181" t="s">
        <v>18</v>
      </c>
      <c r="K26" s="182"/>
      <c r="L26" s="192">
        <f t="shared" si="1"/>
        <v>0</v>
      </c>
      <c r="M26" s="183">
        <f>IF(VLOOKUP(E26,'HOURLY RATES'!C$6:D$105,2,0)=0,$E$3,VLOOKUP(E26,'HOURLY RATES'!C$6:D$105,2,0))</f>
        <v>55</v>
      </c>
      <c r="N26" s="195">
        <f t="shared" si="2"/>
        <v>0</v>
      </c>
      <c r="O26" s="185"/>
      <c r="P26" s="186"/>
      <c r="Q26" s="187">
        <f t="shared" si="3"/>
        <v>0</v>
      </c>
      <c r="R26" s="188"/>
      <c r="S26" s="7"/>
      <c r="X26" s="210"/>
    </row>
    <row r="27" spans="1:25" s="11" customFormat="1" x14ac:dyDescent="0.2">
      <c r="A27" s="193">
        <f>IF(J27&lt;&gt;"",1+MAX($A$20:A26),"")</f>
        <v>7</v>
      </c>
      <c r="B27" s="190"/>
      <c r="C27" s="190"/>
      <c r="D27" s="190" t="s">
        <v>20</v>
      </c>
      <c r="E27" s="190" t="s">
        <v>181</v>
      </c>
      <c r="F27" s="177" t="s">
        <v>250</v>
      </c>
      <c r="G27" s="247">
        <v>1</v>
      </c>
      <c r="H27" s="194">
        <f>IF(VLOOKUP(J27,'HOURLY RATES'!B$116:C$124,2,0)=0,$J$3,VLOOKUP(J27,'HOURLY RATES'!B$116:C$124,2,0))</f>
        <v>0</v>
      </c>
      <c r="I27" s="249">
        <f t="shared" si="0"/>
        <v>1</v>
      </c>
      <c r="J27" s="181" t="s">
        <v>18</v>
      </c>
      <c r="K27" s="337">
        <v>15.505172938419909</v>
      </c>
      <c r="L27" s="192">
        <f t="shared" si="1"/>
        <v>15.505172938419909</v>
      </c>
      <c r="M27" s="183">
        <f>IF(VLOOKUP(E27,'HOURLY RATES'!C$6:D$105,2,0)=0,$E$3,VLOOKUP(E27,'HOURLY RATES'!C$6:D$105,2,0))</f>
        <v>55</v>
      </c>
      <c r="N27" s="195">
        <f t="shared" si="2"/>
        <v>852.78451161309499</v>
      </c>
      <c r="O27" s="185"/>
      <c r="P27" s="186"/>
      <c r="Q27" s="187">
        <f t="shared" si="3"/>
        <v>852.78451161309499</v>
      </c>
      <c r="R27" s="188"/>
      <c r="X27" s="210"/>
    </row>
    <row r="28" spans="1:25" s="11" customFormat="1" x14ac:dyDescent="0.2">
      <c r="A28" s="193">
        <f>IF(J28&lt;&gt;"",1+MAX($A$20:A27),"")</f>
        <v>8</v>
      </c>
      <c r="B28" s="190"/>
      <c r="C28" s="190"/>
      <c r="D28" s="190" t="s">
        <v>20</v>
      </c>
      <c r="E28" s="190" t="s">
        <v>181</v>
      </c>
      <c r="F28" s="177" t="s">
        <v>130</v>
      </c>
      <c r="G28" s="247">
        <v>1</v>
      </c>
      <c r="H28" s="194">
        <f>IF(VLOOKUP(J28,'HOURLY RATES'!B$116:C$124,2,0)=0,$J$3,VLOOKUP(J28,'HOURLY RATES'!B$116:C$124,2,0))</f>
        <v>0</v>
      </c>
      <c r="I28" s="249">
        <f t="shared" si="0"/>
        <v>1</v>
      </c>
      <c r="J28" s="181" t="s">
        <v>18</v>
      </c>
      <c r="K28" s="340"/>
      <c r="L28" s="192">
        <f t="shared" si="1"/>
        <v>0</v>
      </c>
      <c r="M28" s="183">
        <f>IF(VLOOKUP(E28,'HOURLY RATES'!C$6:D$105,2,0)=0,$E$3,VLOOKUP(E28,'HOURLY RATES'!C$6:D$105,2,0))</f>
        <v>55</v>
      </c>
      <c r="N28" s="195">
        <f t="shared" si="2"/>
        <v>0</v>
      </c>
      <c r="O28" s="196"/>
      <c r="P28" s="186"/>
      <c r="Q28" s="187">
        <f t="shared" si="3"/>
        <v>0</v>
      </c>
      <c r="R28" s="188"/>
      <c r="X28" s="210"/>
    </row>
    <row r="29" spans="1:25" s="11" customFormat="1" x14ac:dyDescent="0.2">
      <c r="A29" s="193">
        <f>IF(J29&lt;&gt;"",1+MAX($A$20:A28),"")</f>
        <v>9</v>
      </c>
      <c r="B29" s="190"/>
      <c r="C29" s="190"/>
      <c r="D29" s="190" t="s">
        <v>20</v>
      </c>
      <c r="E29" s="190" t="s">
        <v>181</v>
      </c>
      <c r="F29" s="177" t="s">
        <v>91</v>
      </c>
      <c r="G29" s="247">
        <v>1</v>
      </c>
      <c r="H29" s="194">
        <f>IF(VLOOKUP(J29,'HOURLY RATES'!B$116:C$124,2,0)=0,$J$3,VLOOKUP(J29,'HOURLY RATES'!B$116:C$124,2,0))</f>
        <v>0</v>
      </c>
      <c r="I29" s="249">
        <f t="shared" si="0"/>
        <v>1</v>
      </c>
      <c r="J29" s="181" t="s">
        <v>18</v>
      </c>
      <c r="K29" s="340"/>
      <c r="L29" s="192">
        <f t="shared" si="1"/>
        <v>0</v>
      </c>
      <c r="M29" s="183">
        <f>IF(VLOOKUP(E29,'HOURLY RATES'!C$6:D$105,2,0)=0,$E$3,VLOOKUP(E29,'HOURLY RATES'!C$6:D$105,2,0))</f>
        <v>55</v>
      </c>
      <c r="N29" s="195">
        <f t="shared" si="2"/>
        <v>0</v>
      </c>
      <c r="O29" s="185"/>
      <c r="P29" s="186"/>
      <c r="Q29" s="187">
        <f t="shared" si="3"/>
        <v>0</v>
      </c>
      <c r="R29" s="188"/>
      <c r="X29" s="210"/>
    </row>
    <row r="30" spans="1:25" s="11" customFormat="1" x14ac:dyDescent="0.2">
      <c r="A30" s="193">
        <f>IF(J30&lt;&gt;"",1+MAX($A$20:A29),"")</f>
        <v>10</v>
      </c>
      <c r="B30" s="190"/>
      <c r="C30" s="190"/>
      <c r="D30" s="190" t="s">
        <v>20</v>
      </c>
      <c r="E30" s="190" t="s">
        <v>181</v>
      </c>
      <c r="F30" s="177" t="s">
        <v>149</v>
      </c>
      <c r="G30" s="247">
        <v>1</v>
      </c>
      <c r="H30" s="194">
        <f>IF(VLOOKUP(J30,'HOURLY RATES'!B$116:C$124,2,0)=0,$J$3,VLOOKUP(J30,'HOURLY RATES'!B$116:C$124,2,0))</f>
        <v>0</v>
      </c>
      <c r="I30" s="249">
        <f t="shared" si="0"/>
        <v>1</v>
      </c>
      <c r="J30" s="181" t="s">
        <v>18</v>
      </c>
      <c r="K30" s="337"/>
      <c r="L30" s="192">
        <f t="shared" si="1"/>
        <v>0</v>
      </c>
      <c r="M30" s="183">
        <f>IF(VLOOKUP(E30,'HOURLY RATES'!C$6:D$105,2,0)=0,$E$3,VLOOKUP(E30,'HOURLY RATES'!C$6:D$105,2,0))</f>
        <v>55</v>
      </c>
      <c r="N30" s="195">
        <f t="shared" si="2"/>
        <v>0</v>
      </c>
      <c r="O30" s="196"/>
      <c r="P30" s="186"/>
      <c r="Q30" s="187">
        <f t="shared" si="3"/>
        <v>0</v>
      </c>
      <c r="R30" s="188"/>
      <c r="X30" s="210"/>
    </row>
    <row r="31" spans="1:25" s="11" customFormat="1" x14ac:dyDescent="0.2">
      <c r="A31" s="193">
        <f>IF(J31&lt;&gt;"",1+MAX($A$20:A30),"")</f>
        <v>11</v>
      </c>
      <c r="B31" s="190"/>
      <c r="C31" s="190"/>
      <c r="D31" s="190" t="s">
        <v>20</v>
      </c>
      <c r="E31" s="190" t="s">
        <v>181</v>
      </c>
      <c r="F31" s="177" t="s">
        <v>441</v>
      </c>
      <c r="G31" s="247">
        <v>1</v>
      </c>
      <c r="H31" s="194">
        <f>IF(VLOOKUP(J31,'HOURLY RATES'!B$116:C$124,2,0)=0,$J$3,VLOOKUP(J31,'HOURLY RATES'!B$116:C$124,2,0))</f>
        <v>0</v>
      </c>
      <c r="I31" s="249">
        <f t="shared" si="0"/>
        <v>1</v>
      </c>
      <c r="J31" s="181" t="s">
        <v>18</v>
      </c>
      <c r="K31" s="337">
        <v>27.109090909090909</v>
      </c>
      <c r="L31" s="192">
        <f t="shared" si="1"/>
        <v>27.109090909090909</v>
      </c>
      <c r="M31" s="183">
        <f>IF(VLOOKUP(E31,'HOURLY RATES'!C$6:D$105,2,0)=0,$E$3,VLOOKUP(E31,'HOURLY RATES'!C$6:D$105,2,0))</f>
        <v>55</v>
      </c>
      <c r="N31" s="195">
        <f t="shared" si="2"/>
        <v>1491</v>
      </c>
      <c r="O31" s="196"/>
      <c r="P31" s="186"/>
      <c r="Q31" s="187">
        <f t="shared" si="3"/>
        <v>1491</v>
      </c>
      <c r="R31" s="188"/>
      <c r="X31" s="210"/>
    </row>
    <row r="32" spans="1:25" s="11" customFormat="1" x14ac:dyDescent="0.2">
      <c r="A32" s="193" t="str">
        <f>IF(J32&lt;&gt;"",1+MAX($A$20:A31),"")</f>
        <v/>
      </c>
      <c r="B32" s="190"/>
      <c r="C32" s="190"/>
      <c r="D32" s="190"/>
      <c r="E32" s="190"/>
      <c r="F32" s="177"/>
      <c r="G32" s="247"/>
      <c r="H32" s="194"/>
      <c r="I32" s="249"/>
      <c r="J32" s="181"/>
      <c r="K32" s="337"/>
      <c r="L32" s="181"/>
      <c r="M32" s="183"/>
      <c r="N32" s="184"/>
      <c r="O32" s="196"/>
      <c r="P32" s="186"/>
      <c r="Q32" s="187"/>
      <c r="R32" s="188"/>
      <c r="X32" s="210"/>
    </row>
    <row r="33" spans="1:24" s="11" customFormat="1" x14ac:dyDescent="0.2">
      <c r="A33" s="193" t="str">
        <f>IF(J33&lt;&gt;"",1+MAX($A$20:A32),"")</f>
        <v/>
      </c>
      <c r="B33" s="190"/>
      <c r="C33" s="190"/>
      <c r="D33" s="190"/>
      <c r="E33" s="190"/>
      <c r="F33" s="191" t="s">
        <v>121</v>
      </c>
      <c r="G33" s="247"/>
      <c r="H33" s="194"/>
      <c r="I33" s="249"/>
      <c r="J33" s="181"/>
      <c r="K33" s="337"/>
      <c r="L33" s="181"/>
      <c r="M33" s="183"/>
      <c r="N33" s="184"/>
      <c r="O33" s="196"/>
      <c r="P33" s="186"/>
      <c r="Q33" s="187"/>
      <c r="R33" s="188"/>
      <c r="X33" s="210"/>
    </row>
    <row r="34" spans="1:24" s="11" customFormat="1" x14ac:dyDescent="0.2">
      <c r="A34" s="193">
        <f>IF(J34&lt;&gt;"",1+MAX($A$20:A33),"")</f>
        <v>12</v>
      </c>
      <c r="B34" s="190"/>
      <c r="C34" s="190"/>
      <c r="D34" s="190" t="s">
        <v>20</v>
      </c>
      <c r="E34" s="190" t="s">
        <v>181</v>
      </c>
      <c r="F34" s="177" t="s">
        <v>132</v>
      </c>
      <c r="G34" s="247">
        <v>1</v>
      </c>
      <c r="H34" s="194">
        <f>IF(VLOOKUP(J34,'HOURLY RATES'!B$116:C$124,2,0)=0,$J$3,VLOOKUP(J34,'HOURLY RATES'!B$116:C$124,2,0))</f>
        <v>0</v>
      </c>
      <c r="I34" s="249">
        <f>(G34*(1+H34))</f>
        <v>1</v>
      </c>
      <c r="J34" s="181" t="s">
        <v>18</v>
      </c>
      <c r="K34" s="337">
        <v>4.4654898062649329</v>
      </c>
      <c r="L34" s="192">
        <f>K34*I34</f>
        <v>4.4654898062649329</v>
      </c>
      <c r="M34" s="183">
        <f>IF(VLOOKUP(E34,'HOURLY RATES'!C$6:D$105,2,0)=0,$E$3,VLOOKUP(E34,'HOURLY RATES'!C$6:D$105,2,0))</f>
        <v>55</v>
      </c>
      <c r="N34" s="195">
        <f>M34*L34</f>
        <v>245.60193934457132</v>
      </c>
      <c r="O34" s="196"/>
      <c r="P34" s="186"/>
      <c r="Q34" s="187">
        <f>P34+N34</f>
        <v>245.60193934457132</v>
      </c>
      <c r="R34" s="188"/>
      <c r="X34" s="210"/>
    </row>
    <row r="35" spans="1:24" s="11" customFormat="1" x14ac:dyDescent="0.2">
      <c r="A35" s="193">
        <f>IF(J35&lt;&gt;"",1+MAX($A$20:A34),"")</f>
        <v>13</v>
      </c>
      <c r="B35" s="190"/>
      <c r="C35" s="190"/>
      <c r="D35" s="190" t="s">
        <v>20</v>
      </c>
      <c r="E35" s="190" t="s">
        <v>181</v>
      </c>
      <c r="F35" s="177" t="s">
        <v>133</v>
      </c>
      <c r="G35" s="247">
        <v>1</v>
      </c>
      <c r="H35" s="194">
        <f>IF(VLOOKUP(J35,'HOURLY RATES'!B$116:C$124,2,0)=0,$J$3,VLOOKUP(J35,'HOURLY RATES'!B$116:C$124,2,0))</f>
        <v>0</v>
      </c>
      <c r="I35" s="249">
        <f>(G35*(1+H35))</f>
        <v>1</v>
      </c>
      <c r="J35" s="181" t="s">
        <v>18</v>
      </c>
      <c r="K35" s="337">
        <v>3.9848294451739164</v>
      </c>
      <c r="L35" s="192">
        <f>K35*I35</f>
        <v>3.9848294451739164</v>
      </c>
      <c r="M35" s="183">
        <f>IF(VLOOKUP(E35,'HOURLY RATES'!C$6:D$105,2,0)=0,$E$3,VLOOKUP(E35,'HOURLY RATES'!C$6:D$105,2,0))</f>
        <v>55</v>
      </c>
      <c r="N35" s="195">
        <f>M35*L35</f>
        <v>219.16561948456541</v>
      </c>
      <c r="O35" s="196"/>
      <c r="P35" s="186"/>
      <c r="Q35" s="187">
        <f>P35+N35</f>
        <v>219.16561948456541</v>
      </c>
      <c r="R35" s="188"/>
      <c r="X35" s="210"/>
    </row>
    <row r="36" spans="1:24" s="11" customFormat="1" x14ac:dyDescent="0.2">
      <c r="A36" s="193">
        <f>IF(J36&lt;&gt;"",1+MAX($A$20:A35),"")</f>
        <v>14</v>
      </c>
      <c r="B36" s="190"/>
      <c r="C36" s="190"/>
      <c r="D36" s="190" t="s">
        <v>20</v>
      </c>
      <c r="E36" s="190" t="s">
        <v>181</v>
      </c>
      <c r="F36" s="177" t="s">
        <v>134</v>
      </c>
      <c r="G36" s="247">
        <v>1</v>
      </c>
      <c r="H36" s="194">
        <f>IF(VLOOKUP(J36,'HOURLY RATES'!B$116:C$124,2,0)=0,$J$3,VLOOKUP(J36,'HOURLY RATES'!B$116:C$124,2,0))</f>
        <v>0</v>
      </c>
      <c r="I36" s="249">
        <f>(G36*(1+H36))</f>
        <v>1</v>
      </c>
      <c r="J36" s="181" t="s">
        <v>18</v>
      </c>
      <c r="K36" s="337">
        <v>10.078362409972939</v>
      </c>
      <c r="L36" s="192">
        <f>K36*I36</f>
        <v>10.078362409972939</v>
      </c>
      <c r="M36" s="183">
        <f>IF(VLOOKUP(E36,'HOURLY RATES'!C$6:D$105,2,0)=0,$E$3,VLOOKUP(E36,'HOURLY RATES'!C$6:D$105,2,0))</f>
        <v>55</v>
      </c>
      <c r="N36" s="195">
        <f>M36*L36</f>
        <v>554.30993254851171</v>
      </c>
      <c r="O36" s="196"/>
      <c r="P36" s="186"/>
      <c r="Q36" s="187">
        <f>P36+N36</f>
        <v>554.30993254851171</v>
      </c>
      <c r="R36" s="188"/>
      <c r="X36" s="210"/>
    </row>
    <row r="37" spans="1:24" s="11" customFormat="1" x14ac:dyDescent="0.2">
      <c r="A37" s="193" t="str">
        <f>IF(J37&lt;&gt;"",1+MAX($A$20:A36),"")</f>
        <v/>
      </c>
      <c r="B37" s="190"/>
      <c r="C37" s="190"/>
      <c r="D37" s="190"/>
      <c r="E37" s="190"/>
      <c r="F37" s="177"/>
      <c r="G37" s="247"/>
      <c r="H37" s="194"/>
      <c r="I37" s="249"/>
      <c r="J37" s="181"/>
      <c r="K37" s="337"/>
      <c r="L37" s="192"/>
      <c r="M37" s="183"/>
      <c r="N37" s="195"/>
      <c r="O37" s="196"/>
      <c r="P37" s="186"/>
      <c r="Q37" s="187"/>
      <c r="R37" s="188"/>
      <c r="X37" s="210"/>
    </row>
    <row r="38" spans="1:24" s="11" customFormat="1" x14ac:dyDescent="0.2">
      <c r="A38" s="193" t="str">
        <f>IF(J38&lt;&gt;"",1+MAX($A$20:A37),"")</f>
        <v/>
      </c>
      <c r="B38" s="190"/>
      <c r="C38" s="190"/>
      <c r="D38" s="190"/>
      <c r="E38" s="190"/>
      <c r="F38" s="191" t="s">
        <v>97</v>
      </c>
      <c r="G38" s="247"/>
      <c r="H38" s="194"/>
      <c r="I38" s="249"/>
      <c r="J38" s="181"/>
      <c r="K38" s="337"/>
      <c r="L38" s="181"/>
      <c r="M38" s="183"/>
      <c r="N38" s="184"/>
      <c r="O38" s="196"/>
      <c r="P38" s="186"/>
      <c r="Q38" s="187"/>
      <c r="R38" s="188"/>
      <c r="X38" s="210"/>
    </row>
    <row r="39" spans="1:24" s="11" customFormat="1" x14ac:dyDescent="0.2">
      <c r="A39" s="193">
        <f>IF(J39&lt;&gt;"",1+MAX($A$20:A38),"")</f>
        <v>15</v>
      </c>
      <c r="B39" s="190"/>
      <c r="C39" s="190"/>
      <c r="D39" s="190" t="s">
        <v>20</v>
      </c>
      <c r="E39" s="190" t="s">
        <v>181</v>
      </c>
      <c r="F39" s="177" t="s">
        <v>93</v>
      </c>
      <c r="G39" s="247">
        <v>1</v>
      </c>
      <c r="H39" s="194">
        <f>IF(VLOOKUP(J39,'HOURLY RATES'!B$116:C$124,2,0)=0,$J$3,VLOOKUP(J39,'HOURLY RATES'!B$116:C$124,2,0))</f>
        <v>0</v>
      </c>
      <c r="I39" s="249">
        <f t="shared" ref="I39:I44" si="4">(G39*(1+H39))</f>
        <v>1</v>
      </c>
      <c r="J39" s="181" t="s">
        <v>18</v>
      </c>
      <c r="K39" s="337"/>
      <c r="L39" s="192">
        <f t="shared" ref="L39:L44" si="5">K39*I39</f>
        <v>0</v>
      </c>
      <c r="M39" s="183">
        <f>IF(VLOOKUP(E39,'HOURLY RATES'!C$6:D$105,2,0)=0,$E$3,VLOOKUP(E39,'HOURLY RATES'!C$6:D$105,2,0))</f>
        <v>55</v>
      </c>
      <c r="N39" s="195">
        <f t="shared" ref="N39:N44" si="6">M39*L39</f>
        <v>0</v>
      </c>
      <c r="O39" s="196"/>
      <c r="P39" s="186"/>
      <c r="Q39" s="187">
        <f t="shared" ref="Q39:Q44" si="7">P39+N39</f>
        <v>0</v>
      </c>
      <c r="R39" s="188"/>
      <c r="X39" s="210"/>
    </row>
    <row r="40" spans="1:24" s="11" customFormat="1" x14ac:dyDescent="0.2">
      <c r="A40" s="193">
        <f>IF(J40&lt;&gt;"",1+MAX($A$20:A39),"")</f>
        <v>16</v>
      </c>
      <c r="B40" s="190"/>
      <c r="C40" s="190"/>
      <c r="D40" s="190" t="s">
        <v>20</v>
      </c>
      <c r="E40" s="190" t="s">
        <v>181</v>
      </c>
      <c r="F40" s="177" t="s">
        <v>94</v>
      </c>
      <c r="G40" s="247">
        <v>1</v>
      </c>
      <c r="H40" s="194">
        <f>IF(VLOOKUP(J40,'HOURLY RATES'!B$116:C$124,2,0)=0,$J$3,VLOOKUP(J40,'HOURLY RATES'!B$116:C$124,2,0))</f>
        <v>0</v>
      </c>
      <c r="I40" s="249">
        <f t="shared" si="4"/>
        <v>1</v>
      </c>
      <c r="J40" s="181" t="s">
        <v>18</v>
      </c>
      <c r="K40" s="337"/>
      <c r="L40" s="192">
        <f t="shared" si="5"/>
        <v>0</v>
      </c>
      <c r="M40" s="183">
        <f>IF(VLOOKUP(E40,'HOURLY RATES'!C$6:D$105,2,0)=0,$E$3,VLOOKUP(E40,'HOURLY RATES'!C$6:D$105,2,0))</f>
        <v>55</v>
      </c>
      <c r="N40" s="195">
        <f t="shared" si="6"/>
        <v>0</v>
      </c>
      <c r="O40" s="196"/>
      <c r="P40" s="186"/>
      <c r="Q40" s="187">
        <f t="shared" si="7"/>
        <v>0</v>
      </c>
      <c r="R40" s="188"/>
      <c r="X40" s="210"/>
    </row>
    <row r="41" spans="1:24" s="11" customFormat="1" x14ac:dyDescent="0.2">
      <c r="A41" s="193">
        <f>IF(J41&lt;&gt;"",1+MAX($A$20:A40),"")</f>
        <v>17</v>
      </c>
      <c r="B41" s="190"/>
      <c r="C41" s="190"/>
      <c r="D41" s="190" t="s">
        <v>20</v>
      </c>
      <c r="E41" s="190" t="s">
        <v>181</v>
      </c>
      <c r="F41" s="177" t="s">
        <v>95</v>
      </c>
      <c r="G41" s="247">
        <v>1</v>
      </c>
      <c r="H41" s="194">
        <f>IF(VLOOKUP(J41,'HOURLY RATES'!B$116:C$124,2,0)=0,$J$3,VLOOKUP(J41,'HOURLY RATES'!B$116:C$124,2,0))</f>
        <v>0</v>
      </c>
      <c r="I41" s="249">
        <f t="shared" si="4"/>
        <v>1</v>
      </c>
      <c r="J41" s="181" t="s">
        <v>18</v>
      </c>
      <c r="K41" s="337"/>
      <c r="L41" s="192">
        <f t="shared" si="5"/>
        <v>0</v>
      </c>
      <c r="M41" s="183">
        <f>IF(VLOOKUP(E41,'HOURLY RATES'!C$6:D$105,2,0)=0,$E$3,VLOOKUP(E41,'HOURLY RATES'!C$6:D$105,2,0))</f>
        <v>55</v>
      </c>
      <c r="N41" s="195">
        <f t="shared" si="6"/>
        <v>0</v>
      </c>
      <c r="O41" s="185"/>
      <c r="P41" s="186"/>
      <c r="Q41" s="187">
        <f t="shared" si="7"/>
        <v>0</v>
      </c>
      <c r="R41" s="188"/>
      <c r="X41" s="210"/>
    </row>
    <row r="42" spans="1:24" s="11" customFormat="1" x14ac:dyDescent="0.2">
      <c r="A42" s="193">
        <f>IF(J42&lt;&gt;"",1+MAX($A$20:A41),"")</f>
        <v>18</v>
      </c>
      <c r="B42" s="190"/>
      <c r="C42" s="190"/>
      <c r="D42" s="190" t="s">
        <v>20</v>
      </c>
      <c r="E42" s="190" t="s">
        <v>181</v>
      </c>
      <c r="F42" s="177" t="s">
        <v>96</v>
      </c>
      <c r="G42" s="247">
        <v>1</v>
      </c>
      <c r="H42" s="194">
        <f>IF(VLOOKUP(J42,'HOURLY RATES'!B$116:C$124,2,0)=0,$J$3,VLOOKUP(J42,'HOURLY RATES'!B$116:C$124,2,0))</f>
        <v>0</v>
      </c>
      <c r="I42" s="249">
        <f t="shared" si="4"/>
        <v>1</v>
      </c>
      <c r="J42" s="181" t="s">
        <v>18</v>
      </c>
      <c r="K42" s="337"/>
      <c r="L42" s="192">
        <f t="shared" si="5"/>
        <v>0</v>
      </c>
      <c r="M42" s="183">
        <f>IF(VLOOKUP(E42,'HOURLY RATES'!C$6:D$105,2,0)=0,$E$3,VLOOKUP(E42,'HOURLY RATES'!C$6:D$105,2,0))</f>
        <v>55</v>
      </c>
      <c r="N42" s="195">
        <f t="shared" si="6"/>
        <v>0</v>
      </c>
      <c r="O42" s="185"/>
      <c r="P42" s="186"/>
      <c r="Q42" s="187">
        <f t="shared" si="7"/>
        <v>0</v>
      </c>
      <c r="R42" s="188"/>
      <c r="X42" s="210"/>
    </row>
    <row r="43" spans="1:24" s="11" customFormat="1" x14ac:dyDescent="0.2">
      <c r="A43" s="193">
        <f>IF(J43&lt;&gt;"",1+MAX($A$20:A42),"")</f>
        <v>19</v>
      </c>
      <c r="B43" s="190"/>
      <c r="C43" s="190"/>
      <c r="D43" s="190" t="s">
        <v>20</v>
      </c>
      <c r="E43" s="190" t="s">
        <v>181</v>
      </c>
      <c r="F43" s="177" t="s">
        <v>223</v>
      </c>
      <c r="G43" s="247">
        <v>1</v>
      </c>
      <c r="H43" s="194">
        <f>IF(VLOOKUP(J43,'HOURLY RATES'!B$116:C$124,2,0)=0,$J$3,VLOOKUP(J43,'HOURLY RATES'!B$116:C$124,2,0))</f>
        <v>0</v>
      </c>
      <c r="I43" s="249">
        <f t="shared" si="4"/>
        <v>1</v>
      </c>
      <c r="J43" s="181" t="s">
        <v>18</v>
      </c>
      <c r="K43" s="337"/>
      <c r="L43" s="192">
        <f t="shared" si="5"/>
        <v>0</v>
      </c>
      <c r="M43" s="183">
        <f>IF(VLOOKUP(E43,'HOURLY RATES'!C$6:D$105,2,0)=0,$E$3,VLOOKUP(E43,'HOURLY RATES'!C$6:D$105,2,0))</f>
        <v>55</v>
      </c>
      <c r="N43" s="195">
        <f t="shared" si="6"/>
        <v>0</v>
      </c>
      <c r="O43" s="185"/>
      <c r="P43" s="186"/>
      <c r="Q43" s="187">
        <f t="shared" si="7"/>
        <v>0</v>
      </c>
      <c r="R43" s="188"/>
      <c r="X43" s="210"/>
    </row>
    <row r="44" spans="1:24" s="11" customFormat="1" x14ac:dyDescent="0.2">
      <c r="A44" s="198">
        <f>IF(J44&lt;&gt;"",1+MAX($A$20:A43),"")</f>
        <v>20</v>
      </c>
      <c r="B44" s="199"/>
      <c r="C44" s="199"/>
      <c r="D44" s="190" t="s">
        <v>20</v>
      </c>
      <c r="E44" s="190" t="s">
        <v>181</v>
      </c>
      <c r="F44" s="177" t="s">
        <v>251</v>
      </c>
      <c r="G44" s="247">
        <v>1</v>
      </c>
      <c r="H44" s="194">
        <f>IF(VLOOKUP(J44,'HOURLY RATES'!B$116:C$124,2,0)=0,$J$3,VLOOKUP(J44,'HOURLY RATES'!B$116:C$124,2,0))</f>
        <v>0</v>
      </c>
      <c r="I44" s="249">
        <f t="shared" si="4"/>
        <v>1</v>
      </c>
      <c r="J44" s="181" t="s">
        <v>18</v>
      </c>
      <c r="K44" s="337">
        <v>69.773278222889573</v>
      </c>
      <c r="L44" s="200">
        <f t="shared" si="5"/>
        <v>69.773278222889573</v>
      </c>
      <c r="M44" s="183">
        <f>IF(VLOOKUP(E44,'HOURLY RATES'!C$6:D$105,2,0)=0,$E$3,VLOOKUP(E44,'HOURLY RATES'!C$6:D$105,2,0))</f>
        <v>55</v>
      </c>
      <c r="N44" s="201">
        <f t="shared" si="6"/>
        <v>3837.5303022589264</v>
      </c>
      <c r="O44" s="202"/>
      <c r="P44" s="203"/>
      <c r="Q44" s="204">
        <f t="shared" si="7"/>
        <v>3837.5303022589264</v>
      </c>
      <c r="R44" s="188"/>
      <c r="X44" s="210"/>
    </row>
    <row r="45" spans="1:24" s="11" customFormat="1" x14ac:dyDescent="0.2">
      <c r="A45" s="193" t="str">
        <f>IF(J45&lt;&gt;"",1+MAX($A$20:A44),"")</f>
        <v/>
      </c>
      <c r="B45" s="190"/>
      <c r="C45" s="190"/>
      <c r="D45" s="190"/>
      <c r="E45" s="190"/>
      <c r="F45" s="177"/>
      <c r="G45" s="247"/>
      <c r="H45" s="194"/>
      <c r="I45" s="249"/>
      <c r="J45" s="181"/>
      <c r="K45" s="337"/>
      <c r="L45" s="181"/>
      <c r="M45" s="183"/>
      <c r="N45" s="195"/>
      <c r="O45" s="185"/>
      <c r="P45" s="186"/>
      <c r="Q45" s="187"/>
      <c r="R45" s="188"/>
      <c r="X45" s="210"/>
    </row>
    <row r="46" spans="1:24" s="11" customFormat="1" x14ac:dyDescent="0.2">
      <c r="A46" s="193" t="str">
        <f>IF(J46&lt;&gt;"",1+MAX($A$20:A45),"")</f>
        <v/>
      </c>
      <c r="B46" s="190"/>
      <c r="C46" s="190"/>
      <c r="D46" s="190"/>
      <c r="E46" s="190"/>
      <c r="F46" s="191" t="s">
        <v>98</v>
      </c>
      <c r="G46" s="247"/>
      <c r="H46" s="194"/>
      <c r="I46" s="249"/>
      <c r="J46" s="181"/>
      <c r="K46" s="337"/>
      <c r="L46" s="181"/>
      <c r="M46" s="183"/>
      <c r="N46" s="195"/>
      <c r="O46" s="185"/>
      <c r="P46" s="186"/>
      <c r="Q46" s="187"/>
      <c r="R46" s="188"/>
      <c r="X46" s="210"/>
    </row>
    <row r="47" spans="1:24" s="11" customFormat="1" x14ac:dyDescent="0.2">
      <c r="A47" s="193">
        <f>IF(J47&lt;&gt;"",1+MAX($A$20:A46),"")</f>
        <v>21</v>
      </c>
      <c r="B47" s="190"/>
      <c r="C47" s="190"/>
      <c r="D47" s="190" t="s">
        <v>20</v>
      </c>
      <c r="E47" s="190" t="s">
        <v>181</v>
      </c>
      <c r="F47" s="177" t="s">
        <v>99</v>
      </c>
      <c r="G47" s="247">
        <v>1</v>
      </c>
      <c r="H47" s="194">
        <f>IF(VLOOKUP(J47,'HOURLY RATES'!B$116:C$124,2,0)=0,$J$3,VLOOKUP(J47,'HOURLY RATES'!B$116:C$124,2,0))</f>
        <v>0</v>
      </c>
      <c r="I47" s="249">
        <f>(G47*(1+H47))</f>
        <v>1</v>
      </c>
      <c r="J47" s="181" t="s">
        <v>18</v>
      </c>
      <c r="K47" s="337"/>
      <c r="L47" s="192">
        <f>K47*I47</f>
        <v>0</v>
      </c>
      <c r="M47" s="183">
        <f>IF(VLOOKUP(E47,'HOURLY RATES'!C$6:D$105,2,0)=0,$E$3,VLOOKUP(E47,'HOURLY RATES'!C$6:D$105,2,0))</f>
        <v>55</v>
      </c>
      <c r="N47" s="195">
        <f>M47*L47</f>
        <v>0</v>
      </c>
      <c r="O47" s="185"/>
      <c r="P47" s="186"/>
      <c r="Q47" s="187">
        <f>P47+N47</f>
        <v>0</v>
      </c>
      <c r="R47" s="188"/>
      <c r="X47" s="210"/>
    </row>
    <row r="48" spans="1:24" s="11" customFormat="1" x14ac:dyDescent="0.2">
      <c r="A48" s="193">
        <f>IF(J48&lt;&gt;"",1+MAX($A$20:A47),"")</f>
        <v>22</v>
      </c>
      <c r="B48" s="190"/>
      <c r="C48" s="190"/>
      <c r="D48" s="190" t="s">
        <v>20</v>
      </c>
      <c r="E48" s="190" t="s">
        <v>181</v>
      </c>
      <c r="F48" s="177" t="s">
        <v>100</v>
      </c>
      <c r="G48" s="247">
        <v>1</v>
      </c>
      <c r="H48" s="194">
        <f>IF(VLOOKUP(J48,'HOURLY RATES'!B$116:C$124,2,0)=0,$J$3,VLOOKUP(J48,'HOURLY RATES'!B$116:C$124,2,0))</f>
        <v>0</v>
      </c>
      <c r="I48" s="249">
        <f>(G48*(1+H48))</f>
        <v>1</v>
      </c>
      <c r="J48" s="181" t="s">
        <v>18</v>
      </c>
      <c r="K48" s="337"/>
      <c r="L48" s="192">
        <f>K48*I48</f>
        <v>0</v>
      </c>
      <c r="M48" s="183">
        <f>IF(VLOOKUP(E48,'HOURLY RATES'!C$6:D$105,2,0)=0,$E$3,VLOOKUP(E48,'HOURLY RATES'!C$6:D$105,2,0))</f>
        <v>55</v>
      </c>
      <c r="N48" s="195">
        <f>M48*L48</f>
        <v>0</v>
      </c>
      <c r="O48" s="185"/>
      <c r="P48" s="186"/>
      <c r="Q48" s="187">
        <f>P48+N48</f>
        <v>0</v>
      </c>
      <c r="R48" s="188"/>
      <c r="X48" s="210"/>
    </row>
    <row r="49" spans="1:24" s="11" customFormat="1" x14ac:dyDescent="0.2">
      <c r="A49" s="193">
        <f>IF(J49&lt;&gt;"",1+MAX($A$20:A48),"")</f>
        <v>23</v>
      </c>
      <c r="B49" s="190"/>
      <c r="C49" s="190"/>
      <c r="D49" s="190" t="s">
        <v>20</v>
      </c>
      <c r="E49" s="190" t="s">
        <v>181</v>
      </c>
      <c r="F49" s="177" t="s">
        <v>135</v>
      </c>
      <c r="G49" s="247">
        <v>1</v>
      </c>
      <c r="H49" s="194">
        <f>IF(VLOOKUP(J49,'HOURLY RATES'!B$116:C$124,2,0)=0,$J$3,VLOOKUP(J49,'HOURLY RATES'!B$116:C$124,2,0))</f>
        <v>0</v>
      </c>
      <c r="I49" s="249">
        <f>(G49*(1+H49))</f>
        <v>1</v>
      </c>
      <c r="J49" s="181" t="s">
        <v>18</v>
      </c>
      <c r="K49" s="337"/>
      <c r="L49" s="192">
        <f>K49*I49</f>
        <v>0</v>
      </c>
      <c r="M49" s="183">
        <f>IF(VLOOKUP(E49,'HOURLY RATES'!C$6:D$105,2,0)=0,$E$3,VLOOKUP(E49,'HOURLY RATES'!C$6:D$105,2,0))</f>
        <v>55</v>
      </c>
      <c r="N49" s="195">
        <f>M49*L49</f>
        <v>0</v>
      </c>
      <c r="O49" s="185"/>
      <c r="P49" s="186"/>
      <c r="Q49" s="187">
        <f>P49+N49</f>
        <v>0</v>
      </c>
      <c r="R49" s="188"/>
      <c r="X49" s="210"/>
    </row>
    <row r="50" spans="1:24" s="11" customFormat="1" x14ac:dyDescent="0.2">
      <c r="A50" s="193">
        <f>IF(J50&lt;&gt;"",1+MAX($A$20:A49),"")</f>
        <v>24</v>
      </c>
      <c r="B50" s="190"/>
      <c r="C50" s="190"/>
      <c r="D50" s="190" t="s">
        <v>20</v>
      </c>
      <c r="E50" s="190" t="s">
        <v>181</v>
      </c>
      <c r="F50" s="177" t="s">
        <v>101</v>
      </c>
      <c r="G50" s="247">
        <v>1</v>
      </c>
      <c r="H50" s="194">
        <f>IF(VLOOKUP(J50,'HOURLY RATES'!B$116:C$124,2,0)=0,$J$3,VLOOKUP(J50,'HOURLY RATES'!B$116:C$124,2,0))</f>
        <v>0</v>
      </c>
      <c r="I50" s="249">
        <f>(G50*(1+H50))</f>
        <v>1</v>
      </c>
      <c r="J50" s="181" t="s">
        <v>18</v>
      </c>
      <c r="K50" s="337"/>
      <c r="L50" s="192">
        <f>K50*I50</f>
        <v>0</v>
      </c>
      <c r="M50" s="183">
        <f>IF(VLOOKUP(E50,'HOURLY RATES'!C$6:D$105,2,0)=0,$E$3,VLOOKUP(E50,'HOURLY RATES'!C$6:D$105,2,0))</f>
        <v>55</v>
      </c>
      <c r="N50" s="195">
        <f>M50*L50</f>
        <v>0</v>
      </c>
      <c r="O50" s="185"/>
      <c r="P50" s="186"/>
      <c r="Q50" s="187">
        <f>P50+N50</f>
        <v>0</v>
      </c>
      <c r="R50" s="188"/>
      <c r="X50" s="210"/>
    </row>
    <row r="51" spans="1:24" s="11" customFormat="1" x14ac:dyDescent="0.2">
      <c r="A51" s="193">
        <f>IF(J51&lt;&gt;"",1+MAX($A$20:A50),"")</f>
        <v>25</v>
      </c>
      <c r="B51" s="190"/>
      <c r="C51" s="190"/>
      <c r="D51" s="190" t="s">
        <v>20</v>
      </c>
      <c r="E51" s="190" t="s">
        <v>181</v>
      </c>
      <c r="F51" s="177" t="s">
        <v>102</v>
      </c>
      <c r="G51" s="247">
        <v>1</v>
      </c>
      <c r="H51" s="194">
        <f>IF(VLOOKUP(J51,'HOURLY RATES'!B$116:C$124,2,0)=0,$J$3,VLOOKUP(J51,'HOURLY RATES'!B$116:C$124,2,0))</f>
        <v>0</v>
      </c>
      <c r="I51" s="249">
        <f>(G51*(1+H51))</f>
        <v>1</v>
      </c>
      <c r="J51" s="181" t="s">
        <v>18</v>
      </c>
      <c r="K51" s="337"/>
      <c r="L51" s="192">
        <f>K51*I51</f>
        <v>0</v>
      </c>
      <c r="M51" s="183">
        <f>IF(VLOOKUP(E51,'HOURLY RATES'!C$6:D$105,2,0)=0,$E$3,VLOOKUP(E51,'HOURLY RATES'!C$6:D$105,2,0))</f>
        <v>55</v>
      </c>
      <c r="N51" s="195">
        <f>M51*L51</f>
        <v>0</v>
      </c>
      <c r="O51" s="185"/>
      <c r="P51" s="186"/>
      <c r="Q51" s="187">
        <f>P51+N51</f>
        <v>0</v>
      </c>
      <c r="R51" s="188"/>
      <c r="X51" s="210"/>
    </row>
    <row r="52" spans="1:24" s="11" customFormat="1" x14ac:dyDescent="0.2">
      <c r="A52" s="193" t="str">
        <f>IF(J52&lt;&gt;"",1+MAX($A$20:A51),"")</f>
        <v/>
      </c>
      <c r="B52" s="190"/>
      <c r="C52" s="190"/>
      <c r="D52" s="190"/>
      <c r="E52" s="190"/>
      <c r="F52" s="177"/>
      <c r="G52" s="247"/>
      <c r="H52" s="194"/>
      <c r="I52" s="249"/>
      <c r="J52" s="181"/>
      <c r="K52" s="337"/>
      <c r="L52" s="181"/>
      <c r="M52" s="183"/>
      <c r="N52" s="195"/>
      <c r="O52" s="185"/>
      <c r="P52" s="186"/>
      <c r="Q52" s="187"/>
      <c r="R52" s="188"/>
      <c r="X52" s="210"/>
    </row>
    <row r="53" spans="1:24" s="11" customFormat="1" x14ac:dyDescent="0.2">
      <c r="A53" s="193" t="str">
        <f>IF(J53&lt;&gt;"",1+MAX($A$20:A52),"")</f>
        <v/>
      </c>
      <c r="B53" s="190"/>
      <c r="C53" s="190"/>
      <c r="D53" s="190"/>
      <c r="E53" s="190"/>
      <c r="F53" s="191" t="s">
        <v>105</v>
      </c>
      <c r="G53" s="248"/>
      <c r="H53" s="194"/>
      <c r="I53" s="249"/>
      <c r="J53" s="181"/>
      <c r="K53" s="337"/>
      <c r="L53" s="181"/>
      <c r="M53" s="183"/>
      <c r="N53" s="195"/>
      <c r="O53" s="185"/>
      <c r="P53" s="186"/>
      <c r="Q53" s="187"/>
      <c r="R53" s="188"/>
      <c r="X53" s="210"/>
    </row>
    <row r="54" spans="1:24" s="11" customFormat="1" x14ac:dyDescent="0.2">
      <c r="A54" s="193">
        <f>IF(J54&lt;&gt;"",1+MAX($A$20:A53),"")</f>
        <v>26</v>
      </c>
      <c r="B54" s="190"/>
      <c r="C54" s="190"/>
      <c r="D54" s="190" t="s">
        <v>20</v>
      </c>
      <c r="E54" s="190" t="s">
        <v>181</v>
      </c>
      <c r="F54" s="177" t="s">
        <v>103</v>
      </c>
      <c r="G54" s="247">
        <v>1</v>
      </c>
      <c r="H54" s="194">
        <f>IF(VLOOKUP(J54,'HOURLY RATES'!B$116:C$124,2,0)=0,$J$3,VLOOKUP(J54,'HOURLY RATES'!B$116:C$124,2,0))</f>
        <v>0</v>
      </c>
      <c r="I54" s="249">
        <f>(G54*(1+H54))</f>
        <v>1</v>
      </c>
      <c r="J54" s="181" t="s">
        <v>18</v>
      </c>
      <c r="K54" s="337"/>
      <c r="L54" s="192">
        <f>K54*I54</f>
        <v>0</v>
      </c>
      <c r="M54" s="183">
        <f>IF(VLOOKUP(E54,'HOURLY RATES'!C$6:D$105,2,0)=0,$E$3,VLOOKUP(E54,'HOURLY RATES'!C$6:D$105,2,0))</f>
        <v>55</v>
      </c>
      <c r="N54" s="195">
        <f>M54*L54</f>
        <v>0</v>
      </c>
      <c r="O54" s="185"/>
      <c r="P54" s="186"/>
      <c r="Q54" s="187">
        <f>P54+N54</f>
        <v>0</v>
      </c>
      <c r="R54" s="188"/>
      <c r="X54" s="210"/>
    </row>
    <row r="55" spans="1:24" s="11" customFormat="1" x14ac:dyDescent="0.2">
      <c r="A55" s="193">
        <f>IF(J55&lt;&gt;"",1+MAX($A$20:A54),"")</f>
        <v>27</v>
      </c>
      <c r="B55" s="190"/>
      <c r="C55" s="190"/>
      <c r="D55" s="190" t="s">
        <v>20</v>
      </c>
      <c r="E55" s="190" t="s">
        <v>181</v>
      </c>
      <c r="F55" s="177" t="s">
        <v>71</v>
      </c>
      <c r="G55" s="247">
        <v>1</v>
      </c>
      <c r="H55" s="194">
        <f>IF(VLOOKUP(J55,'HOURLY RATES'!B$116:C$124,2,0)=0,$J$3,VLOOKUP(J55,'HOURLY RATES'!B$116:C$124,2,0))</f>
        <v>0</v>
      </c>
      <c r="I55" s="249">
        <f>(G55*(1+H55))</f>
        <v>1</v>
      </c>
      <c r="J55" s="181" t="s">
        <v>18</v>
      </c>
      <c r="K55" s="337">
        <v>10.078362409972939</v>
      </c>
      <c r="L55" s="192">
        <f>K55*I55</f>
        <v>10.078362409972939</v>
      </c>
      <c r="M55" s="183">
        <f>IF(VLOOKUP(E55,'HOURLY RATES'!C$6:D$105,2,0)=0,$E$3,VLOOKUP(E55,'HOURLY RATES'!C$6:D$105,2,0))</f>
        <v>55</v>
      </c>
      <c r="N55" s="195">
        <f>M55*L55</f>
        <v>554.30993254851171</v>
      </c>
      <c r="O55" s="185"/>
      <c r="P55" s="186"/>
      <c r="Q55" s="187">
        <f>P55+N55</f>
        <v>554.30993254851171</v>
      </c>
      <c r="R55" s="188"/>
      <c r="X55" s="210"/>
    </row>
    <row r="56" spans="1:24" s="11" customFormat="1" x14ac:dyDescent="0.2">
      <c r="A56" s="193">
        <f>IF(J56&lt;&gt;"",1+MAX($A$20:A55),"")</f>
        <v>28</v>
      </c>
      <c r="B56" s="190"/>
      <c r="C56" s="190"/>
      <c r="D56" s="190" t="s">
        <v>20</v>
      </c>
      <c r="E56" s="190" t="s">
        <v>181</v>
      </c>
      <c r="F56" s="177" t="s">
        <v>175</v>
      </c>
      <c r="G56" s="247">
        <v>1</v>
      </c>
      <c r="H56" s="194">
        <f>IF(VLOOKUP(J56,'HOURLY RATES'!B$116:C$124,2,0)=0,$J$3,VLOOKUP(J56,'HOURLY RATES'!B$116:C$124,2,0))</f>
        <v>0</v>
      </c>
      <c r="I56" s="249">
        <f>(G56*(1+H56))</f>
        <v>1</v>
      </c>
      <c r="J56" s="181" t="s">
        <v>18</v>
      </c>
      <c r="K56" s="337"/>
      <c r="L56" s="192">
        <f>K56*I56</f>
        <v>0</v>
      </c>
      <c r="M56" s="183">
        <f>IF(VLOOKUP(E56,'HOURLY RATES'!C$6:D$105,2,0)=0,$E$3,VLOOKUP(E56,'HOURLY RATES'!C$6:D$105,2,0))</f>
        <v>55</v>
      </c>
      <c r="N56" s="195">
        <f>M56*L56</f>
        <v>0</v>
      </c>
      <c r="O56" s="185"/>
      <c r="P56" s="186"/>
      <c r="Q56" s="187">
        <f>P56+N56</f>
        <v>0</v>
      </c>
      <c r="R56" s="188"/>
      <c r="X56" s="210"/>
    </row>
    <row r="57" spans="1:24" s="11" customFormat="1" x14ac:dyDescent="0.2">
      <c r="A57" s="193">
        <f>IF(J57&lt;&gt;"",1+MAX($A$20:A56),"")</f>
        <v>29</v>
      </c>
      <c r="B57" s="190"/>
      <c r="C57" s="190"/>
      <c r="D57" s="190" t="s">
        <v>20</v>
      </c>
      <c r="E57" s="190" t="s">
        <v>181</v>
      </c>
      <c r="F57" s="177" t="s">
        <v>104</v>
      </c>
      <c r="G57" s="247">
        <v>1</v>
      </c>
      <c r="H57" s="194">
        <f>IF(VLOOKUP(J57,'HOURLY RATES'!B$116:C$124,2,0)=0,$J$3,VLOOKUP(J57,'HOURLY RATES'!B$116:C$124,2,0))</f>
        <v>0</v>
      </c>
      <c r="I57" s="249">
        <f>(G57*(1+H57))</f>
        <v>1</v>
      </c>
      <c r="J57" s="181" t="s">
        <v>18</v>
      </c>
      <c r="K57" s="337"/>
      <c r="L57" s="192">
        <f>K57*I57</f>
        <v>0</v>
      </c>
      <c r="M57" s="183">
        <f>IF(VLOOKUP(E57,'HOURLY RATES'!C$6:D$105,2,0)=0,$E$3,VLOOKUP(E57,'HOURLY RATES'!C$6:D$105,2,0))</f>
        <v>55</v>
      </c>
      <c r="N57" s="195">
        <f>M57*L57</f>
        <v>0</v>
      </c>
      <c r="O57" s="185"/>
      <c r="P57" s="186"/>
      <c r="Q57" s="187">
        <f>P57+N57</f>
        <v>0</v>
      </c>
      <c r="R57" s="188"/>
      <c r="X57" s="210"/>
    </row>
    <row r="58" spans="1:24" s="11" customFormat="1" x14ac:dyDescent="0.2">
      <c r="A58" s="193" t="str">
        <f>IF(J58&lt;&gt;"",1+MAX($A$20:A57),"")</f>
        <v/>
      </c>
      <c r="B58" s="190"/>
      <c r="C58" s="190"/>
      <c r="D58" s="190"/>
      <c r="E58" s="190"/>
      <c r="F58" s="177"/>
      <c r="G58" s="247"/>
      <c r="H58" s="194"/>
      <c r="I58" s="249"/>
      <c r="J58" s="181"/>
      <c r="K58" s="337"/>
      <c r="L58" s="181"/>
      <c r="M58" s="183"/>
      <c r="N58" s="195"/>
      <c r="O58" s="185"/>
      <c r="P58" s="186"/>
      <c r="Q58" s="187"/>
      <c r="R58" s="188"/>
      <c r="X58" s="210"/>
    </row>
    <row r="59" spans="1:24" s="11" customFormat="1" x14ac:dyDescent="0.2">
      <c r="A59" s="193" t="str">
        <f>IF(J59&lt;&gt;"",1+MAX($A$20:A58),"")</f>
        <v/>
      </c>
      <c r="B59" s="190"/>
      <c r="C59" s="190"/>
      <c r="D59" s="190"/>
      <c r="E59" s="190"/>
      <c r="F59" s="191" t="s">
        <v>109</v>
      </c>
      <c r="G59" s="247"/>
      <c r="H59" s="194"/>
      <c r="I59" s="249"/>
      <c r="J59" s="181"/>
      <c r="K59" s="337"/>
      <c r="L59" s="181"/>
      <c r="M59" s="183"/>
      <c r="N59" s="195"/>
      <c r="O59" s="185"/>
      <c r="P59" s="186"/>
      <c r="Q59" s="187"/>
      <c r="R59" s="188"/>
      <c r="X59" s="210"/>
    </row>
    <row r="60" spans="1:24" s="11" customFormat="1" x14ac:dyDescent="0.2">
      <c r="A60" s="193">
        <f>IF(J60&lt;&gt;"",1+MAX($A$20:A59),"")</f>
        <v>30</v>
      </c>
      <c r="B60" s="190"/>
      <c r="C60" s="190"/>
      <c r="D60" s="190" t="s">
        <v>20</v>
      </c>
      <c r="E60" s="190" t="s">
        <v>181</v>
      </c>
      <c r="F60" s="177" t="s">
        <v>106</v>
      </c>
      <c r="G60" s="247">
        <v>1</v>
      </c>
      <c r="H60" s="194">
        <f>IF(VLOOKUP(J60,'HOURLY RATES'!B$116:C$124,2,0)=0,$J$3,VLOOKUP(J60,'HOURLY RATES'!B$116:C$124,2,0))</f>
        <v>0</v>
      </c>
      <c r="I60" s="249">
        <f>(G60*(1+H60))</f>
        <v>1</v>
      </c>
      <c r="J60" s="181" t="s">
        <v>18</v>
      </c>
      <c r="K60" s="337"/>
      <c r="L60" s="192">
        <f>K60*I60</f>
        <v>0</v>
      </c>
      <c r="M60" s="183">
        <f>IF(VLOOKUP(E60,'HOURLY RATES'!C$6:D$105,2,0)=0,$E$3,VLOOKUP(E60,'HOURLY RATES'!C$6:D$105,2,0))</f>
        <v>55</v>
      </c>
      <c r="N60" s="195">
        <f>M60*L60</f>
        <v>0</v>
      </c>
      <c r="O60" s="185"/>
      <c r="P60" s="186"/>
      <c r="Q60" s="187">
        <f>P60+N60</f>
        <v>0</v>
      </c>
      <c r="R60" s="188"/>
      <c r="X60" s="210"/>
    </row>
    <row r="61" spans="1:24" s="11" customFormat="1" x14ac:dyDescent="0.2">
      <c r="A61" s="193">
        <f>IF(J61&lt;&gt;"",1+MAX($A$20:A60),"")</f>
        <v>31</v>
      </c>
      <c r="B61" s="190"/>
      <c r="C61" s="190"/>
      <c r="D61" s="190" t="s">
        <v>20</v>
      </c>
      <c r="E61" s="190" t="s">
        <v>181</v>
      </c>
      <c r="F61" s="177" t="s">
        <v>107</v>
      </c>
      <c r="G61" s="247">
        <v>1</v>
      </c>
      <c r="H61" s="194">
        <f>IF(VLOOKUP(J61,'HOURLY RATES'!B$116:C$124,2,0)=0,$J$3,VLOOKUP(J61,'HOURLY RATES'!B$116:C$124,2,0))</f>
        <v>0</v>
      </c>
      <c r="I61" s="249">
        <f>(G61*(1+H61))</f>
        <v>1</v>
      </c>
      <c r="J61" s="181" t="s">
        <v>18</v>
      </c>
      <c r="K61" s="337"/>
      <c r="L61" s="192">
        <f>K61*I61</f>
        <v>0</v>
      </c>
      <c r="M61" s="183">
        <f>IF(VLOOKUP(E61,'HOURLY RATES'!C$6:D$105,2,0)=0,$E$3,VLOOKUP(E61,'HOURLY RATES'!C$6:D$105,2,0))</f>
        <v>55</v>
      </c>
      <c r="N61" s="195">
        <f>M61*L61</f>
        <v>0</v>
      </c>
      <c r="O61" s="185"/>
      <c r="P61" s="186"/>
      <c r="Q61" s="187">
        <f>P61+N61</f>
        <v>0</v>
      </c>
      <c r="R61" s="188"/>
      <c r="X61" s="210"/>
    </row>
    <row r="62" spans="1:24" s="11" customFormat="1" x14ac:dyDescent="0.2">
      <c r="A62" s="193">
        <f>IF(J62&lt;&gt;"",1+MAX($A$20:A61),"")</f>
        <v>32</v>
      </c>
      <c r="B62" s="190"/>
      <c r="C62" s="190"/>
      <c r="D62" s="190" t="s">
        <v>20</v>
      </c>
      <c r="E62" s="190" t="s">
        <v>181</v>
      </c>
      <c r="F62" s="177" t="s">
        <v>108</v>
      </c>
      <c r="G62" s="247">
        <v>1</v>
      </c>
      <c r="H62" s="194">
        <f>IF(VLOOKUP(J62,'HOURLY RATES'!B$116:C$124,2,0)=0,$J$3,VLOOKUP(J62,'HOURLY RATES'!B$116:C$124,2,0))</f>
        <v>0</v>
      </c>
      <c r="I62" s="249">
        <f>(G62*(1+H62))</f>
        <v>1</v>
      </c>
      <c r="J62" s="181" t="s">
        <v>18</v>
      </c>
      <c r="K62" s="337"/>
      <c r="L62" s="192">
        <f>K62*I62</f>
        <v>0</v>
      </c>
      <c r="M62" s="183">
        <f>IF(VLOOKUP(E62,'HOURLY RATES'!C$6:D$105,2,0)=0,$E$3,VLOOKUP(E62,'HOURLY RATES'!C$6:D$105,2,0))</f>
        <v>55</v>
      </c>
      <c r="N62" s="195">
        <f>M62*L62</f>
        <v>0</v>
      </c>
      <c r="O62" s="185"/>
      <c r="P62" s="186"/>
      <c r="Q62" s="187">
        <f>P62+N62</f>
        <v>0</v>
      </c>
      <c r="R62" s="188"/>
      <c r="X62" s="210"/>
    </row>
    <row r="63" spans="1:24" s="11" customFormat="1" x14ac:dyDescent="0.2">
      <c r="A63" s="193" t="str">
        <f>IF(J63&lt;&gt;"",1+MAX($A$20:A62),"")</f>
        <v/>
      </c>
      <c r="B63" s="190"/>
      <c r="C63" s="190"/>
      <c r="D63" s="190"/>
      <c r="E63" s="190"/>
      <c r="F63" s="177"/>
      <c r="G63" s="247"/>
      <c r="H63" s="194"/>
      <c r="I63" s="249"/>
      <c r="J63" s="181"/>
      <c r="K63" s="337"/>
      <c r="L63" s="181"/>
      <c r="M63" s="183"/>
      <c r="N63" s="195"/>
      <c r="O63" s="185"/>
      <c r="P63" s="186"/>
      <c r="Q63" s="187"/>
      <c r="R63" s="188"/>
      <c r="X63" s="210"/>
    </row>
    <row r="64" spans="1:24" s="11" customFormat="1" x14ac:dyDescent="0.2">
      <c r="A64" s="193" t="str">
        <f>IF(J64&lt;&gt;"",1+MAX($A$20:A63),"")</f>
        <v/>
      </c>
      <c r="B64" s="298"/>
      <c r="C64" s="298"/>
      <c r="D64" s="190"/>
      <c r="E64" s="190"/>
      <c r="F64" s="191" t="s">
        <v>252</v>
      </c>
      <c r="G64" s="247"/>
      <c r="H64" s="194"/>
      <c r="I64" s="249"/>
      <c r="J64" s="181"/>
      <c r="K64" s="337"/>
      <c r="L64" s="192"/>
      <c r="M64" s="183"/>
      <c r="N64" s="195"/>
      <c r="O64" s="185"/>
      <c r="P64" s="186"/>
      <c r="Q64" s="187"/>
      <c r="R64" s="188"/>
      <c r="X64" s="210"/>
    </row>
    <row r="65" spans="1:24" s="11" customFormat="1" x14ac:dyDescent="0.2">
      <c r="A65" s="193">
        <f>IF(J65&lt;&gt;"",1+MAX($A$20:A64),"")</f>
        <v>33</v>
      </c>
      <c r="B65" s="298"/>
      <c r="C65" s="298"/>
      <c r="D65" s="190" t="s">
        <v>20</v>
      </c>
      <c r="E65" s="190" t="s">
        <v>181</v>
      </c>
      <c r="F65" s="177" t="s">
        <v>252</v>
      </c>
      <c r="G65" s="247">
        <v>1</v>
      </c>
      <c r="H65" s="194">
        <f>IF(VLOOKUP(J65,'HOURLY RATES'!B$116:C$124,2,0)=0,$J$3,VLOOKUP(J65,'HOURLY RATES'!B$116:C$124,2,0))</f>
        <v>0</v>
      </c>
      <c r="I65" s="249">
        <f>(G65*(1+H65))</f>
        <v>1</v>
      </c>
      <c r="J65" s="181" t="s">
        <v>18</v>
      </c>
      <c r="K65" s="337">
        <v>139.54655644577915</v>
      </c>
      <c r="L65" s="192">
        <f>K65*I65</f>
        <v>139.54655644577915</v>
      </c>
      <c r="M65" s="183">
        <f>IF(VLOOKUP(E65,'HOURLY RATES'!C$6:D$105,2,0)=0,$E$3,VLOOKUP(E65,'HOURLY RATES'!C$6:D$105,2,0))</f>
        <v>55</v>
      </c>
      <c r="N65" s="195">
        <f>M65*L65</f>
        <v>7675.0606045178529</v>
      </c>
      <c r="O65" s="185"/>
      <c r="P65" s="186"/>
      <c r="Q65" s="187">
        <f>P65+N65</f>
        <v>7675.0606045178529</v>
      </c>
      <c r="R65" s="188"/>
      <c r="X65" s="210"/>
    </row>
    <row r="66" spans="1:24" s="11" customFormat="1" ht="16.5" thickBot="1" x14ac:dyDescent="0.25">
      <c r="A66" s="211" t="str">
        <f>IF(J66&lt;&gt;"",1+MAX($A$20:A65),"")</f>
        <v/>
      </c>
      <c r="B66" s="212"/>
      <c r="C66" s="212"/>
      <c r="D66" s="212"/>
      <c r="E66" s="212"/>
      <c r="F66" s="213"/>
      <c r="G66" s="214"/>
      <c r="H66" s="215"/>
      <c r="I66" s="216"/>
      <c r="J66" s="217"/>
      <c r="K66" s="218"/>
      <c r="L66" s="219"/>
      <c r="M66" s="220"/>
      <c r="N66" s="221"/>
      <c r="O66" s="222"/>
      <c r="P66" s="223"/>
      <c r="Q66" s="224"/>
      <c r="R66" s="225"/>
      <c r="X66" s="210"/>
    </row>
    <row r="67" spans="1:24" s="11" customFormat="1" ht="20.100000000000001" customHeight="1" x14ac:dyDescent="0.2">
      <c r="A67" s="433" t="str">
        <f>IF(J67&lt;&gt;"",1+MAX($A$20:A66),"")</f>
        <v/>
      </c>
      <c r="B67" s="434"/>
      <c r="C67" s="434"/>
      <c r="D67" s="435" t="s">
        <v>38</v>
      </c>
      <c r="E67" s="435"/>
      <c r="F67" s="436" t="s">
        <v>279</v>
      </c>
      <c r="G67" s="437"/>
      <c r="H67" s="438"/>
      <c r="I67" s="439"/>
      <c r="J67" s="439"/>
      <c r="K67" s="438"/>
      <c r="L67" s="438"/>
      <c r="M67" s="438"/>
      <c r="N67" s="438"/>
      <c r="O67" s="438"/>
      <c r="P67" s="438"/>
      <c r="Q67" s="438"/>
      <c r="R67" s="440">
        <f>SUM(Q68:Q109)</f>
        <v>5485.9124292901561</v>
      </c>
      <c r="X67" s="210"/>
    </row>
    <row r="68" spans="1:24" s="11" customFormat="1" x14ac:dyDescent="0.2">
      <c r="A68" s="296" t="str">
        <f>IF(J68&lt;&gt;"",1+MAX($A$20:A67),"")</f>
        <v/>
      </c>
      <c r="B68" s="297"/>
      <c r="C68" s="297"/>
      <c r="D68" s="206"/>
      <c r="E68" s="300"/>
      <c r="F68" s="306"/>
      <c r="G68" s="304"/>
      <c r="H68" s="194"/>
      <c r="I68" s="249"/>
      <c r="J68" s="181"/>
      <c r="K68" s="197"/>
      <c r="L68" s="208"/>
      <c r="M68" s="183"/>
      <c r="N68" s="195"/>
      <c r="O68" s="209"/>
      <c r="P68" s="186"/>
      <c r="Q68" s="187"/>
      <c r="R68" s="188"/>
      <c r="X68" s="210"/>
    </row>
    <row r="69" spans="1:24" s="11" customFormat="1" ht="18.75" x14ac:dyDescent="0.2">
      <c r="A69" s="296" t="str">
        <f>IF(J69&lt;&gt;"",1+MAX($A$20:A68),"")</f>
        <v/>
      </c>
      <c r="B69" s="297"/>
      <c r="C69" s="297"/>
      <c r="D69" s="206"/>
      <c r="E69" s="300"/>
      <c r="F69" s="310" t="s">
        <v>280</v>
      </c>
      <c r="G69" s="304"/>
      <c r="H69" s="194"/>
      <c r="I69" s="249"/>
      <c r="J69" s="181"/>
      <c r="K69" s="197"/>
      <c r="L69" s="208"/>
      <c r="M69" s="183"/>
      <c r="N69" s="195"/>
      <c r="O69" s="209"/>
      <c r="P69" s="186"/>
      <c r="Q69" s="187"/>
      <c r="R69" s="188"/>
      <c r="X69" s="210"/>
    </row>
    <row r="70" spans="1:24" s="11" customFormat="1" x14ac:dyDescent="0.2">
      <c r="A70" s="296" t="str">
        <f>IF(J70&lt;&gt;"",1+MAX($A$20:A69),"")</f>
        <v/>
      </c>
      <c r="B70" s="297"/>
      <c r="C70" s="297"/>
      <c r="D70" s="206"/>
      <c r="E70" s="300"/>
      <c r="F70" s="284" t="s">
        <v>281</v>
      </c>
      <c r="G70" s="304"/>
      <c r="H70" s="194"/>
      <c r="I70" s="249"/>
      <c r="J70" s="181"/>
      <c r="K70" s="197"/>
      <c r="L70" s="208"/>
      <c r="M70" s="183"/>
      <c r="N70" s="195"/>
      <c r="O70" s="209"/>
      <c r="P70" s="186"/>
      <c r="Q70" s="187"/>
      <c r="R70" s="188"/>
      <c r="S70" s="332"/>
      <c r="X70" s="210"/>
    </row>
    <row r="71" spans="1:24" s="11" customFormat="1" x14ac:dyDescent="0.2">
      <c r="A71" s="296">
        <f>IF(J71&lt;&gt;"",1+MAX($A$20:A70),"")</f>
        <v>34</v>
      </c>
      <c r="B71" s="297" t="s">
        <v>301</v>
      </c>
      <c r="C71" s="297" t="s">
        <v>301</v>
      </c>
      <c r="D71" s="206" t="s">
        <v>38</v>
      </c>
      <c r="E71" s="300" t="s">
        <v>212</v>
      </c>
      <c r="F71" s="306" t="s">
        <v>282</v>
      </c>
      <c r="G71" s="304">
        <v>25.95</v>
      </c>
      <c r="H71" s="194">
        <f>IF(VLOOKUP(J71,'HOURLY RATES'!B$116:C$124,2,0)=0,$J$3,VLOOKUP(J71,'HOURLY RATES'!B$116:C$124,2,0))</f>
        <v>0.05</v>
      </c>
      <c r="I71" s="249">
        <f t="shared" ref="I71:I72" si="8">(G71*(1+H71))</f>
        <v>27.247499999999999</v>
      </c>
      <c r="J71" s="181" t="s">
        <v>17</v>
      </c>
      <c r="K71" s="197">
        <v>0.1</v>
      </c>
      <c r="L71" s="192">
        <f t="shared" ref="L71:L89" si="9">K71*I71</f>
        <v>2.7247500000000002</v>
      </c>
      <c r="M71" s="183">
        <f>IF(VLOOKUP(E71,'HOURLY RATES'!C$6:D$105,2,0)=0,$E$3,VLOOKUP(E71,'HOURLY RATES'!C$6:D$105,2,0))</f>
        <v>24.876326343750002</v>
      </c>
      <c r="N71" s="195">
        <f t="shared" ref="N71:N72" si="10">M71*L71</f>
        <v>67.781770205132815</v>
      </c>
      <c r="O71" s="209"/>
      <c r="P71" s="186">
        <f t="shared" ref="P71:P72" si="11">O71*I71</f>
        <v>0</v>
      </c>
      <c r="Q71" s="187">
        <f t="shared" ref="Q71:Q72" si="12">P71+N71</f>
        <v>67.781770205132815</v>
      </c>
      <c r="R71" s="188"/>
      <c r="S71" s="333"/>
      <c r="X71" s="210"/>
    </row>
    <row r="72" spans="1:24" s="11" customFormat="1" x14ac:dyDescent="0.2">
      <c r="A72" s="296">
        <f>IF(J72&lt;&gt;"",1+MAX($A$20:A71),"")</f>
        <v>35</v>
      </c>
      <c r="B72" s="297" t="s">
        <v>301</v>
      </c>
      <c r="C72" s="297" t="s">
        <v>301</v>
      </c>
      <c r="D72" s="206" t="s">
        <v>38</v>
      </c>
      <c r="E72" s="300" t="s">
        <v>212</v>
      </c>
      <c r="F72" s="306" t="s">
        <v>392</v>
      </c>
      <c r="G72" s="304">
        <v>52.6</v>
      </c>
      <c r="H72" s="194">
        <f>IF(VLOOKUP(J72,'HOURLY RATES'!B$116:C$124,2,0)=0,$J$3,VLOOKUP(J72,'HOURLY RATES'!B$116:C$124,2,0))</f>
        <v>0.05</v>
      </c>
      <c r="I72" s="249">
        <f t="shared" si="8"/>
        <v>55.230000000000004</v>
      </c>
      <c r="J72" s="181" t="s">
        <v>17</v>
      </c>
      <c r="K72" s="197">
        <v>4.4999999999999998E-2</v>
      </c>
      <c r="L72" s="192">
        <f t="shared" si="9"/>
        <v>2.4853499999999999</v>
      </c>
      <c r="M72" s="183">
        <f>IF(VLOOKUP(E72,'HOURLY RATES'!C$6:D$105,2,0)=0,$E$3,VLOOKUP(E72,'HOURLY RATES'!C$6:D$105,2,0))</f>
        <v>24.876326343750002</v>
      </c>
      <c r="N72" s="195">
        <f t="shared" si="10"/>
        <v>61.826377678439066</v>
      </c>
      <c r="O72" s="209"/>
      <c r="P72" s="186">
        <f t="shared" si="11"/>
        <v>0</v>
      </c>
      <c r="Q72" s="187">
        <f t="shared" si="12"/>
        <v>61.826377678439066</v>
      </c>
      <c r="R72" s="188"/>
      <c r="S72" s="333"/>
      <c r="X72" s="210"/>
    </row>
    <row r="73" spans="1:24" s="11" customFormat="1" x14ac:dyDescent="0.2">
      <c r="A73" s="296">
        <f>IF(J73&lt;&gt;"",1+MAX($A$20:A72),"")</f>
        <v>36</v>
      </c>
      <c r="B73" s="297" t="s">
        <v>301</v>
      </c>
      <c r="C73" s="297" t="s">
        <v>301</v>
      </c>
      <c r="D73" s="206" t="s">
        <v>38</v>
      </c>
      <c r="E73" s="300" t="s">
        <v>212</v>
      </c>
      <c r="F73" s="306" t="s">
        <v>393</v>
      </c>
      <c r="G73" s="304">
        <v>27.59</v>
      </c>
      <c r="H73" s="194">
        <f>IF(VLOOKUP(J73,'HOURLY RATES'!B$116:C$124,2,0)=0,$J$3,VLOOKUP(J73,'HOURLY RATES'!B$116:C$124,2,0))</f>
        <v>0.05</v>
      </c>
      <c r="I73" s="249">
        <f>(G73*(1+H73))</f>
        <v>28.9695</v>
      </c>
      <c r="J73" s="181" t="s">
        <v>17</v>
      </c>
      <c r="K73" s="197">
        <v>4.4999999999999998E-2</v>
      </c>
      <c r="L73" s="192">
        <f t="shared" si="9"/>
        <v>1.3036274999999999</v>
      </c>
      <c r="M73" s="183">
        <f>IF(VLOOKUP(E73,'HOURLY RATES'!C$6:D$105,2,0)=0,$E$3,VLOOKUP(E73,'HOURLY RATES'!C$6:D$105,2,0))</f>
        <v>24.876326343750002</v>
      </c>
      <c r="N73" s="195">
        <f>M73*L73</f>
        <v>32.429463120686954</v>
      </c>
      <c r="O73" s="209"/>
      <c r="P73" s="186">
        <f>O73*I73</f>
        <v>0</v>
      </c>
      <c r="Q73" s="187">
        <f>P73+N73</f>
        <v>32.429463120686954</v>
      </c>
      <c r="R73" s="188"/>
      <c r="S73" s="333"/>
      <c r="X73" s="210"/>
    </row>
    <row r="74" spans="1:24" s="11" customFormat="1" x14ac:dyDescent="0.2">
      <c r="A74" s="285">
        <f>IF(J74&lt;&gt;"",1+MAX($A$20:A73),"")</f>
        <v>37</v>
      </c>
      <c r="B74" s="297" t="s">
        <v>301</v>
      </c>
      <c r="C74" s="297" t="s">
        <v>301</v>
      </c>
      <c r="D74" s="206" t="s">
        <v>38</v>
      </c>
      <c r="E74" s="190" t="s">
        <v>212</v>
      </c>
      <c r="F74" s="306" t="s">
        <v>394</v>
      </c>
      <c r="G74" s="247">
        <v>154.47</v>
      </c>
      <c r="H74" s="194">
        <f>IF(VLOOKUP(J74,'HOURLY RATES'!B$116:C$124,2,0)=0,$J$3,VLOOKUP(J74,'HOURLY RATES'!B$116:C$124,2,0))</f>
        <v>0.05</v>
      </c>
      <c r="I74" s="249">
        <f t="shared" ref="I74:I75" si="13">(G74*(1+H74))</f>
        <v>162.1935</v>
      </c>
      <c r="J74" s="181" t="s">
        <v>17</v>
      </c>
      <c r="K74" s="337">
        <v>4.4999999999999998E-2</v>
      </c>
      <c r="L74" s="192">
        <f t="shared" si="9"/>
        <v>7.2987074999999999</v>
      </c>
      <c r="M74" s="183">
        <f>IF(VLOOKUP(E74,'HOURLY RATES'!C$6:D$105,2,0)=0,$E$3,VLOOKUP(E74,'HOURLY RATES'!C$6:D$105,2,0))</f>
        <v>24.876326343750002</v>
      </c>
      <c r="N74" s="195">
        <f t="shared" ref="N74:N75" si="14">M74*L74</f>
        <v>181.56502965757571</v>
      </c>
      <c r="O74" s="294"/>
      <c r="P74" s="186">
        <f t="shared" ref="P74:P75" si="15">O74*I74</f>
        <v>0</v>
      </c>
      <c r="Q74" s="187">
        <f t="shared" ref="Q74:Q75" si="16">P74+N74</f>
        <v>181.56502965757571</v>
      </c>
      <c r="R74" s="188"/>
      <c r="X74" s="210"/>
    </row>
    <row r="75" spans="1:24" s="11" customFormat="1" x14ac:dyDescent="0.2">
      <c r="A75" s="285">
        <f>IF(J75&lt;&gt;"",1+MAX($A$20:A74),"")</f>
        <v>38</v>
      </c>
      <c r="B75" s="297" t="s">
        <v>301</v>
      </c>
      <c r="C75" s="297" t="s">
        <v>301</v>
      </c>
      <c r="D75" s="206" t="s">
        <v>38</v>
      </c>
      <c r="E75" s="190" t="s">
        <v>212</v>
      </c>
      <c r="F75" s="306" t="s">
        <v>395</v>
      </c>
      <c r="G75" s="247">
        <v>178.15</v>
      </c>
      <c r="H75" s="194">
        <f>IF(VLOOKUP(J75,'HOURLY RATES'!B$116:C$124,2,0)=0,$J$3,VLOOKUP(J75,'HOURLY RATES'!B$116:C$124,2,0))</f>
        <v>0.05</v>
      </c>
      <c r="I75" s="249">
        <f t="shared" si="13"/>
        <v>187.0575</v>
      </c>
      <c r="J75" s="181" t="s">
        <v>17</v>
      </c>
      <c r="K75" s="337">
        <v>4.4999999999999998E-2</v>
      </c>
      <c r="L75" s="192">
        <f t="shared" si="9"/>
        <v>8.4175874999999998</v>
      </c>
      <c r="M75" s="183">
        <f>IF(VLOOKUP(E75,'HOURLY RATES'!C$6:D$105,2,0)=0,$E$3,VLOOKUP(E75,'HOURLY RATES'!C$6:D$105,2,0))</f>
        <v>24.876326343750002</v>
      </c>
      <c r="N75" s="195">
        <f t="shared" si="14"/>
        <v>209.39865367707071</v>
      </c>
      <c r="O75" s="294"/>
      <c r="P75" s="186">
        <f t="shared" si="15"/>
        <v>0</v>
      </c>
      <c r="Q75" s="187">
        <f t="shared" si="16"/>
        <v>209.39865367707071</v>
      </c>
      <c r="R75" s="188"/>
      <c r="X75" s="210"/>
    </row>
    <row r="76" spans="1:24" s="11" customFormat="1" x14ac:dyDescent="0.2">
      <c r="A76" s="285">
        <f>IF(J76&lt;&gt;"",1+MAX($A$20:A75),"")</f>
        <v>39</v>
      </c>
      <c r="B76" s="297" t="s">
        <v>301</v>
      </c>
      <c r="C76" s="297" t="s">
        <v>301</v>
      </c>
      <c r="D76" s="206" t="s">
        <v>38</v>
      </c>
      <c r="E76" s="190" t="s">
        <v>212</v>
      </c>
      <c r="F76" s="306" t="s">
        <v>396</v>
      </c>
      <c r="G76" s="247">
        <v>162.41</v>
      </c>
      <c r="H76" s="194">
        <f>IF(VLOOKUP(J76,'HOURLY RATES'!B$116:C$124,2,0)=0,$J$3,VLOOKUP(J76,'HOURLY RATES'!B$116:C$124,2,0))</f>
        <v>0.05</v>
      </c>
      <c r="I76" s="249">
        <f>(G76*(1+H76))</f>
        <v>170.53050000000002</v>
      </c>
      <c r="J76" s="181" t="s">
        <v>17</v>
      </c>
      <c r="K76" s="337">
        <v>4.4999999999999998E-2</v>
      </c>
      <c r="L76" s="192">
        <f t="shared" si="9"/>
        <v>7.6738725000000008</v>
      </c>
      <c r="M76" s="183">
        <f>IF(VLOOKUP(E76,'HOURLY RATES'!C$6:D$105,2,0)=0,$E$3,VLOOKUP(E76,'HOURLY RATES'!C$6:D$105,2,0))</f>
        <v>24.876326343750002</v>
      </c>
      <c r="N76" s="195">
        <f>M76*L76</f>
        <v>190.8977566303287</v>
      </c>
      <c r="O76" s="294"/>
      <c r="P76" s="186">
        <f>O76*I76</f>
        <v>0</v>
      </c>
      <c r="Q76" s="187">
        <f>P76+N76</f>
        <v>190.8977566303287</v>
      </c>
      <c r="R76" s="188"/>
      <c r="X76" s="210"/>
    </row>
    <row r="77" spans="1:24" s="11" customFormat="1" x14ac:dyDescent="0.2">
      <c r="A77" s="285">
        <f>IF(J77&lt;&gt;"",1+MAX($A$20:A76),"")</f>
        <v>40</v>
      </c>
      <c r="B77" s="297" t="s">
        <v>301</v>
      </c>
      <c r="C77" s="297" t="s">
        <v>301</v>
      </c>
      <c r="D77" s="206" t="s">
        <v>38</v>
      </c>
      <c r="E77" s="190" t="s">
        <v>212</v>
      </c>
      <c r="F77" s="306" t="s">
        <v>409</v>
      </c>
      <c r="G77" s="247">
        <f>(154.47+162.41+176.15+52.6+27.59)</f>
        <v>573.22</v>
      </c>
      <c r="H77" s="194">
        <f>IF(VLOOKUP(J77,'HOURLY RATES'!B$116:C$124,2,0)=0,$J$3,VLOOKUP(J77,'HOURLY RATES'!B$116:C$124,2,0))</f>
        <v>0.05</v>
      </c>
      <c r="I77" s="249">
        <f>(G77*(1+H77))</f>
        <v>601.88100000000009</v>
      </c>
      <c r="J77" s="181" t="s">
        <v>17</v>
      </c>
      <c r="K77" s="337">
        <v>1.7999999999999999E-2</v>
      </c>
      <c r="L77" s="192">
        <f t="shared" si="9"/>
        <v>10.833858000000001</v>
      </c>
      <c r="M77" s="183">
        <f>IF(VLOOKUP(E77,'HOURLY RATES'!C$6:D$105,2,0)=0,$E$3,VLOOKUP(E77,'HOURLY RATES'!C$6:D$105,2,0))</f>
        <v>24.876326343750002</v>
      </c>
      <c r="N77" s="195">
        <f>M77*L77</f>
        <v>269.50658716984674</v>
      </c>
      <c r="O77" s="294"/>
      <c r="P77" s="186">
        <f>O77*I77</f>
        <v>0</v>
      </c>
      <c r="Q77" s="187">
        <f>P77+N77</f>
        <v>269.50658716984674</v>
      </c>
      <c r="R77" s="188"/>
      <c r="X77" s="210"/>
    </row>
    <row r="78" spans="1:24" s="11" customFormat="1" x14ac:dyDescent="0.2">
      <c r="A78" s="285">
        <f>IF(J78&lt;&gt;"",1+MAX($A$20:A77),"")</f>
        <v>41</v>
      </c>
      <c r="B78" s="297" t="s">
        <v>301</v>
      </c>
      <c r="C78" s="297" t="s">
        <v>301</v>
      </c>
      <c r="D78" s="206" t="s">
        <v>38</v>
      </c>
      <c r="E78" s="190" t="s">
        <v>212</v>
      </c>
      <c r="F78" s="306" t="s">
        <v>283</v>
      </c>
      <c r="G78" s="247">
        <f>56.07*9</f>
        <v>504.63</v>
      </c>
      <c r="H78" s="194">
        <f>IF(VLOOKUP(J78,'HOURLY RATES'!B$116:C$124,2,0)=0,$J$3,VLOOKUP(J78,'HOURLY RATES'!B$116:C$124,2,0))</f>
        <v>0.05</v>
      </c>
      <c r="I78" s="249">
        <f t="shared" ref="I78:I80" si="17">(G78*(1+H78))</f>
        <v>529.86149999999998</v>
      </c>
      <c r="J78" s="181" t="s">
        <v>17</v>
      </c>
      <c r="K78" s="337">
        <v>2.3E-2</v>
      </c>
      <c r="L78" s="192">
        <f t="shared" si="9"/>
        <v>12.186814499999999</v>
      </c>
      <c r="M78" s="183">
        <f>IF(VLOOKUP(E78,'HOURLY RATES'!C$6:D$105,2,0)=0,$E$3,VLOOKUP(E78,'HOURLY RATES'!C$6:D$105,2,0))</f>
        <v>24.876326343750002</v>
      </c>
      <c r="N78" s="195">
        <f t="shared" ref="N78:N80" si="18">M78*L78</f>
        <v>303.1631745927445</v>
      </c>
      <c r="O78" s="294"/>
      <c r="P78" s="186">
        <f t="shared" ref="P78:P80" si="19">O78*I78</f>
        <v>0</v>
      </c>
      <c r="Q78" s="187">
        <f t="shared" ref="Q78:Q80" si="20">P78+N78</f>
        <v>303.1631745927445</v>
      </c>
      <c r="R78" s="188"/>
      <c r="X78" s="210"/>
    </row>
    <row r="79" spans="1:24" s="11" customFormat="1" x14ac:dyDescent="0.2">
      <c r="A79" s="285">
        <f>IF(J79&lt;&gt;"",1+MAX($A$20:A78),"")</f>
        <v>42</v>
      </c>
      <c r="B79" s="297" t="s">
        <v>301</v>
      </c>
      <c r="C79" s="297" t="s">
        <v>301</v>
      </c>
      <c r="D79" s="206" t="s">
        <v>38</v>
      </c>
      <c r="E79" s="190" t="s">
        <v>212</v>
      </c>
      <c r="F79" s="306" t="s">
        <v>410</v>
      </c>
      <c r="G79" s="247">
        <f>160.99*9</f>
        <v>1448.91</v>
      </c>
      <c r="H79" s="194">
        <f>IF(VLOOKUP(J79,'HOURLY RATES'!B$116:C$124,2,0)=0,$J$3,VLOOKUP(J79,'HOURLY RATES'!B$116:C$124,2,0))</f>
        <v>0.05</v>
      </c>
      <c r="I79" s="249">
        <f t="shared" si="17"/>
        <v>1521.3555000000001</v>
      </c>
      <c r="J79" s="181" t="s">
        <v>17</v>
      </c>
      <c r="K79" s="337">
        <v>0.03</v>
      </c>
      <c r="L79" s="192">
        <f t="shared" si="9"/>
        <v>45.640664999999998</v>
      </c>
      <c r="M79" s="183">
        <f>IF(VLOOKUP(E79,'HOURLY RATES'!C$6:D$105,2,0)=0,$E$3,VLOOKUP(E79,'HOURLY RATES'!C$6:D$105,2,0))</f>
        <v>24.876326343750002</v>
      </c>
      <c r="N79" s="195">
        <f t="shared" si="18"/>
        <v>1135.3720770857685</v>
      </c>
      <c r="O79" s="294"/>
      <c r="P79" s="186">
        <f t="shared" si="19"/>
        <v>0</v>
      </c>
      <c r="Q79" s="187">
        <f t="shared" si="20"/>
        <v>1135.3720770857685</v>
      </c>
      <c r="R79" s="188"/>
      <c r="X79" s="210"/>
    </row>
    <row r="80" spans="1:24" s="11" customFormat="1" x14ac:dyDescent="0.2">
      <c r="A80" s="285">
        <f>IF(J80&lt;&gt;"",1+MAX($A$20:A79),"")</f>
        <v>43</v>
      </c>
      <c r="B80" s="297" t="s">
        <v>301</v>
      </c>
      <c r="C80" s="297" t="s">
        <v>301</v>
      </c>
      <c r="D80" s="206" t="s">
        <v>38</v>
      </c>
      <c r="E80" s="190" t="s">
        <v>212</v>
      </c>
      <c r="F80" s="306" t="s">
        <v>437</v>
      </c>
      <c r="G80" s="247">
        <f>3.06*8</f>
        <v>24.48</v>
      </c>
      <c r="H80" s="194">
        <f>IF(VLOOKUP(J80,'HOURLY RATES'!B$116:C$124,2,0)=0,$J$3,VLOOKUP(J80,'HOURLY RATES'!B$116:C$124,2,0))</f>
        <v>0.05</v>
      </c>
      <c r="I80" s="249">
        <f t="shared" si="17"/>
        <v>25.704000000000001</v>
      </c>
      <c r="J80" s="181" t="s">
        <v>17</v>
      </c>
      <c r="K80" s="337">
        <f>0.023*4</f>
        <v>9.1999999999999998E-2</v>
      </c>
      <c r="L80" s="192">
        <f t="shared" si="9"/>
        <v>2.3647680000000002</v>
      </c>
      <c r="M80" s="183">
        <f>IF(VLOOKUP(E80,'HOURLY RATES'!C$6:D$105,2,0)=0,$E$3,VLOOKUP(E80,'HOURLY RATES'!C$6:D$105,2,0))</f>
        <v>24.876326343750002</v>
      </c>
      <c r="N80" s="195">
        <f t="shared" si="18"/>
        <v>58.826740495257006</v>
      </c>
      <c r="O80" s="294"/>
      <c r="P80" s="186">
        <f t="shared" si="19"/>
        <v>0</v>
      </c>
      <c r="Q80" s="187">
        <f t="shared" si="20"/>
        <v>58.826740495257006</v>
      </c>
      <c r="R80" s="188"/>
      <c r="X80" s="210"/>
    </row>
    <row r="81" spans="1:24" s="11" customFormat="1" x14ac:dyDescent="0.2">
      <c r="A81" s="285">
        <f>IF(J81&lt;&gt;"",1+MAX($A$20:A80),"")</f>
        <v>44</v>
      </c>
      <c r="B81" s="297" t="s">
        <v>301</v>
      </c>
      <c r="C81" s="297" t="s">
        <v>301</v>
      </c>
      <c r="D81" s="206" t="s">
        <v>38</v>
      </c>
      <c r="E81" s="190" t="s">
        <v>212</v>
      </c>
      <c r="F81" s="306" t="s">
        <v>284</v>
      </c>
      <c r="G81" s="247">
        <v>118.27</v>
      </c>
      <c r="H81" s="194">
        <f>IF(VLOOKUP(J81,'HOURLY RATES'!B$116:C$124,2,0)=0,$J$3,VLOOKUP(J81,'HOURLY RATES'!B$116:C$124,2,0))</f>
        <v>0.05</v>
      </c>
      <c r="I81" s="249">
        <f>(G81*(1+H81))</f>
        <v>124.1835</v>
      </c>
      <c r="J81" s="181" t="s">
        <v>19</v>
      </c>
      <c r="K81" s="337">
        <v>1.7999999999999999E-2</v>
      </c>
      <c r="L81" s="192">
        <f t="shared" si="9"/>
        <v>2.2353029999999996</v>
      </c>
      <c r="M81" s="183">
        <f>IF(VLOOKUP(E81,'HOURLY RATES'!C$6:D$105,2,0)=0,$E$3,VLOOKUP(E81,'HOURLY RATES'!C$6:D$105,2,0))</f>
        <v>24.876326343750002</v>
      </c>
      <c r="N81" s="195">
        <f>M81*L81</f>
        <v>55.6061269051634</v>
      </c>
      <c r="O81" s="294"/>
      <c r="P81" s="186">
        <f>O81*I81</f>
        <v>0</v>
      </c>
      <c r="Q81" s="187">
        <f>P81+N81</f>
        <v>55.6061269051634</v>
      </c>
      <c r="R81" s="188"/>
      <c r="X81" s="210"/>
    </row>
    <row r="82" spans="1:24" s="11" customFormat="1" x14ac:dyDescent="0.2">
      <c r="A82" s="285">
        <f>IF(J82&lt;&gt;"",1+MAX($A$20:A81),"")</f>
        <v>45</v>
      </c>
      <c r="B82" s="297" t="s">
        <v>301</v>
      </c>
      <c r="C82" s="297" t="s">
        <v>301</v>
      </c>
      <c r="D82" s="206" t="s">
        <v>38</v>
      </c>
      <c r="E82" s="190" t="s">
        <v>212</v>
      </c>
      <c r="F82" s="306" t="s">
        <v>438</v>
      </c>
      <c r="G82" s="247">
        <v>36.1</v>
      </c>
      <c r="H82" s="194">
        <f>IF(VLOOKUP(J82,'HOURLY RATES'!B$116:C$124,2,0)=0,$J$3,VLOOKUP(J82,'HOURLY RATES'!B$116:C$124,2,0))</f>
        <v>0.05</v>
      </c>
      <c r="I82" s="249">
        <f t="shared" ref="I82:I83" si="21">(G82*(1+H82))</f>
        <v>37.905000000000001</v>
      </c>
      <c r="J82" s="181" t="s">
        <v>19</v>
      </c>
      <c r="K82" s="337">
        <v>0.25</v>
      </c>
      <c r="L82" s="192">
        <f t="shared" si="9"/>
        <v>9.4762500000000003</v>
      </c>
      <c r="M82" s="183">
        <f>IF(VLOOKUP(E82,'HOURLY RATES'!C$6:D$105,2,0)=0,$E$3,VLOOKUP(E82,'HOURLY RATES'!C$6:D$105,2,0))</f>
        <v>24.876326343750002</v>
      </c>
      <c r="N82" s="195">
        <f t="shared" ref="N82:N83" si="22">M82*L82</f>
        <v>235.73428751496095</v>
      </c>
      <c r="O82" s="294"/>
      <c r="P82" s="186">
        <f t="shared" ref="P82:P83" si="23">O82*I82</f>
        <v>0</v>
      </c>
      <c r="Q82" s="187">
        <f t="shared" ref="Q82:Q83" si="24">P82+N82</f>
        <v>235.73428751496095</v>
      </c>
      <c r="R82" s="188"/>
      <c r="X82" s="210"/>
    </row>
    <row r="83" spans="1:24" s="11" customFormat="1" x14ac:dyDescent="0.2">
      <c r="A83" s="285">
        <f>IF(J83&lt;&gt;"",1+MAX($A$20:A82),"")</f>
        <v>46</v>
      </c>
      <c r="B83" s="297" t="s">
        <v>301</v>
      </c>
      <c r="C83" s="297" t="s">
        <v>301</v>
      </c>
      <c r="D83" s="206" t="s">
        <v>38</v>
      </c>
      <c r="E83" s="190" t="s">
        <v>212</v>
      </c>
      <c r="F83" s="306" t="s">
        <v>285</v>
      </c>
      <c r="G83" s="247">
        <v>42.71</v>
      </c>
      <c r="H83" s="194">
        <f>IF(VLOOKUP(J83,'HOURLY RATES'!B$116:C$124,2,0)=0,$J$3,VLOOKUP(J83,'HOURLY RATES'!B$116:C$124,2,0))</f>
        <v>0.05</v>
      </c>
      <c r="I83" s="249">
        <f t="shared" si="21"/>
        <v>44.845500000000001</v>
      </c>
      <c r="J83" s="181" t="s">
        <v>19</v>
      </c>
      <c r="K83" s="337">
        <f>0.015*3</f>
        <v>4.4999999999999998E-2</v>
      </c>
      <c r="L83" s="192">
        <f t="shared" si="9"/>
        <v>2.0180474999999998</v>
      </c>
      <c r="M83" s="183">
        <f>IF(VLOOKUP(E83,'HOURLY RATES'!C$6:D$105,2,0)=0,$E$3,VLOOKUP(E83,'HOURLY RATES'!C$6:D$105,2,0))</f>
        <v>24.876326343750002</v>
      </c>
      <c r="N83" s="195">
        <f t="shared" si="22"/>
        <v>50.201608187188825</v>
      </c>
      <c r="O83" s="294"/>
      <c r="P83" s="186">
        <f t="shared" si="23"/>
        <v>0</v>
      </c>
      <c r="Q83" s="187">
        <f t="shared" si="24"/>
        <v>50.201608187188825</v>
      </c>
      <c r="R83" s="188"/>
      <c r="X83" s="210"/>
    </row>
    <row r="84" spans="1:24" s="11" customFormat="1" x14ac:dyDescent="0.2">
      <c r="A84" s="285">
        <f>IF(J84&lt;&gt;"",1+MAX($A$20:A83),"")</f>
        <v>47</v>
      </c>
      <c r="B84" s="297" t="s">
        <v>301</v>
      </c>
      <c r="C84" s="297" t="s">
        <v>301</v>
      </c>
      <c r="D84" s="206" t="s">
        <v>38</v>
      </c>
      <c r="E84" s="190" t="s">
        <v>212</v>
      </c>
      <c r="F84" s="306" t="s">
        <v>286</v>
      </c>
      <c r="G84" s="247">
        <v>3</v>
      </c>
      <c r="H84" s="194">
        <f>IF(VLOOKUP(J84,'HOURLY RATES'!B$116:C$124,2,0)=0,$J$3,VLOOKUP(J84,'HOURLY RATES'!B$116:C$124,2,0))</f>
        <v>0</v>
      </c>
      <c r="I84" s="249">
        <f>(G84*(1+H84))</f>
        <v>3</v>
      </c>
      <c r="J84" s="181" t="s">
        <v>16</v>
      </c>
      <c r="K84" s="337">
        <v>1.3480000000000001</v>
      </c>
      <c r="L84" s="192">
        <f t="shared" si="9"/>
        <v>4.0440000000000005</v>
      </c>
      <c r="M84" s="183">
        <f>IF(VLOOKUP(E84,'HOURLY RATES'!C$6:D$105,2,0)=0,$E$3,VLOOKUP(E84,'HOURLY RATES'!C$6:D$105,2,0))</f>
        <v>24.876326343750002</v>
      </c>
      <c r="N84" s="195">
        <f>M84*L84</f>
        <v>100.59986373412502</v>
      </c>
      <c r="O84" s="294"/>
      <c r="P84" s="186">
        <f>O84*I84</f>
        <v>0</v>
      </c>
      <c r="Q84" s="187">
        <f>P84+N84</f>
        <v>100.59986373412502</v>
      </c>
      <c r="R84" s="188"/>
      <c r="X84" s="210"/>
    </row>
    <row r="85" spans="1:24" s="11" customFormat="1" x14ac:dyDescent="0.2">
      <c r="A85" s="285">
        <f>IF(J85&lt;&gt;"",1+MAX($A$20:A84),"")</f>
        <v>48</v>
      </c>
      <c r="B85" s="297" t="s">
        <v>301</v>
      </c>
      <c r="C85" s="297" t="s">
        <v>301</v>
      </c>
      <c r="D85" s="206" t="s">
        <v>38</v>
      </c>
      <c r="E85" s="190" t="s">
        <v>212</v>
      </c>
      <c r="F85" s="306" t="s">
        <v>397</v>
      </c>
      <c r="G85" s="247">
        <v>4</v>
      </c>
      <c r="H85" s="194">
        <f>IF(VLOOKUP(J85,'HOURLY RATES'!B$116:C$124,2,0)=0,$J$3,VLOOKUP(J85,'HOURLY RATES'!B$116:C$124,2,0))</f>
        <v>0</v>
      </c>
      <c r="I85" s="249">
        <f t="shared" ref="I85" si="25">(G85*(1+H85))</f>
        <v>4</v>
      </c>
      <c r="J85" s="181" t="s">
        <v>16</v>
      </c>
      <c r="K85" s="337">
        <v>0.45</v>
      </c>
      <c r="L85" s="192">
        <f t="shared" si="9"/>
        <v>1.8</v>
      </c>
      <c r="M85" s="183">
        <f>IF(VLOOKUP(E85,'HOURLY RATES'!C$6:D$105,2,0)=0,$E$3,VLOOKUP(E85,'HOURLY RATES'!C$6:D$105,2,0))</f>
        <v>24.876326343750002</v>
      </c>
      <c r="N85" s="195">
        <f t="shared" ref="N85" si="26">M85*L85</f>
        <v>44.777387418750003</v>
      </c>
      <c r="O85" s="294"/>
      <c r="P85" s="186">
        <f t="shared" ref="P85" si="27">O85*I85</f>
        <v>0</v>
      </c>
      <c r="Q85" s="187">
        <f t="shared" ref="Q85" si="28">P85+N85</f>
        <v>44.777387418750003</v>
      </c>
      <c r="R85" s="188"/>
      <c r="X85" s="210"/>
    </row>
    <row r="86" spans="1:24" s="11" customFormat="1" x14ac:dyDescent="0.2">
      <c r="A86" s="285">
        <f>IF(J86&lt;&gt;"",1+MAX($A$20:A85),"")</f>
        <v>49</v>
      </c>
      <c r="B86" s="297" t="s">
        <v>301</v>
      </c>
      <c r="C86" s="297" t="s">
        <v>301</v>
      </c>
      <c r="D86" s="206" t="s">
        <v>38</v>
      </c>
      <c r="E86" s="190" t="s">
        <v>212</v>
      </c>
      <c r="F86" s="306" t="s">
        <v>287</v>
      </c>
      <c r="G86" s="247">
        <v>7</v>
      </c>
      <c r="H86" s="194">
        <f>IF(VLOOKUP(J86,'HOURLY RATES'!B$116:C$124,2,0)=0,$J$3,VLOOKUP(J86,'HOURLY RATES'!B$116:C$124,2,0))</f>
        <v>0</v>
      </c>
      <c r="I86" s="249">
        <f t="shared" ref="I86" si="29">(G86*(1+H86))</f>
        <v>7</v>
      </c>
      <c r="J86" s="181" t="s">
        <v>16</v>
      </c>
      <c r="K86" s="337">
        <v>0.51</v>
      </c>
      <c r="L86" s="192">
        <f t="shared" si="9"/>
        <v>3.5700000000000003</v>
      </c>
      <c r="M86" s="183">
        <f>IF(VLOOKUP(E86,'HOURLY RATES'!C$6:D$105,2,0)=0,$E$3,VLOOKUP(E86,'HOURLY RATES'!C$6:D$105,2,0))</f>
        <v>24.876326343750002</v>
      </c>
      <c r="N86" s="195">
        <f t="shared" ref="N86" si="30">M86*L86</f>
        <v>88.808485047187517</v>
      </c>
      <c r="O86" s="294"/>
      <c r="P86" s="186">
        <f t="shared" ref="P86" si="31">O86*I86</f>
        <v>0</v>
      </c>
      <c r="Q86" s="187">
        <f t="shared" ref="Q86" si="32">P86+N86</f>
        <v>88.808485047187517</v>
      </c>
      <c r="R86" s="188"/>
      <c r="X86" s="210"/>
    </row>
    <row r="87" spans="1:24" s="11" customFormat="1" x14ac:dyDescent="0.2">
      <c r="A87" s="285">
        <f>IF(J87&lt;&gt;"",1+MAX($A$20:A86),"")</f>
        <v>50</v>
      </c>
      <c r="B87" s="297" t="s">
        <v>301</v>
      </c>
      <c r="C87" s="297" t="s">
        <v>301</v>
      </c>
      <c r="D87" s="206" t="s">
        <v>38</v>
      </c>
      <c r="E87" s="190" t="s">
        <v>212</v>
      </c>
      <c r="F87" s="306" t="s">
        <v>288</v>
      </c>
      <c r="G87" s="247">
        <v>1</v>
      </c>
      <c r="H87" s="194">
        <f>IF(VLOOKUP(J87,'HOURLY RATES'!B$116:C$124,2,0)=0,$J$3,VLOOKUP(J87,'HOURLY RATES'!B$116:C$124,2,0))</f>
        <v>0</v>
      </c>
      <c r="I87" s="249">
        <f>(G87*(1+H87))</f>
        <v>1</v>
      </c>
      <c r="J87" s="181" t="s">
        <v>16</v>
      </c>
      <c r="K87" s="337">
        <v>1</v>
      </c>
      <c r="L87" s="192">
        <f t="shared" si="9"/>
        <v>1</v>
      </c>
      <c r="M87" s="183">
        <f>IF(VLOOKUP(E87,'HOURLY RATES'!C$6:D$105,2,0)=0,$E$3,VLOOKUP(E87,'HOURLY RATES'!C$6:D$105,2,0))</f>
        <v>24.876326343750002</v>
      </c>
      <c r="N87" s="195">
        <f>M87*L87</f>
        <v>24.876326343750002</v>
      </c>
      <c r="O87" s="294"/>
      <c r="P87" s="186">
        <f>O87*I87</f>
        <v>0</v>
      </c>
      <c r="Q87" s="187">
        <f>P87+N87</f>
        <v>24.876326343750002</v>
      </c>
      <c r="R87" s="188"/>
      <c r="X87" s="210"/>
    </row>
    <row r="88" spans="1:24" s="11" customFormat="1" x14ac:dyDescent="0.2">
      <c r="A88" s="285">
        <f>IF(J88&lt;&gt;"",1+MAX($A$20:A87),"")</f>
        <v>51</v>
      </c>
      <c r="B88" s="297" t="s">
        <v>301</v>
      </c>
      <c r="C88" s="297" t="s">
        <v>301</v>
      </c>
      <c r="D88" s="206" t="s">
        <v>38</v>
      </c>
      <c r="E88" s="190" t="s">
        <v>212</v>
      </c>
      <c r="F88" s="306" t="s">
        <v>411</v>
      </c>
      <c r="G88" s="247">
        <v>3.13</v>
      </c>
      <c r="H88" s="194">
        <f>IF(VLOOKUP(J88,'HOURLY RATES'!B$116:C$124,2,0)=0,$J$3,VLOOKUP(J88,'HOURLY RATES'!B$116:C$124,2,0))</f>
        <v>0.05</v>
      </c>
      <c r="I88" s="249">
        <f>(G88*(1+H88))</f>
        <v>3.2865000000000002</v>
      </c>
      <c r="J88" s="181" t="s">
        <v>19</v>
      </c>
      <c r="K88" s="337">
        <v>1</v>
      </c>
      <c r="L88" s="192">
        <f t="shared" si="9"/>
        <v>3.2865000000000002</v>
      </c>
      <c r="M88" s="183">
        <f>IF(VLOOKUP(E88,'HOURLY RATES'!C$6:D$105,2,0)=0,$E$3,VLOOKUP(E88,'HOURLY RATES'!C$6:D$105,2,0))</f>
        <v>24.876326343750002</v>
      </c>
      <c r="N88" s="195">
        <f>M88*L88</f>
        <v>81.756046528734387</v>
      </c>
      <c r="O88" s="294"/>
      <c r="P88" s="186">
        <f>O88*I88</f>
        <v>0</v>
      </c>
      <c r="Q88" s="187">
        <f>P88+N88</f>
        <v>81.756046528734387</v>
      </c>
      <c r="R88" s="188"/>
      <c r="X88" s="210"/>
    </row>
    <row r="89" spans="1:24" s="11" customFormat="1" x14ac:dyDescent="0.2">
      <c r="A89" s="285">
        <f>IF(J89&lt;&gt;"",1+MAX($A$20:A88),"")</f>
        <v>52</v>
      </c>
      <c r="B89" s="297" t="s">
        <v>301</v>
      </c>
      <c r="C89" s="297" t="s">
        <v>301</v>
      </c>
      <c r="D89" s="206" t="s">
        <v>38</v>
      </c>
      <c r="E89" s="190" t="s">
        <v>212</v>
      </c>
      <c r="F89" s="306" t="s">
        <v>412</v>
      </c>
      <c r="G89" s="247">
        <f>1*8.52</f>
        <v>8.52</v>
      </c>
      <c r="H89" s="194">
        <f>IF(VLOOKUP(J89,'HOURLY RATES'!B$116:C$124,2,0)=0,$J$3,VLOOKUP(J89,'HOURLY RATES'!B$116:C$124,2,0))</f>
        <v>0.05</v>
      </c>
      <c r="I89" s="249">
        <f>(G89*(1+H89))</f>
        <v>8.9459999999999997</v>
      </c>
      <c r="J89" s="181" t="s">
        <v>17</v>
      </c>
      <c r="K89" s="337">
        <f>0.044*3</f>
        <v>0.13200000000000001</v>
      </c>
      <c r="L89" s="192">
        <f t="shared" si="9"/>
        <v>1.1808719999999999</v>
      </c>
      <c r="M89" s="183">
        <f>IF(VLOOKUP(E89,'HOURLY RATES'!C$6:D$105,2,0)=0,$E$3,VLOOKUP(E89,'HOURLY RATES'!C$6:D$105,2,0))</f>
        <v>24.876326343750002</v>
      </c>
      <c r="N89" s="195">
        <f>M89*L89</f>
        <v>29.375757242196748</v>
      </c>
      <c r="O89" s="294"/>
      <c r="P89" s="186">
        <f>O89*I89</f>
        <v>0</v>
      </c>
      <c r="Q89" s="187">
        <f>P89+N89</f>
        <v>29.375757242196748</v>
      </c>
      <c r="R89" s="188"/>
      <c r="X89" s="210"/>
    </row>
    <row r="90" spans="1:24" s="11" customFormat="1" x14ac:dyDescent="0.2">
      <c r="A90" s="285" t="str">
        <f>IF(J90&lt;&gt;"",1+MAX($A$20:A89),"")</f>
        <v/>
      </c>
      <c r="B90" s="297"/>
      <c r="C90" s="297"/>
      <c r="D90" s="206"/>
      <c r="E90" s="190"/>
      <c r="F90" s="306"/>
      <c r="G90" s="247"/>
      <c r="H90" s="194"/>
      <c r="I90" s="249"/>
      <c r="J90" s="181"/>
      <c r="K90" s="337"/>
      <c r="L90" s="192"/>
      <c r="M90" s="183"/>
      <c r="N90" s="195"/>
      <c r="O90" s="294"/>
      <c r="P90" s="186"/>
      <c r="Q90" s="187"/>
      <c r="R90" s="188"/>
      <c r="X90" s="210"/>
    </row>
    <row r="91" spans="1:24" s="11" customFormat="1" x14ac:dyDescent="0.2">
      <c r="A91" s="296" t="str">
        <f>IF(J91&lt;&gt;"",1+MAX($A$20:A90),"")</f>
        <v/>
      </c>
      <c r="B91" s="297"/>
      <c r="C91" s="297"/>
      <c r="D91" s="206"/>
      <c r="E91" s="300"/>
      <c r="F91" s="284" t="s">
        <v>297</v>
      </c>
      <c r="G91" s="304"/>
      <c r="H91" s="194"/>
      <c r="I91" s="249"/>
      <c r="J91" s="181"/>
      <c r="K91" s="197"/>
      <c r="L91" s="208"/>
      <c r="M91" s="183"/>
      <c r="N91" s="195"/>
      <c r="O91" s="209"/>
      <c r="P91" s="186"/>
      <c r="Q91" s="187"/>
      <c r="R91" s="188"/>
      <c r="S91" s="333"/>
      <c r="X91" s="210"/>
    </row>
    <row r="92" spans="1:24" s="11" customFormat="1" ht="52.5" customHeight="1" x14ac:dyDescent="0.2">
      <c r="A92" s="296">
        <f>IF(J92&lt;&gt;"",1+MAX($A$20:A91),"")</f>
        <v>53</v>
      </c>
      <c r="B92" s="297" t="s">
        <v>302</v>
      </c>
      <c r="C92" s="297" t="s">
        <v>302</v>
      </c>
      <c r="D92" s="206" t="s">
        <v>38</v>
      </c>
      <c r="E92" s="300" t="s">
        <v>212</v>
      </c>
      <c r="F92" s="306" t="s">
        <v>298</v>
      </c>
      <c r="G92" s="304">
        <v>469.9</v>
      </c>
      <c r="H92" s="194">
        <f>IF(VLOOKUP(J92,'HOURLY RATES'!B$116:C$124,2,0)=0,$J$3,VLOOKUP(J92,'HOURLY RATES'!B$116:C$124,2,0))</f>
        <v>0.05</v>
      </c>
      <c r="I92" s="249">
        <f t="shared" ref="I92:I94" si="33">(G92*(1+H92))</f>
        <v>493.39499999999998</v>
      </c>
      <c r="J92" s="181" t="s">
        <v>17</v>
      </c>
      <c r="K92" s="197">
        <f>(0.082+0.048)*0.4</f>
        <v>5.2000000000000005E-2</v>
      </c>
      <c r="L92" s="192">
        <f t="shared" ref="L92:L95" si="34">K92*I92</f>
        <v>25.65654</v>
      </c>
      <c r="M92" s="183">
        <f>IF(VLOOKUP(E92,'HOURLY RATES'!C$6:D$105,2,0)=0,$E$3,VLOOKUP(E92,'HOURLY RATES'!C$6:D$105,2,0))</f>
        <v>24.876326343750002</v>
      </c>
      <c r="N92" s="195">
        <f t="shared" ref="N92:N94" si="35">M92*L92</f>
        <v>638.24046189147566</v>
      </c>
      <c r="O92" s="209"/>
      <c r="P92" s="186">
        <f t="shared" ref="P92:P94" si="36">O92*I92</f>
        <v>0</v>
      </c>
      <c r="Q92" s="187">
        <f t="shared" ref="Q92:Q94" si="37">P92+N92</f>
        <v>638.24046189147566</v>
      </c>
      <c r="R92" s="188"/>
      <c r="S92" s="333"/>
      <c r="X92" s="210"/>
    </row>
    <row r="93" spans="1:24" s="11" customFormat="1" ht="47.25" x14ac:dyDescent="0.2">
      <c r="A93" s="285">
        <f>IF(J93&lt;&gt;"",1+MAX($A$20:A92),"")</f>
        <v>54</v>
      </c>
      <c r="B93" s="297" t="s">
        <v>302</v>
      </c>
      <c r="C93" s="297" t="s">
        <v>302</v>
      </c>
      <c r="D93" s="206" t="s">
        <v>38</v>
      </c>
      <c r="E93" s="190" t="s">
        <v>212</v>
      </c>
      <c r="F93" s="306" t="s">
        <v>413</v>
      </c>
      <c r="G93" s="247">
        <v>1</v>
      </c>
      <c r="H93" s="194">
        <f>IF(VLOOKUP(J93,'HOURLY RATES'!B$116:C$124,2,0)=0,$J$3,VLOOKUP(J93,'HOURLY RATES'!B$116:C$124,2,0))</f>
        <v>0</v>
      </c>
      <c r="I93" s="249">
        <f>(G93*(1+H93))</f>
        <v>1</v>
      </c>
      <c r="J93" s="181" t="s">
        <v>18</v>
      </c>
      <c r="K93" s="337">
        <f>346*0.031</f>
        <v>10.725999999999999</v>
      </c>
      <c r="L93" s="192">
        <f t="shared" ref="L93" si="38">K93*I93</f>
        <v>10.725999999999999</v>
      </c>
      <c r="M93" s="183">
        <f>IF(VLOOKUP(E93,'HOURLY RATES'!C$6:D$105,2,0)=0,$E$3,VLOOKUP(E93,'HOURLY RATES'!C$6:D$105,2,0))</f>
        <v>24.876326343750002</v>
      </c>
      <c r="N93" s="195">
        <f t="shared" si="35"/>
        <v>266.82347636306247</v>
      </c>
      <c r="O93" s="294"/>
      <c r="P93" s="186">
        <f t="shared" si="36"/>
        <v>0</v>
      </c>
      <c r="Q93" s="187">
        <f t="shared" si="37"/>
        <v>266.82347636306247</v>
      </c>
      <c r="R93" s="188"/>
      <c r="X93" s="210"/>
    </row>
    <row r="94" spans="1:24" s="11" customFormat="1" x14ac:dyDescent="0.2">
      <c r="A94" s="296">
        <f>IF(J94&lt;&gt;"",1+MAX($A$20:A93),"")</f>
        <v>55</v>
      </c>
      <c r="B94" s="297" t="s">
        <v>302</v>
      </c>
      <c r="C94" s="297" t="s">
        <v>302</v>
      </c>
      <c r="D94" s="206" t="s">
        <v>38</v>
      </c>
      <c r="E94" s="300" t="s">
        <v>212</v>
      </c>
      <c r="F94" s="306" t="s">
        <v>299</v>
      </c>
      <c r="G94" s="304">
        <v>5</v>
      </c>
      <c r="H94" s="194">
        <f>IF(VLOOKUP(J94,'HOURLY RATES'!B$116:C$124,2,0)=0,$J$3,VLOOKUP(J94,'HOURLY RATES'!B$116:C$124,2,0))</f>
        <v>0</v>
      </c>
      <c r="I94" s="249">
        <f t="shared" si="33"/>
        <v>5</v>
      </c>
      <c r="J94" s="181" t="s">
        <v>16</v>
      </c>
      <c r="K94" s="197">
        <v>0.48499999999999999</v>
      </c>
      <c r="L94" s="192">
        <f t="shared" si="34"/>
        <v>2.4249999999999998</v>
      </c>
      <c r="M94" s="183">
        <f>IF(VLOOKUP(E94,'HOURLY RATES'!C$6:D$105,2,0)=0,$E$3,VLOOKUP(E94,'HOURLY RATES'!C$6:D$105,2,0))</f>
        <v>24.876326343750002</v>
      </c>
      <c r="N94" s="195">
        <f t="shared" si="35"/>
        <v>60.325091383593751</v>
      </c>
      <c r="O94" s="209"/>
      <c r="P94" s="186">
        <f t="shared" si="36"/>
        <v>0</v>
      </c>
      <c r="Q94" s="187">
        <f t="shared" si="37"/>
        <v>60.325091383593751</v>
      </c>
      <c r="R94" s="188"/>
      <c r="S94" s="333"/>
      <c r="X94" s="210"/>
    </row>
    <row r="95" spans="1:24" s="11" customFormat="1" x14ac:dyDescent="0.2">
      <c r="A95" s="296">
        <f>IF(J95&lt;&gt;"",1+MAX($A$20:A94),"")</f>
        <v>56</v>
      </c>
      <c r="B95" s="297" t="s">
        <v>302</v>
      </c>
      <c r="C95" s="297" t="s">
        <v>302</v>
      </c>
      <c r="D95" s="206" t="s">
        <v>38</v>
      </c>
      <c r="E95" s="300" t="s">
        <v>212</v>
      </c>
      <c r="F95" s="306" t="s">
        <v>300</v>
      </c>
      <c r="G95" s="304">
        <v>2</v>
      </c>
      <c r="H95" s="194">
        <f>IF(VLOOKUP(J95,'HOURLY RATES'!B$116:C$124,2,0)=0,$J$3,VLOOKUP(J95,'HOURLY RATES'!B$116:C$124,2,0))</f>
        <v>0</v>
      </c>
      <c r="I95" s="249">
        <f>(G95*(1+H95))</f>
        <v>2</v>
      </c>
      <c r="J95" s="181" t="s">
        <v>16</v>
      </c>
      <c r="K95" s="197">
        <v>1.425</v>
      </c>
      <c r="L95" s="192">
        <f t="shared" si="34"/>
        <v>2.85</v>
      </c>
      <c r="M95" s="183">
        <f>IF(VLOOKUP(E95,'HOURLY RATES'!C$6:D$105,2,0)=0,$E$3,VLOOKUP(E95,'HOURLY RATES'!C$6:D$105,2,0))</f>
        <v>24.876326343750002</v>
      </c>
      <c r="N95" s="195">
        <f>M95*L95</f>
        <v>70.897530079687513</v>
      </c>
      <c r="O95" s="209"/>
      <c r="P95" s="186">
        <f>O95*I95</f>
        <v>0</v>
      </c>
      <c r="Q95" s="187">
        <f>P95+N95</f>
        <v>70.897530079687513</v>
      </c>
      <c r="R95" s="188"/>
      <c r="S95" s="333"/>
      <c r="X95" s="210"/>
    </row>
    <row r="96" spans="1:24" s="11" customFormat="1" x14ac:dyDescent="0.2">
      <c r="A96" s="296" t="str">
        <f>IF(J96&lt;&gt;"",1+MAX($A$20:A95),"")</f>
        <v/>
      </c>
      <c r="B96" s="297"/>
      <c r="C96" s="297"/>
      <c r="D96" s="206"/>
      <c r="E96" s="300"/>
      <c r="F96" s="306"/>
      <c r="G96" s="304"/>
      <c r="H96" s="194"/>
      <c r="I96" s="249"/>
      <c r="J96" s="181"/>
      <c r="K96" s="197"/>
      <c r="L96" s="208"/>
      <c r="M96" s="183"/>
      <c r="N96" s="195"/>
      <c r="O96" s="209"/>
      <c r="P96" s="186"/>
      <c r="Q96" s="187"/>
      <c r="R96" s="188"/>
      <c r="S96" s="333"/>
      <c r="X96" s="210"/>
    </row>
    <row r="97" spans="1:24" s="11" customFormat="1" x14ac:dyDescent="0.2">
      <c r="A97" s="296" t="str">
        <f>IF(J97&lt;&gt;"",1+MAX($A$20:A96),"")</f>
        <v/>
      </c>
      <c r="B97" s="297"/>
      <c r="C97" s="297"/>
      <c r="D97" s="206"/>
      <c r="E97" s="300"/>
      <c r="F97" s="284" t="s">
        <v>294</v>
      </c>
      <c r="G97" s="304"/>
      <c r="H97" s="194"/>
      <c r="I97" s="249"/>
      <c r="J97" s="181"/>
      <c r="K97" s="197"/>
      <c r="L97" s="208"/>
      <c r="M97" s="183"/>
      <c r="N97" s="195"/>
      <c r="O97" s="209"/>
      <c r="P97" s="186"/>
      <c r="Q97" s="187"/>
      <c r="R97" s="188"/>
      <c r="S97" s="333"/>
      <c r="X97" s="210"/>
    </row>
    <row r="98" spans="1:24" s="11" customFormat="1" x14ac:dyDescent="0.2">
      <c r="A98" s="296">
        <f>IF(J98&lt;&gt;"",1+MAX($A$20:A97),"")</f>
        <v>57</v>
      </c>
      <c r="B98" s="297" t="s">
        <v>301</v>
      </c>
      <c r="C98" s="297" t="s">
        <v>301</v>
      </c>
      <c r="D98" s="206" t="s">
        <v>38</v>
      </c>
      <c r="E98" s="300" t="s">
        <v>212</v>
      </c>
      <c r="F98" s="306" t="s">
        <v>289</v>
      </c>
      <c r="G98" s="304">
        <v>7</v>
      </c>
      <c r="H98" s="194">
        <f>IF(VLOOKUP(J98,'HOURLY RATES'!B$116:C$124,2,0)=0,$J$3,VLOOKUP(J98,'HOURLY RATES'!B$116:C$124,2,0))</f>
        <v>0</v>
      </c>
      <c r="I98" s="249">
        <f t="shared" ref="I98:I99" si="39">(G98*(1+H98))</f>
        <v>7</v>
      </c>
      <c r="J98" s="181" t="s">
        <v>16</v>
      </c>
      <c r="K98" s="197">
        <v>1.8560000000000001</v>
      </c>
      <c r="L98" s="192">
        <f t="shared" ref="L98:L102" si="40">K98*I98</f>
        <v>12.992000000000001</v>
      </c>
      <c r="M98" s="183">
        <f>IF(VLOOKUP(E98,'HOURLY RATES'!C$6:D$105,2,0)=0,$E$3,VLOOKUP(E98,'HOURLY RATES'!C$6:D$105,2,0))</f>
        <v>24.876326343750002</v>
      </c>
      <c r="N98" s="195">
        <f t="shared" ref="N98:N99" si="41">M98*L98</f>
        <v>323.19323185800005</v>
      </c>
      <c r="O98" s="209"/>
      <c r="P98" s="186">
        <f t="shared" ref="P98:P99" si="42">O98*I98</f>
        <v>0</v>
      </c>
      <c r="Q98" s="187">
        <f t="shared" ref="Q98:Q99" si="43">P98+N98</f>
        <v>323.19323185800005</v>
      </c>
      <c r="R98" s="188"/>
      <c r="S98" s="333"/>
      <c r="X98" s="210"/>
    </row>
    <row r="99" spans="1:24" s="11" customFormat="1" x14ac:dyDescent="0.2">
      <c r="A99" s="296">
        <f>IF(J99&lt;&gt;"",1+MAX($A$20:A98),"")</f>
        <v>58</v>
      </c>
      <c r="B99" s="297" t="s">
        <v>301</v>
      </c>
      <c r="C99" s="297" t="s">
        <v>301</v>
      </c>
      <c r="D99" s="206" t="s">
        <v>38</v>
      </c>
      <c r="E99" s="300" t="s">
        <v>212</v>
      </c>
      <c r="F99" s="306" t="s">
        <v>290</v>
      </c>
      <c r="G99" s="304">
        <v>2</v>
      </c>
      <c r="H99" s="194">
        <f>IF(VLOOKUP(J99,'HOURLY RATES'!B$116:C$124,2,0)=0,$J$3,VLOOKUP(J99,'HOURLY RATES'!B$116:C$124,2,0))</f>
        <v>0</v>
      </c>
      <c r="I99" s="249">
        <f t="shared" si="39"/>
        <v>2</v>
      </c>
      <c r="J99" s="181" t="s">
        <v>16</v>
      </c>
      <c r="K99" s="197">
        <v>1.665</v>
      </c>
      <c r="L99" s="192">
        <f t="shared" si="40"/>
        <v>3.33</v>
      </c>
      <c r="M99" s="183">
        <f>IF(VLOOKUP(E99,'HOURLY RATES'!C$6:D$105,2,0)=0,$E$3,VLOOKUP(E99,'HOURLY RATES'!C$6:D$105,2,0))</f>
        <v>24.876326343750002</v>
      </c>
      <c r="N99" s="195">
        <f t="shared" si="41"/>
        <v>82.838166724687511</v>
      </c>
      <c r="O99" s="209"/>
      <c r="P99" s="186">
        <f t="shared" si="42"/>
        <v>0</v>
      </c>
      <c r="Q99" s="187">
        <f t="shared" si="43"/>
        <v>82.838166724687511</v>
      </c>
      <c r="R99" s="188"/>
      <c r="S99" s="333"/>
      <c r="X99" s="210"/>
    </row>
    <row r="100" spans="1:24" s="11" customFormat="1" x14ac:dyDescent="0.2">
      <c r="A100" s="296">
        <f>IF(J100&lt;&gt;"",1+MAX($A$20:A99),"")</f>
        <v>59</v>
      </c>
      <c r="B100" s="297" t="s">
        <v>301</v>
      </c>
      <c r="C100" s="297" t="s">
        <v>301</v>
      </c>
      <c r="D100" s="206" t="s">
        <v>38</v>
      </c>
      <c r="E100" s="300" t="s">
        <v>212</v>
      </c>
      <c r="F100" s="306" t="s">
        <v>291</v>
      </c>
      <c r="G100" s="304">
        <v>6</v>
      </c>
      <c r="H100" s="194">
        <f>IF(VLOOKUP(J100,'HOURLY RATES'!B$116:C$124,2,0)=0,$J$3,VLOOKUP(J100,'HOURLY RATES'!B$116:C$124,2,0))</f>
        <v>0</v>
      </c>
      <c r="I100" s="249">
        <f>(G100*(1+H100))</f>
        <v>6</v>
      </c>
      <c r="J100" s="181" t="s">
        <v>16</v>
      </c>
      <c r="K100" s="197">
        <v>1.927</v>
      </c>
      <c r="L100" s="192">
        <f t="shared" si="40"/>
        <v>11.562000000000001</v>
      </c>
      <c r="M100" s="183">
        <f>IF(VLOOKUP(E100,'HOURLY RATES'!C$6:D$105,2,0)=0,$E$3,VLOOKUP(E100,'HOURLY RATES'!C$6:D$105,2,0))</f>
        <v>24.876326343750002</v>
      </c>
      <c r="N100" s="195">
        <f>M100*L100</f>
        <v>287.62008518643756</v>
      </c>
      <c r="O100" s="209"/>
      <c r="P100" s="186">
        <f>O100*I100</f>
        <v>0</v>
      </c>
      <c r="Q100" s="187">
        <f>P100+N100</f>
        <v>287.62008518643756</v>
      </c>
      <c r="R100" s="188"/>
      <c r="S100" s="333"/>
      <c r="X100" s="210"/>
    </row>
    <row r="101" spans="1:24" s="11" customFormat="1" x14ac:dyDescent="0.2">
      <c r="A101" s="296">
        <f>IF(J101&lt;&gt;"",1+MAX($A$20:A100),"")</f>
        <v>60</v>
      </c>
      <c r="B101" s="297" t="s">
        <v>301</v>
      </c>
      <c r="C101" s="297" t="s">
        <v>301</v>
      </c>
      <c r="D101" s="206" t="s">
        <v>38</v>
      </c>
      <c r="E101" s="300" t="s">
        <v>212</v>
      </c>
      <c r="F101" s="306" t="s">
        <v>292</v>
      </c>
      <c r="G101" s="304">
        <v>1</v>
      </c>
      <c r="H101" s="194">
        <f>IF(VLOOKUP(J101,'HOURLY RATES'!B$116:C$124,2,0)=0,$J$3,VLOOKUP(J101,'HOURLY RATES'!B$116:C$124,2,0))</f>
        <v>0</v>
      </c>
      <c r="I101" s="249">
        <f t="shared" ref="I101:I102" si="44">(G101*(1+H101))</f>
        <v>1</v>
      </c>
      <c r="J101" s="181" t="s">
        <v>16</v>
      </c>
      <c r="K101" s="197">
        <v>2.8740000000000001</v>
      </c>
      <c r="L101" s="192">
        <f t="shared" si="40"/>
        <v>2.8740000000000001</v>
      </c>
      <c r="M101" s="183">
        <f>IF(VLOOKUP(E101,'HOURLY RATES'!C$6:D$105,2,0)=0,$E$3,VLOOKUP(E101,'HOURLY RATES'!C$6:D$105,2,0))</f>
        <v>24.876326343750002</v>
      </c>
      <c r="N101" s="195">
        <f t="shared" ref="N101:N102" si="45">M101*L101</f>
        <v>71.49456191193751</v>
      </c>
      <c r="O101" s="209"/>
      <c r="P101" s="186">
        <f t="shared" ref="P101:P102" si="46">O101*I101</f>
        <v>0</v>
      </c>
      <c r="Q101" s="187">
        <f t="shared" ref="Q101:Q102" si="47">P101+N101</f>
        <v>71.49456191193751</v>
      </c>
      <c r="R101" s="188"/>
      <c r="S101" s="333"/>
      <c r="X101" s="210"/>
    </row>
    <row r="102" spans="1:24" s="11" customFormat="1" x14ac:dyDescent="0.2">
      <c r="A102" s="296">
        <f>IF(J102&lt;&gt;"",1+MAX($A$20:A101),"")</f>
        <v>61</v>
      </c>
      <c r="B102" s="297" t="s">
        <v>301</v>
      </c>
      <c r="C102" s="297" t="s">
        <v>301</v>
      </c>
      <c r="D102" s="206" t="s">
        <v>38</v>
      </c>
      <c r="E102" s="300" t="s">
        <v>212</v>
      </c>
      <c r="F102" s="306" t="s">
        <v>293</v>
      </c>
      <c r="G102" s="304">
        <v>1</v>
      </c>
      <c r="H102" s="194">
        <f>IF(VLOOKUP(J102,'HOURLY RATES'!B$116:C$124,2,0)=0,$J$3,VLOOKUP(J102,'HOURLY RATES'!B$116:C$124,2,0))</f>
        <v>0</v>
      </c>
      <c r="I102" s="249">
        <f t="shared" si="44"/>
        <v>1</v>
      </c>
      <c r="J102" s="181" t="s">
        <v>16</v>
      </c>
      <c r="K102" s="197">
        <v>1.5860000000000001</v>
      </c>
      <c r="L102" s="192">
        <f t="shared" si="40"/>
        <v>1.5860000000000001</v>
      </c>
      <c r="M102" s="183">
        <f>IF(VLOOKUP(E102,'HOURLY RATES'!C$6:D$105,2,0)=0,$E$3,VLOOKUP(E102,'HOURLY RATES'!C$6:D$105,2,0))</f>
        <v>24.876326343750002</v>
      </c>
      <c r="N102" s="195">
        <f t="shared" si="45"/>
        <v>39.453853581187502</v>
      </c>
      <c r="O102" s="209"/>
      <c r="P102" s="186">
        <f t="shared" si="46"/>
        <v>0</v>
      </c>
      <c r="Q102" s="187">
        <f t="shared" si="47"/>
        <v>39.453853581187502</v>
      </c>
      <c r="R102" s="188"/>
      <c r="S102" s="333"/>
      <c r="X102" s="210"/>
    </row>
    <row r="103" spans="1:24" s="11" customFormat="1" x14ac:dyDescent="0.2">
      <c r="A103" s="296" t="str">
        <f>IF(J103&lt;&gt;"",1+MAX($A$20:A102),"")</f>
        <v/>
      </c>
      <c r="B103" s="297"/>
      <c r="C103" s="297"/>
      <c r="D103" s="206"/>
      <c r="E103" s="300"/>
      <c r="F103" s="306"/>
      <c r="G103" s="304"/>
      <c r="H103" s="194"/>
      <c r="I103" s="249"/>
      <c r="J103" s="181"/>
      <c r="K103" s="197"/>
      <c r="L103" s="208"/>
      <c r="M103" s="183"/>
      <c r="N103" s="195"/>
      <c r="O103" s="209"/>
      <c r="P103" s="186"/>
      <c r="Q103" s="187"/>
      <c r="R103" s="188"/>
      <c r="S103" s="333"/>
      <c r="X103" s="210"/>
    </row>
    <row r="104" spans="1:24" s="11" customFormat="1" x14ac:dyDescent="0.2">
      <c r="A104" s="296" t="str">
        <f>IF(J104&lt;&gt;"",1+MAX($A$20:A103),"")</f>
        <v/>
      </c>
      <c r="B104" s="297"/>
      <c r="C104" s="297"/>
      <c r="D104" s="206"/>
      <c r="E104" s="300"/>
      <c r="F104" s="284" t="s">
        <v>295</v>
      </c>
      <c r="G104" s="304"/>
      <c r="H104" s="194"/>
      <c r="I104" s="249"/>
      <c r="J104" s="181"/>
      <c r="K104" s="197"/>
      <c r="L104" s="208"/>
      <c r="M104" s="183"/>
      <c r="N104" s="195"/>
      <c r="O104" s="209"/>
      <c r="P104" s="186"/>
      <c r="Q104" s="187"/>
      <c r="R104" s="188"/>
      <c r="S104" s="333"/>
      <c r="X104" s="210"/>
    </row>
    <row r="105" spans="1:24" s="11" customFormat="1" x14ac:dyDescent="0.2">
      <c r="A105" s="296">
        <f>IF(J105&lt;&gt;"",1+MAX($A$20:A104),"")</f>
        <v>62</v>
      </c>
      <c r="B105" s="297" t="s">
        <v>303</v>
      </c>
      <c r="C105" s="297" t="s">
        <v>303</v>
      </c>
      <c r="D105" s="206" t="s">
        <v>38</v>
      </c>
      <c r="E105" s="300" t="s">
        <v>212</v>
      </c>
      <c r="F105" s="306" t="s">
        <v>439</v>
      </c>
      <c r="G105" s="304">
        <v>4.47</v>
      </c>
      <c r="H105" s="194">
        <f>IF(VLOOKUP(J105,'HOURLY RATES'!B$116:C$124,2,0)=0,$J$3,VLOOKUP(J105,'HOURLY RATES'!B$116:C$124,2,0))</f>
        <v>0.05</v>
      </c>
      <c r="I105" s="249">
        <f t="shared" ref="I105:I106" si="48">(G105*(1+H105))</f>
        <v>4.6935000000000002</v>
      </c>
      <c r="J105" s="181" t="s">
        <v>19</v>
      </c>
      <c r="K105" s="197">
        <v>0.23</v>
      </c>
      <c r="L105" s="192">
        <f t="shared" ref="L105:L106" si="49">K105*I105</f>
        <v>1.0795050000000002</v>
      </c>
      <c r="M105" s="183">
        <f>IF(VLOOKUP(E105,'HOURLY RATES'!C$6:D$105,2,0)=0,$E$3,VLOOKUP(E105,'HOURLY RATES'!C$6:D$105,2,0))</f>
        <v>24.876326343750002</v>
      </c>
      <c r="N105" s="195">
        <f t="shared" ref="N105:N106" si="50">M105*L105</f>
        <v>26.854118669709848</v>
      </c>
      <c r="O105" s="209"/>
      <c r="P105" s="186">
        <f t="shared" ref="P105:P106" si="51">O105*I105</f>
        <v>0</v>
      </c>
      <c r="Q105" s="187">
        <f t="shared" ref="Q105:Q106" si="52">P105+N105</f>
        <v>26.854118669709848</v>
      </c>
      <c r="R105" s="188"/>
      <c r="S105" s="333"/>
      <c r="X105" s="210"/>
    </row>
    <row r="106" spans="1:24" s="11" customFormat="1" x14ac:dyDescent="0.2">
      <c r="A106" s="296">
        <f>IF(J106&lt;&gt;"",1+MAX($A$20:A105),"")</f>
        <v>63</v>
      </c>
      <c r="B106" s="297" t="s">
        <v>303</v>
      </c>
      <c r="C106" s="297" t="s">
        <v>303</v>
      </c>
      <c r="D106" s="206" t="s">
        <v>38</v>
      </c>
      <c r="E106" s="300" t="s">
        <v>212</v>
      </c>
      <c r="F106" s="306" t="s">
        <v>296</v>
      </c>
      <c r="G106" s="304">
        <v>1</v>
      </c>
      <c r="H106" s="194">
        <f>IF(VLOOKUP(J106,'HOURLY RATES'!B$116:C$124,2,0)=0,$J$3,VLOOKUP(J106,'HOURLY RATES'!B$116:C$124,2,0))</f>
        <v>0</v>
      </c>
      <c r="I106" s="249">
        <f t="shared" si="48"/>
        <v>1</v>
      </c>
      <c r="J106" s="181" t="s">
        <v>16</v>
      </c>
      <c r="K106" s="197">
        <v>1.325</v>
      </c>
      <c r="L106" s="192">
        <f t="shared" si="49"/>
        <v>1.325</v>
      </c>
      <c r="M106" s="183">
        <f>IF(VLOOKUP(E106,'HOURLY RATES'!C$6:D$105,2,0)=0,$E$3,VLOOKUP(E106,'HOURLY RATES'!C$6:D$105,2,0))</f>
        <v>24.876326343750002</v>
      </c>
      <c r="N106" s="195">
        <f t="shared" si="50"/>
        <v>32.961132405468753</v>
      </c>
      <c r="O106" s="209"/>
      <c r="P106" s="186">
        <f t="shared" si="51"/>
        <v>0</v>
      </c>
      <c r="Q106" s="187">
        <f t="shared" si="52"/>
        <v>32.961132405468753</v>
      </c>
      <c r="R106" s="188"/>
      <c r="S106" s="333"/>
      <c r="X106" s="210"/>
    </row>
    <row r="107" spans="1:24" s="11" customFormat="1" x14ac:dyDescent="0.2">
      <c r="A107" s="296" t="str">
        <f>IF(J107&lt;&gt;"",1+MAX($A$20:A106),"")</f>
        <v/>
      </c>
      <c r="B107" s="297"/>
      <c r="C107" s="297"/>
      <c r="D107" s="206"/>
      <c r="E107" s="300"/>
      <c r="F107" s="306"/>
      <c r="G107" s="304"/>
      <c r="H107" s="194"/>
      <c r="I107" s="249"/>
      <c r="J107" s="181"/>
      <c r="K107" s="197"/>
      <c r="L107" s="208"/>
      <c r="M107" s="183"/>
      <c r="N107" s="195"/>
      <c r="O107" s="209"/>
      <c r="P107" s="186"/>
      <c r="Q107" s="187"/>
      <c r="R107" s="188"/>
      <c r="X107" s="210"/>
    </row>
    <row r="108" spans="1:24" s="11" customFormat="1" x14ac:dyDescent="0.2">
      <c r="A108" s="198">
        <f>IF(J108&lt;&gt;"",1+MAX($A$20:A107),"")</f>
        <v>64</v>
      </c>
      <c r="B108" s="297"/>
      <c r="C108" s="297"/>
      <c r="D108" s="206" t="s">
        <v>38</v>
      </c>
      <c r="E108" s="300" t="s">
        <v>212</v>
      </c>
      <c r="F108" s="331" t="s">
        <v>407</v>
      </c>
      <c r="G108" s="304">
        <f>1.2*23.78</f>
        <v>28.536000000000001</v>
      </c>
      <c r="H108" s="194">
        <f>IF(VLOOKUP(J108,'HOURLY RATES'!B$116:C$124,2,0)=0,$J$3,VLOOKUP(J108,'HOURLY RATES'!B$116:C$124,2,0))</f>
        <v>0.05</v>
      </c>
      <c r="I108" s="249">
        <f>(G108*(1+H108))</f>
        <v>29.962800000000001</v>
      </c>
      <c r="J108" s="181" t="s">
        <v>41</v>
      </c>
      <c r="K108" s="197">
        <f>1.2*0.405514408336079</f>
        <v>0.48661729000329479</v>
      </c>
      <c r="L108" s="192">
        <f>K108*I108</f>
        <v>14.580416536910722</v>
      </c>
      <c r="M108" s="183">
        <f>IF(VLOOKUP(E108,'HOURLY RATES'!C$6:D$105,2,0)=0,$E$3,VLOOKUP(E108,'HOURLY RATES'!C$6:D$105,2,0))</f>
        <v>24.876326343750002</v>
      </c>
      <c r="N108" s="195">
        <f>M108*L108</f>
        <v>362.70720000000034</v>
      </c>
      <c r="O108" s="209"/>
      <c r="P108" s="186">
        <f>O108*I108</f>
        <v>0</v>
      </c>
      <c r="Q108" s="187">
        <f>P108+N108</f>
        <v>362.70720000000034</v>
      </c>
      <c r="R108" s="188"/>
      <c r="S108" s="334"/>
      <c r="U108" s="334"/>
      <c r="V108" s="335"/>
      <c r="W108" s="336"/>
      <c r="X108" s="210"/>
    </row>
    <row r="109" spans="1:24" s="11" customFormat="1" ht="16.5" thickBot="1" x14ac:dyDescent="0.25">
      <c r="A109" s="211" t="str">
        <f>IF(J109&lt;&gt;"",1+MAX($A$20:A108),"")</f>
        <v/>
      </c>
      <c r="B109" s="212"/>
      <c r="C109" s="212"/>
      <c r="D109" s="212"/>
      <c r="E109" s="212"/>
      <c r="F109" s="309"/>
      <c r="G109" s="214"/>
      <c r="H109" s="215"/>
      <c r="I109" s="216"/>
      <c r="J109" s="217"/>
      <c r="K109" s="218"/>
      <c r="L109" s="219"/>
      <c r="M109" s="220"/>
      <c r="N109" s="221"/>
      <c r="O109" s="222"/>
      <c r="P109" s="223"/>
      <c r="Q109" s="224"/>
      <c r="R109" s="225"/>
      <c r="X109" s="210"/>
    </row>
    <row r="110" spans="1:24" s="11" customFormat="1" ht="20.100000000000001" customHeight="1" x14ac:dyDescent="0.2">
      <c r="A110" s="433" t="str">
        <f>IF(J110&lt;&gt;"",1+MAX($A$20:A109),"")</f>
        <v/>
      </c>
      <c r="B110" s="434"/>
      <c r="C110" s="434"/>
      <c r="D110" s="435" t="s">
        <v>39</v>
      </c>
      <c r="E110" s="435"/>
      <c r="F110" s="436" t="s">
        <v>40</v>
      </c>
      <c r="G110" s="437"/>
      <c r="H110" s="438"/>
      <c r="I110" s="439"/>
      <c r="J110" s="439"/>
      <c r="K110" s="438"/>
      <c r="L110" s="438"/>
      <c r="M110" s="438"/>
      <c r="N110" s="438"/>
      <c r="O110" s="438"/>
      <c r="P110" s="438"/>
      <c r="Q110" s="438"/>
      <c r="R110" s="440">
        <f>SUM(Q111:Q115)</f>
        <v>297.51694134981875</v>
      </c>
      <c r="X110" s="210"/>
    </row>
    <row r="111" spans="1:24" s="11" customFormat="1" x14ac:dyDescent="0.2">
      <c r="A111" s="285" t="str">
        <f>IF(J111&lt;&gt;"",1+MAX($A$20:A110),"")</f>
        <v/>
      </c>
      <c r="B111" s="341"/>
      <c r="C111" s="341"/>
      <c r="D111" s="206"/>
      <c r="E111" s="344"/>
      <c r="F111" s="286"/>
      <c r="G111" s="286"/>
      <c r="H111" s="342"/>
      <c r="I111" s="288"/>
      <c r="J111" s="289"/>
      <c r="K111" s="337"/>
      <c r="L111" s="345"/>
      <c r="M111" s="292"/>
      <c r="N111" s="346"/>
      <c r="O111" s="294"/>
      <c r="P111" s="293"/>
      <c r="Q111" s="295"/>
      <c r="R111" s="347"/>
      <c r="X111" s="210"/>
    </row>
    <row r="112" spans="1:24" s="11" customFormat="1" x14ac:dyDescent="0.2">
      <c r="A112" s="285" t="str">
        <f>IF(J112&lt;&gt;"",1+MAX($A$20:A111),"")</f>
        <v/>
      </c>
      <c r="B112" s="341"/>
      <c r="C112" s="341"/>
      <c r="D112" s="206"/>
      <c r="E112" s="344"/>
      <c r="F112" s="305" t="s">
        <v>40</v>
      </c>
      <c r="G112" s="286"/>
      <c r="H112" s="342"/>
      <c r="I112" s="288"/>
      <c r="J112" s="289"/>
      <c r="K112" s="337"/>
      <c r="L112" s="345"/>
      <c r="M112" s="292"/>
      <c r="N112" s="346"/>
      <c r="O112" s="294"/>
      <c r="P112" s="293"/>
      <c r="Q112" s="295"/>
      <c r="R112" s="347"/>
      <c r="X112" s="210"/>
    </row>
    <row r="113" spans="1:24" s="11" customFormat="1" x14ac:dyDescent="0.2">
      <c r="A113" s="285">
        <f>IF(J113&lt;&gt;"",1+MAX($A$20:A112),"")</f>
        <v>65</v>
      </c>
      <c r="B113" s="297" t="s">
        <v>357</v>
      </c>
      <c r="C113" s="297" t="s">
        <v>357</v>
      </c>
      <c r="D113" s="206" t="s">
        <v>39</v>
      </c>
      <c r="E113" s="190" t="s">
        <v>216</v>
      </c>
      <c r="F113" s="312" t="s">
        <v>414</v>
      </c>
      <c r="G113" s="286">
        <f>1*0.5*8.52/27</f>
        <v>0.15777777777777777</v>
      </c>
      <c r="H113" s="194">
        <f>IF(VLOOKUP(J113,'HOURLY RATES'!B$116:C$124,2,0)=0,$J$3,VLOOKUP(J113,'HOURLY RATES'!B$116:C$124,2,0))</f>
        <v>0.05</v>
      </c>
      <c r="I113" s="249">
        <f t="shared" ref="I113" si="53">(G113*(1+H113))</f>
        <v>0.16566666666666666</v>
      </c>
      <c r="J113" s="181" t="s">
        <v>41</v>
      </c>
      <c r="K113" s="337">
        <v>30</v>
      </c>
      <c r="L113" s="192">
        <f>K113*I113</f>
        <v>4.97</v>
      </c>
      <c r="M113" s="183">
        <f>IF(VLOOKUP(E113,'HOURLY RATES'!C$6:D$105,2,0)=0,$E$3,VLOOKUP(E113,'HOURLY RATES'!C$6:D$105,2,0))</f>
        <v>47.703551812500002</v>
      </c>
      <c r="N113" s="195">
        <f>M113*L113</f>
        <v>237.08665250812501</v>
      </c>
      <c r="O113" s="294">
        <f>180*2+0.1*M113</f>
        <v>364.77035518125001</v>
      </c>
      <c r="P113" s="186">
        <f t="shared" ref="P113" si="54">O113*I113</f>
        <v>60.430288841693745</v>
      </c>
      <c r="Q113" s="187">
        <f t="shared" ref="Q113" si="55">P113+N113</f>
        <v>297.51694134981875</v>
      </c>
      <c r="R113" s="188"/>
      <c r="X113" s="210"/>
    </row>
    <row r="114" spans="1:24" s="11" customFormat="1" x14ac:dyDescent="0.2">
      <c r="A114" s="285" t="str">
        <f>IF(J114&lt;&gt;"",1+MAX($A$20:A113),"")</f>
        <v/>
      </c>
      <c r="B114" s="341"/>
      <c r="C114" s="341"/>
      <c r="D114" s="206"/>
      <c r="E114" s="344"/>
      <c r="F114" s="330" t="s">
        <v>415</v>
      </c>
      <c r="G114" s="348"/>
      <c r="H114" s="342"/>
      <c r="I114" s="288"/>
      <c r="J114" s="289"/>
      <c r="K114" s="337"/>
      <c r="L114" s="345"/>
      <c r="M114" s="292"/>
      <c r="N114" s="346"/>
      <c r="O114" s="294"/>
      <c r="P114" s="293"/>
      <c r="Q114" s="295"/>
      <c r="R114" s="188"/>
      <c r="X114" s="210"/>
    </row>
    <row r="115" spans="1:24" s="11" customFormat="1" ht="16.5" thickBot="1" x14ac:dyDescent="0.25">
      <c r="A115" s="211" t="str">
        <f>IF(J115&lt;&gt;"",1+MAX($A$20:A114),"")</f>
        <v/>
      </c>
      <c r="B115" s="212"/>
      <c r="C115" s="212"/>
      <c r="D115" s="212"/>
      <c r="E115" s="212"/>
      <c r="F115" s="309"/>
      <c r="G115" s="214"/>
      <c r="H115" s="215"/>
      <c r="I115" s="216"/>
      <c r="J115" s="217"/>
      <c r="K115" s="218"/>
      <c r="L115" s="219"/>
      <c r="M115" s="220"/>
      <c r="N115" s="221"/>
      <c r="O115" s="222"/>
      <c r="P115" s="223"/>
      <c r="Q115" s="224"/>
      <c r="R115" s="225"/>
      <c r="X115" s="210"/>
    </row>
    <row r="116" spans="1:24" s="11" customFormat="1" ht="20.100000000000001" customHeight="1" x14ac:dyDescent="0.2">
      <c r="A116" s="433" t="str">
        <f>IF(J116&lt;&gt;"",1+MAX($A$20:A115),"")</f>
        <v/>
      </c>
      <c r="B116" s="434"/>
      <c r="C116" s="434"/>
      <c r="D116" s="435" t="s">
        <v>32</v>
      </c>
      <c r="E116" s="435"/>
      <c r="F116" s="436" t="s">
        <v>343</v>
      </c>
      <c r="G116" s="437"/>
      <c r="H116" s="438"/>
      <c r="I116" s="439"/>
      <c r="J116" s="439"/>
      <c r="K116" s="438"/>
      <c r="L116" s="438"/>
      <c r="M116" s="438"/>
      <c r="N116" s="438"/>
      <c r="O116" s="438"/>
      <c r="P116" s="438"/>
      <c r="Q116" s="438"/>
      <c r="R116" s="440">
        <f>SUM(Q117:Q121)</f>
        <v>63.337305561770172</v>
      </c>
      <c r="S116" s="334"/>
      <c r="U116" s="334"/>
      <c r="V116" s="335"/>
      <c r="W116" s="336"/>
      <c r="X116" s="210"/>
    </row>
    <row r="117" spans="1:24" s="11" customFormat="1" x14ac:dyDescent="0.2">
      <c r="A117" s="285" t="str">
        <f>IF(J117&lt;&gt;"",1+MAX($A$20:A116),"")</f>
        <v/>
      </c>
      <c r="B117" s="297"/>
      <c r="C117" s="297"/>
      <c r="D117" s="206"/>
      <c r="E117" s="190"/>
      <c r="F117" s="312"/>
      <c r="G117" s="247"/>
      <c r="H117" s="194"/>
      <c r="I117" s="249"/>
      <c r="J117" s="181"/>
      <c r="K117" s="197"/>
      <c r="L117" s="208"/>
      <c r="M117" s="183"/>
      <c r="N117" s="195"/>
      <c r="O117" s="209"/>
      <c r="P117" s="186"/>
      <c r="Q117" s="187"/>
      <c r="R117" s="188"/>
      <c r="X117" s="210"/>
    </row>
    <row r="118" spans="1:24" s="11" customFormat="1" x14ac:dyDescent="0.2">
      <c r="A118" s="285" t="str">
        <f>IF(J118&lt;&gt;"",1+MAX($A$20:A117),"")</f>
        <v/>
      </c>
      <c r="B118" s="297"/>
      <c r="C118" s="297"/>
      <c r="D118" s="206"/>
      <c r="E118" s="190"/>
      <c r="F118" s="305" t="s">
        <v>344</v>
      </c>
      <c r="G118" s="313"/>
      <c r="H118" s="194"/>
      <c r="I118" s="249"/>
      <c r="J118" s="181"/>
      <c r="K118" s="197"/>
      <c r="L118" s="208"/>
      <c r="M118" s="183"/>
      <c r="N118" s="195"/>
      <c r="O118" s="209"/>
      <c r="P118" s="186"/>
      <c r="Q118" s="187"/>
      <c r="R118" s="188"/>
      <c r="X118" s="210"/>
    </row>
    <row r="119" spans="1:24" s="11" customFormat="1" x14ac:dyDescent="0.2">
      <c r="A119" s="285">
        <f>IF(J119&lt;&gt;"",1+MAX($A$20:A118),"")</f>
        <v>66</v>
      </c>
      <c r="B119" s="297" t="s">
        <v>312</v>
      </c>
      <c r="C119" s="297" t="s">
        <v>312</v>
      </c>
      <c r="D119" s="206" t="s">
        <v>32</v>
      </c>
      <c r="E119" s="190" t="s">
        <v>63</v>
      </c>
      <c r="F119" s="312" t="s">
        <v>345</v>
      </c>
      <c r="G119" s="286">
        <v>9.23</v>
      </c>
      <c r="H119" s="194">
        <f>IF(VLOOKUP(J119,'HOURLY RATES'!B$116:C$124,2,0)=0,$J$3,VLOOKUP(J119,'HOURLY RATES'!B$116:C$124,2,0))</f>
        <v>0.05</v>
      </c>
      <c r="I119" s="249">
        <f>(G119*(1+H119))</f>
        <v>9.6915000000000013</v>
      </c>
      <c r="J119" s="181" t="s">
        <v>19</v>
      </c>
      <c r="K119" s="337">
        <v>5.5E-2</v>
      </c>
      <c r="L119" s="192">
        <f t="shared" ref="L119:L120" si="56">K119*I119</f>
        <v>0.53303250000000013</v>
      </c>
      <c r="M119" s="183">
        <f>IF(VLOOKUP(E119,'HOURLY RATES'!C$6:D$105,2,0)=0,$E$3,VLOOKUP(E119,'HOURLY RATES'!C$6:D$105,2,0))</f>
        <v>39.452196131249998</v>
      </c>
      <c r="N119" s="195">
        <f>M119*L119</f>
        <v>21.029302734330521</v>
      </c>
      <c r="O119" s="294">
        <v>0.998</v>
      </c>
      <c r="P119" s="186">
        <f>O119*I119</f>
        <v>9.6721170000000019</v>
      </c>
      <c r="Q119" s="187">
        <f>P119+N119</f>
        <v>30.701419734330521</v>
      </c>
      <c r="R119" s="188"/>
      <c r="X119" s="210"/>
    </row>
    <row r="120" spans="1:24" s="11" customFormat="1" x14ac:dyDescent="0.2">
      <c r="A120" s="285">
        <f>IF(J120&lt;&gt;"",1+MAX($A$20:A119),"")</f>
        <v>67</v>
      </c>
      <c r="B120" s="297" t="s">
        <v>312</v>
      </c>
      <c r="C120" s="297" t="s">
        <v>312</v>
      </c>
      <c r="D120" s="206" t="s">
        <v>32</v>
      </c>
      <c r="E120" s="190" t="s">
        <v>37</v>
      </c>
      <c r="F120" s="306" t="s">
        <v>436</v>
      </c>
      <c r="G120" s="286">
        <v>13.04</v>
      </c>
      <c r="H120" s="194">
        <f>IF(VLOOKUP(J120,'HOURLY RATES'!B$116:C$124,2,0)=0,$J$3,VLOOKUP(J120,'HOURLY RATES'!B$116:C$124,2,0))</f>
        <v>0.05</v>
      </c>
      <c r="I120" s="249">
        <f t="shared" ref="I120" si="57">(G120*(1+H120))</f>
        <v>13.692</v>
      </c>
      <c r="J120" s="181" t="s">
        <v>17</v>
      </c>
      <c r="K120" s="337">
        <v>2.1999999999999999E-2</v>
      </c>
      <c r="L120" s="192">
        <f t="shared" si="56"/>
        <v>0.30122399999999999</v>
      </c>
      <c r="M120" s="183">
        <f>IF(VLOOKUP(E120,'HOURLY RATES'!C$6:D$105,2,0)=0,$E$3,VLOOKUP(E120,'HOURLY RATES'!C$6:D$105,2,0))</f>
        <v>39.452196131249998</v>
      </c>
      <c r="N120" s="195">
        <f t="shared" ref="N120" si="58">M120*L120</f>
        <v>11.883948327439649</v>
      </c>
      <c r="O120" s="294">
        <f>48.5/32</f>
        <v>1.515625</v>
      </c>
      <c r="P120" s="186">
        <f t="shared" ref="P120" si="59">O120*I120</f>
        <v>20.7519375</v>
      </c>
      <c r="Q120" s="187">
        <f t="shared" ref="Q120" si="60">P120+N120</f>
        <v>32.635885827439651</v>
      </c>
      <c r="R120" s="188"/>
      <c r="X120" s="210"/>
    </row>
    <row r="121" spans="1:24" s="11" customFormat="1" ht="16.5" thickBot="1" x14ac:dyDescent="0.25">
      <c r="A121" s="211" t="str">
        <f>IF(J121&lt;&gt;"",1+MAX($A$20:A120),"")</f>
        <v/>
      </c>
      <c r="B121" s="212"/>
      <c r="C121" s="212"/>
      <c r="D121" s="212"/>
      <c r="E121" s="212"/>
      <c r="F121" s="309"/>
      <c r="G121" s="214"/>
      <c r="H121" s="215"/>
      <c r="I121" s="216"/>
      <c r="J121" s="217"/>
      <c r="K121" s="338"/>
      <c r="L121" s="219"/>
      <c r="M121" s="220"/>
      <c r="N121" s="221"/>
      <c r="O121" s="339"/>
      <c r="P121" s="223"/>
      <c r="Q121" s="224"/>
      <c r="R121" s="225"/>
      <c r="X121" s="210"/>
    </row>
    <row r="122" spans="1:24" s="11" customFormat="1" ht="20.100000000000001" customHeight="1" x14ac:dyDescent="0.2">
      <c r="A122" s="433" t="str">
        <f>IF(J122&lt;&gt;"",1+MAX($A$20:A121),"")</f>
        <v/>
      </c>
      <c r="B122" s="434"/>
      <c r="C122" s="434"/>
      <c r="D122" s="435" t="s">
        <v>26</v>
      </c>
      <c r="E122" s="435"/>
      <c r="F122" s="436" t="s">
        <v>28</v>
      </c>
      <c r="G122" s="437"/>
      <c r="H122" s="438"/>
      <c r="I122" s="439"/>
      <c r="J122" s="439"/>
      <c r="K122" s="438"/>
      <c r="L122" s="438"/>
      <c r="M122" s="438"/>
      <c r="N122" s="438"/>
      <c r="O122" s="438"/>
      <c r="P122" s="438"/>
      <c r="Q122" s="438"/>
      <c r="R122" s="440">
        <f>SUM(Q123:Q132)</f>
        <v>5388.998323760381</v>
      </c>
      <c r="X122" s="210"/>
    </row>
    <row r="123" spans="1:24" s="11" customFormat="1" x14ac:dyDescent="0.2">
      <c r="A123" s="285" t="str">
        <f>IF(J123&lt;&gt;"",1+MAX($A$20:A122),"")</f>
        <v/>
      </c>
      <c r="B123" s="297"/>
      <c r="C123" s="297"/>
      <c r="D123" s="206"/>
      <c r="E123" s="190"/>
      <c r="F123" s="312"/>
      <c r="G123" s="247"/>
      <c r="H123" s="194"/>
      <c r="I123" s="249"/>
      <c r="J123" s="181"/>
      <c r="K123" s="337"/>
      <c r="L123" s="208"/>
      <c r="M123" s="183"/>
      <c r="N123" s="195"/>
      <c r="O123" s="294"/>
      <c r="P123" s="186"/>
      <c r="Q123" s="187"/>
      <c r="R123" s="188"/>
      <c r="X123" s="210"/>
    </row>
    <row r="124" spans="1:24" s="11" customFormat="1" x14ac:dyDescent="0.2">
      <c r="A124" s="285" t="str">
        <f>IF(J124&lt;&gt;"",1+MAX($A$20:A123),"")</f>
        <v/>
      </c>
      <c r="B124" s="297"/>
      <c r="C124" s="297"/>
      <c r="D124" s="206"/>
      <c r="E124" s="190"/>
      <c r="F124" s="305" t="s">
        <v>331</v>
      </c>
      <c r="G124" s="313"/>
      <c r="H124" s="194"/>
      <c r="I124" s="249"/>
      <c r="J124" s="181"/>
      <c r="K124" s="337"/>
      <c r="L124" s="208"/>
      <c r="M124" s="183"/>
      <c r="N124" s="195"/>
      <c r="O124" s="294"/>
      <c r="P124" s="186"/>
      <c r="Q124" s="187"/>
      <c r="R124" s="188"/>
      <c r="X124" s="210"/>
    </row>
    <row r="125" spans="1:24" s="11" customFormat="1" x14ac:dyDescent="0.2">
      <c r="A125" s="285">
        <f>IF(J125&lt;&gt;"",1+MAX($A$20:A124),"")</f>
        <v>68</v>
      </c>
      <c r="B125" s="297" t="s">
        <v>312</v>
      </c>
      <c r="C125" s="297" t="s">
        <v>312</v>
      </c>
      <c r="D125" s="206" t="s">
        <v>26</v>
      </c>
      <c r="E125" s="190" t="s">
        <v>138</v>
      </c>
      <c r="F125" s="312" t="s">
        <v>398</v>
      </c>
      <c r="G125" s="286">
        <v>1</v>
      </c>
      <c r="H125" s="194">
        <f>IF(VLOOKUP(J125,'HOURLY RATES'!B$116:C$124,2,0)=0,$J$3,VLOOKUP(J125,'HOURLY RATES'!B$116:C$124,2,0))</f>
        <v>0</v>
      </c>
      <c r="I125" s="249">
        <f>(G125*(1+H125))</f>
        <v>1</v>
      </c>
      <c r="J125" s="181" t="s">
        <v>16</v>
      </c>
      <c r="K125" s="337">
        <v>4.4249999999999998</v>
      </c>
      <c r="L125" s="192">
        <f t="shared" ref="L125:L127" si="61">K125*I125</f>
        <v>4.4249999999999998</v>
      </c>
      <c r="M125" s="183">
        <f>IF(VLOOKUP(E125,'HOURLY RATES'!C$6:D$105,2,0)=0,$E$3,VLOOKUP(E125,'HOURLY RATES'!C$6:D$105,2,0))</f>
        <v>52.3397654479</v>
      </c>
      <c r="N125" s="195">
        <f>M125*L125</f>
        <v>231.60346210695749</v>
      </c>
      <c r="O125" s="294">
        <f>28.5*3*8</f>
        <v>684</v>
      </c>
      <c r="P125" s="186">
        <f>O125*I125</f>
        <v>684</v>
      </c>
      <c r="Q125" s="187">
        <f>P125+N125</f>
        <v>915.60346210695752</v>
      </c>
      <c r="R125" s="188"/>
      <c r="X125" s="210"/>
    </row>
    <row r="126" spans="1:24" s="11" customFormat="1" x14ac:dyDescent="0.2">
      <c r="A126" s="285">
        <f>IF(J126&lt;&gt;"",1+MAX($A$20:A125),"")</f>
        <v>69</v>
      </c>
      <c r="B126" s="297" t="s">
        <v>312</v>
      </c>
      <c r="C126" s="297" t="s">
        <v>312</v>
      </c>
      <c r="D126" s="206" t="s">
        <v>26</v>
      </c>
      <c r="E126" s="190" t="s">
        <v>138</v>
      </c>
      <c r="F126" s="312" t="s">
        <v>399</v>
      </c>
      <c r="G126" s="286">
        <v>1</v>
      </c>
      <c r="H126" s="194">
        <f>IF(VLOOKUP(J126,'HOURLY RATES'!B$116:C$124,2,0)=0,$J$3,VLOOKUP(J126,'HOURLY RATES'!B$116:C$124,2,0))</f>
        <v>0</v>
      </c>
      <c r="I126" s="249">
        <f>(G126*(1+H126))</f>
        <v>1</v>
      </c>
      <c r="J126" s="181" t="s">
        <v>16</v>
      </c>
      <c r="K126" s="337">
        <v>4.4249999999999998</v>
      </c>
      <c r="L126" s="192">
        <f t="shared" si="61"/>
        <v>4.4249999999999998</v>
      </c>
      <c r="M126" s="183">
        <f>IF(VLOOKUP(E126,'HOURLY RATES'!C$6:D$105,2,0)=0,$E$3,VLOOKUP(E126,'HOURLY RATES'!C$6:D$105,2,0))</f>
        <v>52.3397654479</v>
      </c>
      <c r="N126" s="195">
        <f>M126*L126</f>
        <v>231.60346210695749</v>
      </c>
      <c r="O126" s="294">
        <f>28.5*3*8</f>
        <v>684</v>
      </c>
      <c r="P126" s="186">
        <f>O126*I126</f>
        <v>684</v>
      </c>
      <c r="Q126" s="187">
        <f>P126+N126</f>
        <v>915.60346210695752</v>
      </c>
      <c r="R126" s="188"/>
      <c r="X126" s="210"/>
    </row>
    <row r="127" spans="1:24" s="11" customFormat="1" x14ac:dyDescent="0.2">
      <c r="A127" s="285">
        <f>IF(J127&lt;&gt;"",1+MAX($A$20:A126),"")</f>
        <v>70</v>
      </c>
      <c r="B127" s="297" t="s">
        <v>312</v>
      </c>
      <c r="C127" s="297" t="s">
        <v>312</v>
      </c>
      <c r="D127" s="206" t="s">
        <v>26</v>
      </c>
      <c r="E127" s="190" t="s">
        <v>138</v>
      </c>
      <c r="F127" s="312" t="s">
        <v>400</v>
      </c>
      <c r="G127" s="286">
        <v>1</v>
      </c>
      <c r="H127" s="194">
        <f>IF(VLOOKUP(J127,'HOURLY RATES'!B$116:C$124,2,0)=0,$J$3,VLOOKUP(J127,'HOURLY RATES'!B$116:C$124,2,0))</f>
        <v>0</v>
      </c>
      <c r="I127" s="249">
        <f>(G127*(1+H127))</f>
        <v>1</v>
      </c>
      <c r="J127" s="181" t="s">
        <v>16</v>
      </c>
      <c r="K127" s="337">
        <v>4.4249999999999998</v>
      </c>
      <c r="L127" s="192">
        <f t="shared" si="61"/>
        <v>4.4249999999999998</v>
      </c>
      <c r="M127" s="183">
        <f>IF(VLOOKUP(E127,'HOURLY RATES'!C$6:D$105,2,0)=0,$E$3,VLOOKUP(E127,'HOURLY RATES'!C$6:D$105,2,0))</f>
        <v>52.3397654479</v>
      </c>
      <c r="N127" s="195">
        <f>M127*L127</f>
        <v>231.60346210695749</v>
      </c>
      <c r="O127" s="294">
        <f>28.5*3*8</f>
        <v>684</v>
      </c>
      <c r="P127" s="186">
        <f>O127*I127</f>
        <v>684</v>
      </c>
      <c r="Q127" s="187">
        <f>P127+N127</f>
        <v>915.60346210695752</v>
      </c>
      <c r="R127" s="188"/>
      <c r="X127" s="210"/>
    </row>
    <row r="128" spans="1:24" s="11" customFormat="1" x14ac:dyDescent="0.2">
      <c r="A128" s="285" t="str">
        <f>IF(J128&lt;&gt;"",1+MAX($A$20:A127),"")</f>
        <v/>
      </c>
      <c r="B128" s="297"/>
      <c r="C128" s="297"/>
      <c r="D128" s="206"/>
      <c r="E128" s="190"/>
      <c r="F128" s="312"/>
      <c r="G128" s="247"/>
      <c r="H128" s="194"/>
      <c r="I128" s="249"/>
      <c r="J128" s="181"/>
      <c r="K128" s="337"/>
      <c r="L128" s="208"/>
      <c r="M128" s="183"/>
      <c r="N128" s="195"/>
      <c r="O128" s="294"/>
      <c r="P128" s="186"/>
      <c r="Q128" s="187"/>
      <c r="R128" s="188"/>
      <c r="X128" s="210"/>
    </row>
    <row r="129" spans="1:24" s="11" customFormat="1" x14ac:dyDescent="0.2">
      <c r="A129" s="285" t="str">
        <f>IF(J129&lt;&gt;"",1+MAX($A$20:A128),"")</f>
        <v/>
      </c>
      <c r="B129" s="297"/>
      <c r="C129" s="297"/>
      <c r="D129" s="206"/>
      <c r="E129" s="190"/>
      <c r="F129" s="305" t="s">
        <v>332</v>
      </c>
      <c r="G129" s="313"/>
      <c r="H129" s="194"/>
      <c r="I129" s="249"/>
      <c r="J129" s="181"/>
      <c r="K129" s="337"/>
      <c r="L129" s="208"/>
      <c r="M129" s="183"/>
      <c r="N129" s="195"/>
      <c r="O129" s="294"/>
      <c r="P129" s="186"/>
      <c r="Q129" s="187"/>
      <c r="R129" s="188"/>
      <c r="X129" s="210"/>
    </row>
    <row r="130" spans="1:24" s="11" customFormat="1" ht="126" x14ac:dyDescent="0.2">
      <c r="A130" s="285">
        <f>IF(J130&lt;&gt;"",1+MAX($A$20:A129),"")</f>
        <v>71</v>
      </c>
      <c r="B130" s="297" t="s">
        <v>391</v>
      </c>
      <c r="C130" s="297" t="s">
        <v>391</v>
      </c>
      <c r="D130" s="206" t="s">
        <v>26</v>
      </c>
      <c r="E130" s="190" t="s">
        <v>138</v>
      </c>
      <c r="F130" s="328" t="s">
        <v>401</v>
      </c>
      <c r="G130" s="286">
        <v>2</v>
      </c>
      <c r="H130" s="194">
        <f>IF(VLOOKUP(J130,'HOURLY RATES'!B$116:C$124,2,0)=0,$J$3,VLOOKUP(J130,'HOURLY RATES'!B$116:C$124,2,0))</f>
        <v>0</v>
      </c>
      <c r="I130" s="249">
        <f>(G130*(1+H130))</f>
        <v>2</v>
      </c>
      <c r="J130" s="181" t="s">
        <v>16</v>
      </c>
      <c r="K130" s="337">
        <v>2.6619999999999999</v>
      </c>
      <c r="L130" s="192">
        <f>K130*I130</f>
        <v>5.3239999999999998</v>
      </c>
      <c r="M130" s="183">
        <f>IF(VLOOKUP(E130,'HOURLY RATES'!C$6:D$105,2,0)=0,$E$3,VLOOKUP(E130,'HOURLY RATES'!C$6:D$105,2,0))</f>
        <v>52.3397654479</v>
      </c>
      <c r="N130" s="195">
        <f>M130*L130</f>
        <v>278.65691124461961</v>
      </c>
      <c r="O130" s="294">
        <v>701.24000000000012</v>
      </c>
      <c r="P130" s="186">
        <f>O130*I130</f>
        <v>1402.4800000000002</v>
      </c>
      <c r="Q130" s="187">
        <f>P130+N130</f>
        <v>1681.1369112446198</v>
      </c>
      <c r="R130" s="188"/>
      <c r="X130" s="210"/>
    </row>
    <row r="131" spans="1:24" s="11" customFormat="1" ht="110.25" x14ac:dyDescent="0.2">
      <c r="A131" s="285">
        <f>IF(J131&lt;&gt;"",1+MAX($A$20:A130),"")</f>
        <v>72</v>
      </c>
      <c r="B131" s="297" t="s">
        <v>391</v>
      </c>
      <c r="C131" s="297" t="s">
        <v>391</v>
      </c>
      <c r="D131" s="206" t="s">
        <v>26</v>
      </c>
      <c r="E131" s="190" t="s">
        <v>138</v>
      </c>
      <c r="F131" s="328" t="s">
        <v>402</v>
      </c>
      <c r="G131" s="286">
        <v>1</v>
      </c>
      <c r="H131" s="194">
        <f>IF(VLOOKUP(J131,'HOURLY RATES'!B$116:C$124,2,0)=0,$J$3,VLOOKUP(J131,'HOURLY RATES'!B$116:C$124,2,0))</f>
        <v>0</v>
      </c>
      <c r="I131" s="249">
        <f>(G131*(1+H131))</f>
        <v>1</v>
      </c>
      <c r="J131" s="181" t="s">
        <v>16</v>
      </c>
      <c r="K131" s="337">
        <v>2.9580000000000002</v>
      </c>
      <c r="L131" s="192">
        <f>K131*I131</f>
        <v>2.9580000000000002</v>
      </c>
      <c r="M131" s="183">
        <f>IF(VLOOKUP(E131,'HOURLY RATES'!C$6:D$105,2,0)=0,$E$3,VLOOKUP(E131,'HOURLY RATES'!C$6:D$105,2,0))</f>
        <v>52.3397654479</v>
      </c>
      <c r="N131" s="195">
        <f>M131*L131</f>
        <v>154.82102619488822</v>
      </c>
      <c r="O131" s="294">
        <v>806.23</v>
      </c>
      <c r="P131" s="186">
        <f>O131*I131</f>
        <v>806.23</v>
      </c>
      <c r="Q131" s="187">
        <f>P131+N131</f>
        <v>961.05102619488821</v>
      </c>
      <c r="R131" s="188"/>
      <c r="X131" s="210"/>
    </row>
    <row r="132" spans="1:24" s="11" customFormat="1" ht="16.5" thickBot="1" x14ac:dyDescent="0.25">
      <c r="A132" s="211" t="str">
        <f>IF(J132&lt;&gt;"",1+MAX($A$20:A131),"")</f>
        <v/>
      </c>
      <c r="B132" s="212"/>
      <c r="C132" s="212"/>
      <c r="D132" s="212"/>
      <c r="E132" s="212"/>
      <c r="F132" s="309"/>
      <c r="G132" s="214"/>
      <c r="H132" s="215"/>
      <c r="I132" s="216"/>
      <c r="J132" s="217"/>
      <c r="K132" s="338"/>
      <c r="L132" s="219"/>
      <c r="M132" s="220"/>
      <c r="N132" s="221"/>
      <c r="O132" s="339"/>
      <c r="P132" s="223"/>
      <c r="Q132" s="224"/>
      <c r="R132" s="225"/>
      <c r="X132" s="210"/>
    </row>
    <row r="133" spans="1:24" s="11" customFormat="1" ht="20.100000000000001" customHeight="1" x14ac:dyDescent="0.2">
      <c r="A133" s="433" t="str">
        <f>IF(J133&lt;&gt;"",1+MAX($A$20:A132),"")</f>
        <v/>
      </c>
      <c r="B133" s="434"/>
      <c r="C133" s="434"/>
      <c r="D133" s="435" t="s">
        <v>21</v>
      </c>
      <c r="E133" s="435"/>
      <c r="F133" s="436" t="s">
        <v>29</v>
      </c>
      <c r="G133" s="437"/>
      <c r="H133" s="438"/>
      <c r="I133" s="439"/>
      <c r="J133" s="439"/>
      <c r="K133" s="438"/>
      <c r="L133" s="438"/>
      <c r="M133" s="438"/>
      <c r="N133" s="438"/>
      <c r="O133" s="438"/>
      <c r="P133" s="438"/>
      <c r="Q133" s="438"/>
      <c r="R133" s="440">
        <f>SUM(Q134:Q208)</f>
        <v>25605.296160002999</v>
      </c>
      <c r="X133" s="210"/>
    </row>
    <row r="134" spans="1:24" s="11" customFormat="1" x14ac:dyDescent="0.2">
      <c r="A134" s="285" t="str">
        <f>IF(J134&lt;&gt;"",1+MAX($A$20:A133),"")</f>
        <v/>
      </c>
      <c r="B134" s="299"/>
      <c r="C134" s="299"/>
      <c r="D134" s="199"/>
      <c r="E134" s="190"/>
      <c r="F134" s="205" t="s">
        <v>27</v>
      </c>
      <c r="G134" s="286"/>
      <c r="H134" s="287"/>
      <c r="I134" s="288"/>
      <c r="J134" s="289"/>
      <c r="K134" s="290"/>
      <c r="L134" s="291"/>
      <c r="M134" s="292"/>
      <c r="N134" s="293"/>
      <c r="O134" s="294"/>
      <c r="P134" s="293"/>
      <c r="Q134" s="295"/>
      <c r="R134" s="302"/>
      <c r="X134" s="210"/>
    </row>
    <row r="135" spans="1:24" s="11" customFormat="1" ht="18.75" x14ac:dyDescent="0.2">
      <c r="A135" s="285" t="str">
        <f>IF(J135&lt;&gt;"",1+MAX($A$20:A134),"")</f>
        <v/>
      </c>
      <c r="B135" s="299"/>
      <c r="C135" s="299"/>
      <c r="D135" s="199"/>
      <c r="E135" s="190"/>
      <c r="F135" s="311" t="s">
        <v>304</v>
      </c>
      <c r="G135" s="286"/>
      <c r="H135" s="287"/>
      <c r="I135" s="288"/>
      <c r="J135" s="289"/>
      <c r="K135" s="290"/>
      <c r="L135" s="291"/>
      <c r="M135" s="292"/>
      <c r="N135" s="293"/>
      <c r="O135" s="294"/>
      <c r="P135" s="293"/>
      <c r="Q135" s="295"/>
      <c r="R135" s="302"/>
      <c r="X135" s="210"/>
    </row>
    <row r="136" spans="1:24" s="11" customFormat="1" x14ac:dyDescent="0.2">
      <c r="A136" s="285" t="str">
        <f>IF(J136&lt;&gt;"",1+MAX($A$20:A135),"")</f>
        <v/>
      </c>
      <c r="B136" s="297"/>
      <c r="C136" s="297"/>
      <c r="D136" s="206"/>
      <c r="E136" s="190"/>
      <c r="F136" s="312"/>
      <c r="G136" s="247"/>
      <c r="H136" s="194"/>
      <c r="I136" s="249"/>
      <c r="J136" s="181"/>
      <c r="K136" s="337"/>
      <c r="L136" s="208"/>
      <c r="M136" s="183"/>
      <c r="N136" s="195"/>
      <c r="O136" s="294"/>
      <c r="P136" s="186"/>
      <c r="Q136" s="187"/>
      <c r="R136" s="188"/>
      <c r="X136" s="210"/>
    </row>
    <row r="137" spans="1:24" s="11" customFormat="1" x14ac:dyDescent="0.2">
      <c r="A137" s="285">
        <f>IF(J137&lt;&gt;"",1+MAX($A$20:A136),"")</f>
        <v>73</v>
      </c>
      <c r="B137" s="297"/>
      <c r="C137" s="297"/>
      <c r="D137" s="206"/>
      <c r="E137" s="190"/>
      <c r="F137" s="284" t="s">
        <v>314</v>
      </c>
      <c r="G137" s="313">
        <v>6.34</v>
      </c>
      <c r="H137" s="194">
        <f>IF(VLOOKUP(J137,'HOURLY RATES'!B$116:C$124,2,0)=0,$J$3,VLOOKUP(J137,'HOURLY RATES'!B$116:C$124,2,0))</f>
        <v>0.05</v>
      </c>
      <c r="I137" s="249">
        <f>(G137*(1+H137))</f>
        <v>6.657</v>
      </c>
      <c r="J137" s="181" t="s">
        <v>19</v>
      </c>
      <c r="K137" s="337"/>
      <c r="L137" s="208"/>
      <c r="M137" s="183"/>
      <c r="N137" s="195"/>
      <c r="O137" s="294"/>
      <c r="P137" s="186"/>
      <c r="Q137" s="187"/>
      <c r="R137" s="188"/>
      <c r="X137" s="210"/>
    </row>
    <row r="138" spans="1:24" s="11" customFormat="1" x14ac:dyDescent="0.2">
      <c r="A138" s="285">
        <f>IF(J138&lt;&gt;"",1+MAX($A$20:A137),"")</f>
        <v>74</v>
      </c>
      <c r="B138" s="297" t="s">
        <v>312</v>
      </c>
      <c r="C138" s="297" t="s">
        <v>312</v>
      </c>
      <c r="D138" s="206" t="s">
        <v>21</v>
      </c>
      <c r="E138" s="190" t="s">
        <v>123</v>
      </c>
      <c r="F138" s="312" t="s">
        <v>308</v>
      </c>
      <c r="G138" s="286">
        <f>(G137*9/32)</f>
        <v>1.7831250000000001</v>
      </c>
      <c r="H138" s="194">
        <f>IF(VLOOKUP(J138,'HOURLY RATES'!B$116:C$124,2,0)=0,$J$3,VLOOKUP(J138,'HOURLY RATES'!B$116:C$124,2,0))</f>
        <v>0</v>
      </c>
      <c r="I138" s="249">
        <f>(G138*(1+H138))</f>
        <v>1.7831250000000001</v>
      </c>
      <c r="J138" s="181" t="s">
        <v>16</v>
      </c>
      <c r="K138" s="337">
        <f>0.017*32</f>
        <v>0.54400000000000004</v>
      </c>
      <c r="L138" s="192">
        <f t="shared" ref="L138:L143" si="62">K138*I138</f>
        <v>0.9700200000000001</v>
      </c>
      <c r="M138" s="183">
        <f>IF(VLOOKUP(E138,'HOURLY RATES'!C$6:D$105,2,0)=0,$E$3,VLOOKUP(E138,'HOURLY RATES'!C$6:D$105,2,0))</f>
        <v>39.452196131249998</v>
      </c>
      <c r="N138" s="195">
        <f>M138*L138</f>
        <v>38.269419291235124</v>
      </c>
      <c r="O138" s="294">
        <v>12.28</v>
      </c>
      <c r="P138" s="186">
        <f>O138*I138</f>
        <v>21.896774999999998</v>
      </c>
      <c r="Q138" s="187">
        <f>P138+N138</f>
        <v>60.166194291235122</v>
      </c>
      <c r="R138" s="188"/>
      <c r="X138" s="210"/>
    </row>
    <row r="139" spans="1:24" s="11" customFormat="1" x14ac:dyDescent="0.2">
      <c r="A139" s="285">
        <f>IF(J139&lt;&gt;"",1+MAX($A$20:A138),"")</f>
        <v>75</v>
      </c>
      <c r="B139" s="297" t="s">
        <v>312</v>
      </c>
      <c r="C139" s="297" t="s">
        <v>312</v>
      </c>
      <c r="D139" s="206" t="s">
        <v>21</v>
      </c>
      <c r="E139" s="190" t="s">
        <v>123</v>
      </c>
      <c r="F139" s="312" t="s">
        <v>310</v>
      </c>
      <c r="G139" s="286">
        <f>(G137*9/32)</f>
        <v>1.7831250000000001</v>
      </c>
      <c r="H139" s="194">
        <f>IF(VLOOKUP(J139,'HOURLY RATES'!B$116:C$124,2,0)=0,$J$3,VLOOKUP(J139,'HOURLY RATES'!B$116:C$124,2,0))</f>
        <v>0</v>
      </c>
      <c r="I139" s="249">
        <f>(G139*(1+H139))</f>
        <v>1.7831250000000001</v>
      </c>
      <c r="J139" s="181" t="s">
        <v>16</v>
      </c>
      <c r="K139" s="337">
        <f>0.017*32</f>
        <v>0.54400000000000004</v>
      </c>
      <c r="L139" s="192">
        <f t="shared" si="62"/>
        <v>0.9700200000000001</v>
      </c>
      <c r="M139" s="183">
        <f>IF(VLOOKUP(E139,'HOURLY RATES'!C$6:D$105,2,0)=0,$E$3,VLOOKUP(E139,'HOURLY RATES'!C$6:D$105,2,0))</f>
        <v>39.452196131249998</v>
      </c>
      <c r="N139" s="195">
        <f>M139*L139</f>
        <v>38.269419291235124</v>
      </c>
      <c r="O139" s="294">
        <v>15.94</v>
      </c>
      <c r="P139" s="186">
        <f>O139*I139</f>
        <v>28.423012499999999</v>
      </c>
      <c r="Q139" s="187">
        <f>P139+N139</f>
        <v>66.692431791235123</v>
      </c>
      <c r="R139" s="188"/>
      <c r="X139" s="210"/>
    </row>
    <row r="140" spans="1:24" s="11" customFormat="1" x14ac:dyDescent="0.2">
      <c r="A140" s="285">
        <f>IF(J140&lt;&gt;"",1+MAX($A$20:A139),"")</f>
        <v>76</v>
      </c>
      <c r="B140" s="297" t="s">
        <v>312</v>
      </c>
      <c r="C140" s="297" t="s">
        <v>312</v>
      </c>
      <c r="D140" s="199" t="s">
        <v>21</v>
      </c>
      <c r="E140" s="190" t="s">
        <v>136</v>
      </c>
      <c r="F140" s="312" t="s">
        <v>309</v>
      </c>
      <c r="G140" s="286">
        <f>(G137/1.33)</f>
        <v>4.7669172932330826</v>
      </c>
      <c r="H140" s="194">
        <f>IF(VLOOKUP(J140,'HOURLY RATES'!B$116:C$124,2,0)=0,$J$3,VLOOKUP(J140,'HOURLY RATES'!B$116:C$124,2,0))</f>
        <v>0</v>
      </c>
      <c r="I140" s="249">
        <f t="shared" ref="I140:I143" si="63">(G140*(1+H140))</f>
        <v>4.7669172932330826</v>
      </c>
      <c r="J140" s="181" t="s">
        <v>16</v>
      </c>
      <c r="K140" s="337">
        <f>0.055*10</f>
        <v>0.55000000000000004</v>
      </c>
      <c r="L140" s="192">
        <f t="shared" si="62"/>
        <v>2.6218045112781958</v>
      </c>
      <c r="M140" s="183">
        <f>IF(VLOOKUP(E140,'HOURLY RATES'!C$6:D$105,2,0)=0,$E$3,VLOOKUP(E140,'HOURLY RATES'!C$6:D$105,2,0))</f>
        <v>39.452196131249998</v>
      </c>
      <c r="N140" s="195">
        <f t="shared" ref="N140:N143" si="64">M140*L140</f>
        <v>103.43594579674343</v>
      </c>
      <c r="O140" s="294">
        <f>(1.13*20/22)*10</f>
        <v>10.272727272727272</v>
      </c>
      <c r="P140" s="186">
        <f t="shared" ref="P140:P143" si="65">O140*I140</f>
        <v>48.969241285030755</v>
      </c>
      <c r="Q140" s="187">
        <f t="shared" ref="Q140:Q143" si="66">P140+N140</f>
        <v>152.40518708177419</v>
      </c>
      <c r="R140" s="188"/>
      <c r="X140" s="210"/>
    </row>
    <row r="141" spans="1:24" s="11" customFormat="1" x14ac:dyDescent="0.2">
      <c r="A141" s="285">
        <f>IF(J141&lt;&gt;"",1+MAX($A$20:A140),"")</f>
        <v>77</v>
      </c>
      <c r="B141" s="297" t="s">
        <v>312</v>
      </c>
      <c r="C141" s="297" t="s">
        <v>312</v>
      </c>
      <c r="D141" s="199" t="s">
        <v>21</v>
      </c>
      <c r="E141" s="190" t="s">
        <v>55</v>
      </c>
      <c r="F141" s="312" t="s">
        <v>311</v>
      </c>
      <c r="G141" s="286">
        <f>G137*9</f>
        <v>57.06</v>
      </c>
      <c r="H141" s="194">
        <f>IF(VLOOKUP(J141,'HOURLY RATES'!B$116:C$124,2,0)=0,$J$3,VLOOKUP(J141,'HOURLY RATES'!B$116:C$124,2,0))</f>
        <v>0.05</v>
      </c>
      <c r="I141" s="249">
        <f t="shared" ref="I141" si="67">(G141*(1+H141))</f>
        <v>59.913000000000004</v>
      </c>
      <c r="J141" s="181" t="s">
        <v>17</v>
      </c>
      <c r="K141" s="337">
        <v>0.01</v>
      </c>
      <c r="L141" s="192">
        <f t="shared" si="62"/>
        <v>0.59913000000000005</v>
      </c>
      <c r="M141" s="183">
        <f>IF(VLOOKUP(E141,'HOURLY RATES'!C$6:D$105,2,0)=0,$E$3,VLOOKUP(E141,'HOURLY RATES'!C$6:D$105,2,0))</f>
        <v>39.452196131249998</v>
      </c>
      <c r="N141" s="195">
        <f t="shared" ref="N141" si="68">M141*L141</f>
        <v>23.636994268115814</v>
      </c>
      <c r="O141" s="294">
        <v>0.54</v>
      </c>
      <c r="P141" s="186">
        <f t="shared" ref="P141" si="69">O141*I141</f>
        <v>32.353020000000001</v>
      </c>
      <c r="Q141" s="187">
        <f t="shared" ref="Q141" si="70">P141+N141</f>
        <v>55.990014268115814</v>
      </c>
      <c r="R141" s="188"/>
      <c r="X141" s="210"/>
    </row>
    <row r="142" spans="1:24" s="11" customFormat="1" x14ac:dyDescent="0.2">
      <c r="A142" s="285">
        <f>IF(J142&lt;&gt;"",1+MAX($A$20:A141),"")</f>
        <v>78</v>
      </c>
      <c r="B142" s="297" t="s">
        <v>312</v>
      </c>
      <c r="C142" s="297" t="s">
        <v>312</v>
      </c>
      <c r="D142" s="199" t="s">
        <v>21</v>
      </c>
      <c r="E142" s="190" t="s">
        <v>136</v>
      </c>
      <c r="F142" s="312" t="s">
        <v>305</v>
      </c>
      <c r="G142" s="286">
        <f>G137*2</f>
        <v>12.68</v>
      </c>
      <c r="H142" s="194">
        <f>IF(VLOOKUP(J142,'HOURLY RATES'!B$116:C$124,2,0)=0,$J$3,VLOOKUP(J142,'HOURLY RATES'!B$116:C$124,2,0))</f>
        <v>0.05</v>
      </c>
      <c r="I142" s="249">
        <f t="shared" si="63"/>
        <v>13.314</v>
      </c>
      <c r="J142" s="181" t="s">
        <v>19</v>
      </c>
      <c r="K142" s="337">
        <v>5.5E-2</v>
      </c>
      <c r="L142" s="192">
        <f t="shared" si="62"/>
        <v>0.73226999999999998</v>
      </c>
      <c r="M142" s="183">
        <f>IF(VLOOKUP(E142,'HOURLY RATES'!C$6:D$105,2,0)=0,$E$3,VLOOKUP(E142,'HOURLY RATES'!C$6:D$105,2,0))</f>
        <v>39.452196131249998</v>
      </c>
      <c r="N142" s="195">
        <f t="shared" si="64"/>
        <v>28.889659661030436</v>
      </c>
      <c r="O142" s="294">
        <f>1.13*20/22</f>
        <v>1.0272727272727271</v>
      </c>
      <c r="P142" s="186">
        <f t="shared" si="65"/>
        <v>13.677109090909088</v>
      </c>
      <c r="Q142" s="187">
        <f t="shared" si="66"/>
        <v>42.56676875193952</v>
      </c>
      <c r="R142" s="188"/>
      <c r="X142" s="210"/>
    </row>
    <row r="143" spans="1:24" s="11" customFormat="1" x14ac:dyDescent="0.2">
      <c r="A143" s="285">
        <f>IF(J143&lt;&gt;"",1+MAX($A$20:A142),"")</f>
        <v>79</v>
      </c>
      <c r="B143" s="297" t="s">
        <v>312</v>
      </c>
      <c r="C143" s="297" t="s">
        <v>312</v>
      </c>
      <c r="D143" s="206" t="s">
        <v>21</v>
      </c>
      <c r="E143" s="190" t="s">
        <v>214</v>
      </c>
      <c r="F143" s="312" t="s">
        <v>306</v>
      </c>
      <c r="G143" s="286">
        <f>G137*4</f>
        <v>25.36</v>
      </c>
      <c r="H143" s="194">
        <f>IF(VLOOKUP(J143,'HOURLY RATES'!B$116:C$124,2,0)=0,$J$3,VLOOKUP(J143,'HOURLY RATES'!B$116:C$124,2,0))</f>
        <v>0.05</v>
      </c>
      <c r="I143" s="249">
        <f t="shared" si="63"/>
        <v>26.628</v>
      </c>
      <c r="J143" s="181" t="s">
        <v>19</v>
      </c>
      <c r="K143" s="337">
        <v>1.6E-2</v>
      </c>
      <c r="L143" s="192">
        <f t="shared" si="62"/>
        <v>0.42604800000000004</v>
      </c>
      <c r="M143" s="183">
        <f>IF(VLOOKUP(E143,'HOURLY RATES'!C$6:D$105,2,0)=0,$E$3,VLOOKUP(E143,'HOURLY RATES'!C$6:D$105,2,0))</f>
        <v>55.39718353083866</v>
      </c>
      <c r="N143" s="195">
        <f t="shared" si="64"/>
        <v>23.601859248946752</v>
      </c>
      <c r="O143" s="294">
        <v>0.05</v>
      </c>
      <c r="P143" s="186">
        <f t="shared" si="65"/>
        <v>1.3314000000000001</v>
      </c>
      <c r="Q143" s="187">
        <f t="shared" si="66"/>
        <v>24.933259248946751</v>
      </c>
      <c r="R143" s="188"/>
      <c r="X143" s="210"/>
    </row>
    <row r="144" spans="1:24" s="11" customFormat="1" x14ac:dyDescent="0.2">
      <c r="A144" s="285" t="str">
        <f>IF(J144&lt;&gt;"",1+MAX($A$20:A143),"")</f>
        <v/>
      </c>
      <c r="B144" s="297"/>
      <c r="C144" s="297"/>
      <c r="D144" s="206"/>
      <c r="E144" s="190"/>
      <c r="F144" s="312"/>
      <c r="G144" s="247"/>
      <c r="H144" s="194"/>
      <c r="I144" s="249"/>
      <c r="J144" s="181"/>
      <c r="K144" s="337"/>
      <c r="L144" s="208"/>
      <c r="M144" s="183"/>
      <c r="N144" s="195"/>
      <c r="O144" s="294"/>
      <c r="P144" s="186"/>
      <c r="Q144" s="187"/>
      <c r="R144" s="188"/>
      <c r="X144" s="210"/>
    </row>
    <row r="145" spans="1:24" s="11" customFormat="1" x14ac:dyDescent="0.2">
      <c r="A145" s="285">
        <f>IF(J145&lt;&gt;"",1+MAX($A$20:A144),"")</f>
        <v>80</v>
      </c>
      <c r="B145" s="297"/>
      <c r="C145" s="297"/>
      <c r="D145" s="206"/>
      <c r="E145" s="190"/>
      <c r="F145" s="284" t="s">
        <v>315</v>
      </c>
      <c r="G145" s="313">
        <v>7.6</v>
      </c>
      <c r="H145" s="194">
        <f>IF(VLOOKUP(J145,'HOURLY RATES'!B$116:C$124,2,0)=0,$J$3,VLOOKUP(J145,'HOURLY RATES'!B$116:C$124,2,0))</f>
        <v>0.05</v>
      </c>
      <c r="I145" s="249">
        <f>(G145*(1+H145))</f>
        <v>7.9799999999999995</v>
      </c>
      <c r="J145" s="181" t="s">
        <v>19</v>
      </c>
      <c r="K145" s="337"/>
      <c r="L145" s="208"/>
      <c r="M145" s="183"/>
      <c r="N145" s="195"/>
      <c r="O145" s="294"/>
      <c r="P145" s="186"/>
      <c r="Q145" s="187"/>
      <c r="R145" s="188"/>
      <c r="X145" s="210"/>
    </row>
    <row r="146" spans="1:24" s="11" customFormat="1" x14ac:dyDescent="0.2">
      <c r="A146" s="285">
        <f>IF(J146&lt;&gt;"",1+MAX($A$20:A145),"")</f>
        <v>81</v>
      </c>
      <c r="B146" s="297" t="s">
        <v>312</v>
      </c>
      <c r="C146" s="297" t="s">
        <v>312</v>
      </c>
      <c r="D146" s="206" t="s">
        <v>21</v>
      </c>
      <c r="E146" s="190" t="s">
        <v>236</v>
      </c>
      <c r="F146" s="312" t="s">
        <v>316</v>
      </c>
      <c r="G146" s="286">
        <f>(G145*10*2/32)</f>
        <v>4.75</v>
      </c>
      <c r="H146" s="194">
        <f>IF(VLOOKUP(J146,'HOURLY RATES'!B$116:C$124,2,0)=0,$J$3,VLOOKUP(J146,'HOURLY RATES'!B$116:C$124,2,0))</f>
        <v>0</v>
      </c>
      <c r="I146" s="249">
        <f>(G146*(1+H146))</f>
        <v>4.75</v>
      </c>
      <c r="J146" s="181" t="s">
        <v>16</v>
      </c>
      <c r="K146" s="337">
        <f>0.022*32</f>
        <v>0.70399999999999996</v>
      </c>
      <c r="L146" s="192">
        <f t="shared" ref="L146:L149" si="71">K146*I146</f>
        <v>3.3439999999999999</v>
      </c>
      <c r="M146" s="183">
        <f>IF(VLOOKUP(E146,'HOURLY RATES'!C$6:D$105,2,0)=0,$E$3,VLOOKUP(E146,'HOURLY RATES'!C$6:D$105,2,0))</f>
        <v>54.621734641258755</v>
      </c>
      <c r="N146" s="195">
        <f>M146*L146</f>
        <v>182.65508064036928</v>
      </c>
      <c r="O146" s="294">
        <v>31.14</v>
      </c>
      <c r="P146" s="186">
        <f>O146*I146</f>
        <v>147.91499999999999</v>
      </c>
      <c r="Q146" s="187">
        <f>P146+N146</f>
        <v>330.57008064036927</v>
      </c>
      <c r="R146" s="188"/>
      <c r="X146" s="210"/>
    </row>
    <row r="147" spans="1:24" s="11" customFormat="1" x14ac:dyDescent="0.2">
      <c r="A147" s="285">
        <f>IF(J147&lt;&gt;"",1+MAX($A$20:A146),"")</f>
        <v>82</v>
      </c>
      <c r="B147" s="297" t="s">
        <v>312</v>
      </c>
      <c r="C147" s="297" t="s">
        <v>312</v>
      </c>
      <c r="D147" s="199" t="s">
        <v>21</v>
      </c>
      <c r="E147" s="190" t="s">
        <v>136</v>
      </c>
      <c r="F147" s="312" t="s">
        <v>309</v>
      </c>
      <c r="G147" s="286">
        <f>(G145/1.33)</f>
        <v>5.7142857142857135</v>
      </c>
      <c r="H147" s="194">
        <f>IF(VLOOKUP(J147,'HOURLY RATES'!B$116:C$124,2,0)=0,$J$3,VLOOKUP(J147,'HOURLY RATES'!B$116:C$124,2,0))</f>
        <v>0</v>
      </c>
      <c r="I147" s="249">
        <f t="shared" ref="I147:I149" si="72">(G147*(1+H147))</f>
        <v>5.7142857142857135</v>
      </c>
      <c r="J147" s="181" t="s">
        <v>16</v>
      </c>
      <c r="K147" s="337">
        <f>0.055*10</f>
        <v>0.55000000000000004</v>
      </c>
      <c r="L147" s="192">
        <f t="shared" si="71"/>
        <v>3.1428571428571428</v>
      </c>
      <c r="M147" s="183">
        <f>IF(VLOOKUP(E147,'HOURLY RATES'!C$6:D$105,2,0)=0,$E$3,VLOOKUP(E147,'HOURLY RATES'!C$6:D$105,2,0))</f>
        <v>39.452196131249998</v>
      </c>
      <c r="N147" s="195">
        <f t="shared" ref="N147:N149" si="73">M147*L147</f>
        <v>123.9926164125</v>
      </c>
      <c r="O147" s="294">
        <f>(1.13*20/22)*10</f>
        <v>10.272727272727272</v>
      </c>
      <c r="P147" s="186">
        <f t="shared" ref="P147:P149" si="74">O147*I147</f>
        <v>58.70129870129869</v>
      </c>
      <c r="Q147" s="187">
        <f t="shared" ref="Q147:Q149" si="75">P147+N147</f>
        <v>182.69391511379868</v>
      </c>
      <c r="R147" s="188"/>
      <c r="X147" s="210"/>
    </row>
    <row r="148" spans="1:24" s="11" customFormat="1" x14ac:dyDescent="0.2">
      <c r="A148" s="285">
        <f>IF(J148&lt;&gt;"",1+MAX($A$20:A147),"")</f>
        <v>83</v>
      </c>
      <c r="B148" s="297" t="s">
        <v>312</v>
      </c>
      <c r="C148" s="297" t="s">
        <v>312</v>
      </c>
      <c r="D148" s="199" t="s">
        <v>21</v>
      </c>
      <c r="E148" s="190" t="s">
        <v>136</v>
      </c>
      <c r="F148" s="312" t="s">
        <v>305</v>
      </c>
      <c r="G148" s="286">
        <f>G145*2</f>
        <v>15.2</v>
      </c>
      <c r="H148" s="194">
        <f>IF(VLOOKUP(J148,'HOURLY RATES'!B$116:C$124,2,0)=0,$J$3,VLOOKUP(J148,'HOURLY RATES'!B$116:C$124,2,0))</f>
        <v>0.05</v>
      </c>
      <c r="I148" s="249">
        <f t="shared" si="72"/>
        <v>15.959999999999999</v>
      </c>
      <c r="J148" s="181" t="s">
        <v>19</v>
      </c>
      <c r="K148" s="337">
        <v>5.5E-2</v>
      </c>
      <c r="L148" s="192">
        <f t="shared" si="71"/>
        <v>0.87779999999999991</v>
      </c>
      <c r="M148" s="183">
        <f>IF(VLOOKUP(E148,'HOURLY RATES'!C$6:D$105,2,0)=0,$E$3,VLOOKUP(E148,'HOURLY RATES'!C$6:D$105,2,0))</f>
        <v>39.452196131249998</v>
      </c>
      <c r="N148" s="195">
        <f t="shared" si="73"/>
        <v>34.631137764011243</v>
      </c>
      <c r="O148" s="294">
        <f>1.13*20/22</f>
        <v>1.0272727272727271</v>
      </c>
      <c r="P148" s="186">
        <f t="shared" si="74"/>
        <v>16.395272727272722</v>
      </c>
      <c r="Q148" s="187">
        <f t="shared" si="75"/>
        <v>51.026410491283968</v>
      </c>
      <c r="R148" s="188"/>
      <c r="X148" s="210"/>
    </row>
    <row r="149" spans="1:24" s="11" customFormat="1" x14ac:dyDescent="0.2">
      <c r="A149" s="285">
        <f>IF(J149&lt;&gt;"",1+MAX($A$20:A148),"")</f>
        <v>84</v>
      </c>
      <c r="B149" s="297" t="s">
        <v>312</v>
      </c>
      <c r="C149" s="297" t="s">
        <v>312</v>
      </c>
      <c r="D149" s="206" t="s">
        <v>21</v>
      </c>
      <c r="E149" s="190" t="s">
        <v>214</v>
      </c>
      <c r="F149" s="312" t="s">
        <v>306</v>
      </c>
      <c r="G149" s="286">
        <f>G145*4</f>
        <v>30.4</v>
      </c>
      <c r="H149" s="194">
        <f>IF(VLOOKUP(J149,'HOURLY RATES'!B$116:C$124,2,0)=0,$J$3,VLOOKUP(J149,'HOURLY RATES'!B$116:C$124,2,0))</f>
        <v>0.05</v>
      </c>
      <c r="I149" s="249">
        <f t="shared" si="72"/>
        <v>31.919999999999998</v>
      </c>
      <c r="J149" s="181" t="s">
        <v>19</v>
      </c>
      <c r="K149" s="337">
        <v>1.6E-2</v>
      </c>
      <c r="L149" s="192">
        <f t="shared" si="71"/>
        <v>0.51071999999999995</v>
      </c>
      <c r="M149" s="183">
        <f>IF(VLOOKUP(E149,'HOURLY RATES'!C$6:D$105,2,0)=0,$E$3,VLOOKUP(E149,'HOURLY RATES'!C$6:D$105,2,0))</f>
        <v>55.39718353083866</v>
      </c>
      <c r="N149" s="195">
        <f t="shared" si="73"/>
        <v>28.292449572869916</v>
      </c>
      <c r="O149" s="294">
        <v>0.05</v>
      </c>
      <c r="P149" s="186">
        <f t="shared" si="74"/>
        <v>1.5960000000000001</v>
      </c>
      <c r="Q149" s="187">
        <f t="shared" si="75"/>
        <v>29.888449572869916</v>
      </c>
      <c r="R149" s="188"/>
      <c r="X149" s="210"/>
    </row>
    <row r="150" spans="1:24" s="11" customFormat="1" x14ac:dyDescent="0.2">
      <c r="A150" s="285" t="str">
        <f>IF(J150&lt;&gt;"",1+MAX($A$20:A149),"")</f>
        <v/>
      </c>
      <c r="B150" s="297"/>
      <c r="C150" s="297"/>
      <c r="D150" s="206"/>
      <c r="E150" s="190"/>
      <c r="F150" s="312"/>
      <c r="G150" s="286"/>
      <c r="H150" s="194"/>
      <c r="I150" s="249"/>
      <c r="J150" s="181"/>
      <c r="K150" s="337"/>
      <c r="L150" s="192"/>
      <c r="M150" s="183"/>
      <c r="N150" s="195"/>
      <c r="O150" s="294"/>
      <c r="P150" s="186"/>
      <c r="Q150" s="187"/>
      <c r="R150" s="188"/>
      <c r="X150" s="210"/>
    </row>
    <row r="151" spans="1:24" s="11" customFormat="1" x14ac:dyDescent="0.2">
      <c r="A151" s="285">
        <f>IF(J151&lt;&gt;"",1+MAX($A$20:A150),"")</f>
        <v>85</v>
      </c>
      <c r="B151" s="341"/>
      <c r="C151" s="341"/>
      <c r="D151" s="206"/>
      <c r="E151" s="344"/>
      <c r="F151" s="284" t="s">
        <v>315</v>
      </c>
      <c r="G151" s="313">
        <v>14.46</v>
      </c>
      <c r="H151" s="194">
        <f>IF(VLOOKUP(J151,'HOURLY RATES'!B$116:C$124,2,0)=0,$J$3,VLOOKUP(J151,'HOURLY RATES'!B$116:C$124,2,0))</f>
        <v>0.05</v>
      </c>
      <c r="I151" s="288">
        <f>(G151*(1+H151))</f>
        <v>15.183000000000002</v>
      </c>
      <c r="J151" s="289" t="s">
        <v>19</v>
      </c>
      <c r="K151" s="337"/>
      <c r="L151" s="345"/>
      <c r="M151" s="292"/>
      <c r="N151" s="346"/>
      <c r="O151" s="294"/>
      <c r="P151" s="293"/>
      <c r="Q151" s="295"/>
      <c r="R151" s="188"/>
      <c r="X151" s="210"/>
    </row>
    <row r="152" spans="1:24" s="11" customFormat="1" x14ac:dyDescent="0.2">
      <c r="A152" s="285">
        <f>IF(J152&lt;&gt;"",1+MAX($A$20:A151),"")</f>
        <v>86</v>
      </c>
      <c r="B152" s="297" t="s">
        <v>312</v>
      </c>
      <c r="C152" s="297" t="s">
        <v>312</v>
      </c>
      <c r="D152" s="206" t="s">
        <v>21</v>
      </c>
      <c r="E152" s="190" t="s">
        <v>123</v>
      </c>
      <c r="F152" s="306" t="s">
        <v>316</v>
      </c>
      <c r="G152" s="247">
        <f>(G151*10*2/32)</f>
        <v>9.0375000000000014</v>
      </c>
      <c r="H152" s="194">
        <f>IF(VLOOKUP(J152,'HOURLY RATES'!B$116:C$124,2,0)=0,$J$3,VLOOKUP(J152,'HOURLY RATES'!B$116:C$124,2,0))</f>
        <v>0</v>
      </c>
      <c r="I152" s="249">
        <f>(G152*(1+H152))</f>
        <v>9.0375000000000014</v>
      </c>
      <c r="J152" s="181" t="s">
        <v>16</v>
      </c>
      <c r="K152" s="337">
        <f>0.022*32</f>
        <v>0.70399999999999996</v>
      </c>
      <c r="L152" s="192">
        <f t="shared" ref="L152:L153" si="76">K152*I152</f>
        <v>6.3624000000000009</v>
      </c>
      <c r="M152" s="183">
        <f>IF(VLOOKUP(E152,'HOURLY RATES'!C$6:D$105,2,0)=0,$E$3,VLOOKUP(E152,'HOURLY RATES'!C$6:D$105,2,0))</f>
        <v>39.452196131249998</v>
      </c>
      <c r="N152" s="195">
        <f>M152*L152</f>
        <v>251.01065266546502</v>
      </c>
      <c r="O152" s="294">
        <v>31.14</v>
      </c>
      <c r="P152" s="186">
        <f>O152*I152</f>
        <v>281.42775000000006</v>
      </c>
      <c r="Q152" s="187">
        <f>P152+N152</f>
        <v>532.43840266546511</v>
      </c>
      <c r="R152" s="188"/>
      <c r="X152" s="210"/>
    </row>
    <row r="153" spans="1:24" s="11" customFormat="1" x14ac:dyDescent="0.2">
      <c r="A153" s="285">
        <f>IF(J153&lt;&gt;"",1+MAX($A$20:A152),"")</f>
        <v>87</v>
      </c>
      <c r="B153" s="297" t="s">
        <v>312</v>
      </c>
      <c r="C153" s="297" t="s">
        <v>312</v>
      </c>
      <c r="D153" s="206" t="s">
        <v>21</v>
      </c>
      <c r="E153" s="190" t="s">
        <v>214</v>
      </c>
      <c r="F153" s="306" t="s">
        <v>306</v>
      </c>
      <c r="G153" s="247">
        <f>G151*4</f>
        <v>57.84</v>
      </c>
      <c r="H153" s="194">
        <f>IF(VLOOKUP(J153,'HOURLY RATES'!B$116:C$124,2,0)=0,$J$3,VLOOKUP(J153,'HOURLY RATES'!B$116:C$124,2,0))</f>
        <v>0.05</v>
      </c>
      <c r="I153" s="249">
        <f t="shared" ref="I153" si="77">(G153*(1+H153))</f>
        <v>60.732000000000006</v>
      </c>
      <c r="J153" s="181" t="s">
        <v>19</v>
      </c>
      <c r="K153" s="337">
        <v>1.6E-2</v>
      </c>
      <c r="L153" s="192">
        <f t="shared" si="76"/>
        <v>0.97171200000000013</v>
      </c>
      <c r="M153" s="183">
        <f>IF(VLOOKUP(E153,'HOURLY RATES'!C$6:D$105,2,0)=0,$E$3,VLOOKUP(E153,'HOURLY RATES'!C$6:D$105,2,0))</f>
        <v>55.39718353083866</v>
      </c>
      <c r="N153" s="195">
        <f t="shared" ref="N153" si="78">M153*L153</f>
        <v>53.830108003118305</v>
      </c>
      <c r="O153" s="294">
        <v>0.05</v>
      </c>
      <c r="P153" s="186">
        <f t="shared" ref="P153" si="79">O153*I153</f>
        <v>3.0366000000000004</v>
      </c>
      <c r="Q153" s="187">
        <f t="shared" ref="Q153" si="80">P153+N153</f>
        <v>56.866708003118305</v>
      </c>
      <c r="R153" s="188"/>
      <c r="X153" s="210"/>
    </row>
    <row r="154" spans="1:24" s="11" customFormat="1" x14ac:dyDescent="0.2">
      <c r="A154" s="285" t="str">
        <f>IF(J154&lt;&gt;"",1+MAX($A$20:A153),"")</f>
        <v/>
      </c>
      <c r="B154" s="341"/>
      <c r="C154" s="341"/>
      <c r="D154" s="206"/>
      <c r="E154" s="344"/>
      <c r="F154" s="312"/>
      <c r="G154" s="286"/>
      <c r="H154" s="342"/>
      <c r="I154" s="288"/>
      <c r="J154" s="289"/>
      <c r="K154" s="337"/>
      <c r="L154" s="345"/>
      <c r="M154" s="292"/>
      <c r="N154" s="346"/>
      <c r="O154" s="294"/>
      <c r="P154" s="293"/>
      <c r="Q154" s="295"/>
      <c r="R154" s="188"/>
      <c r="X154" s="210"/>
    </row>
    <row r="155" spans="1:24" s="11" customFormat="1" x14ac:dyDescent="0.2">
      <c r="A155" s="285">
        <f>IF(J155&lt;&gt;"",1+MAX($A$20:A154),"")</f>
        <v>88</v>
      </c>
      <c r="B155" s="341"/>
      <c r="C155" s="341"/>
      <c r="D155" s="206"/>
      <c r="E155" s="344"/>
      <c r="F155" s="284" t="s">
        <v>416</v>
      </c>
      <c r="G155" s="313">
        <v>73.98</v>
      </c>
      <c r="H155" s="194">
        <f>IF(VLOOKUP(J155,'HOURLY RATES'!B$116:C$124,2,0)=0,$J$3,VLOOKUP(J155,'HOURLY RATES'!B$116:C$124,2,0))</f>
        <v>0.05</v>
      </c>
      <c r="I155" s="288">
        <f>(G155*(1+H155))</f>
        <v>77.679000000000002</v>
      </c>
      <c r="J155" s="289" t="s">
        <v>19</v>
      </c>
      <c r="K155" s="337"/>
      <c r="L155" s="345"/>
      <c r="M155" s="292"/>
      <c r="N155" s="346"/>
      <c r="O155" s="294"/>
      <c r="P155" s="293"/>
      <c r="Q155" s="295"/>
      <c r="R155" s="188"/>
      <c r="X155" s="210"/>
    </row>
    <row r="156" spans="1:24" s="11" customFormat="1" x14ac:dyDescent="0.2">
      <c r="A156" s="285">
        <f>IF(J156&lt;&gt;"",1+MAX($A$20:A155),"")</f>
        <v>89</v>
      </c>
      <c r="B156" s="297" t="s">
        <v>312</v>
      </c>
      <c r="C156" s="297" t="s">
        <v>312</v>
      </c>
      <c r="D156" s="206" t="s">
        <v>21</v>
      </c>
      <c r="E156" s="190" t="s">
        <v>123</v>
      </c>
      <c r="F156" s="306" t="s">
        <v>417</v>
      </c>
      <c r="G156" s="247">
        <f>(G155*10/32)</f>
        <v>23.118750000000002</v>
      </c>
      <c r="H156" s="194">
        <f>IF(VLOOKUP(J156,'HOURLY RATES'!B$116:C$124,2,0)=0,$J$3,VLOOKUP(J156,'HOURLY RATES'!B$116:C$124,2,0))</f>
        <v>0</v>
      </c>
      <c r="I156" s="249">
        <f>(G156*(1+H156))</f>
        <v>23.118750000000002</v>
      </c>
      <c r="J156" s="181" t="s">
        <v>16</v>
      </c>
      <c r="K156" s="337">
        <f>0.022*32</f>
        <v>0.70399999999999996</v>
      </c>
      <c r="L156" s="192">
        <f t="shared" ref="L156:L157" si="81">K156*I156</f>
        <v>16.275600000000001</v>
      </c>
      <c r="M156" s="183">
        <f>IF(VLOOKUP(E156,'HOURLY RATES'!C$6:D$105,2,0)=0,$E$3,VLOOKUP(E156,'HOURLY RATES'!C$6:D$105,2,0))</f>
        <v>39.452196131249998</v>
      </c>
      <c r="N156" s="195">
        <f>M156*L156</f>
        <v>642.10816335377251</v>
      </c>
      <c r="O156" s="294">
        <v>31.14</v>
      </c>
      <c r="P156" s="186">
        <f>O156*I156</f>
        <v>719.91787500000009</v>
      </c>
      <c r="Q156" s="187">
        <f>P156+N156</f>
        <v>1362.0260383537725</v>
      </c>
      <c r="R156" s="188"/>
      <c r="X156" s="210"/>
    </row>
    <row r="157" spans="1:24" s="11" customFormat="1" x14ac:dyDescent="0.2">
      <c r="A157" s="285">
        <f>IF(J157&lt;&gt;"",1+MAX($A$20:A156),"")</f>
        <v>90</v>
      </c>
      <c r="B157" s="297" t="s">
        <v>312</v>
      </c>
      <c r="C157" s="297" t="s">
        <v>312</v>
      </c>
      <c r="D157" s="206" t="s">
        <v>21</v>
      </c>
      <c r="E157" s="190" t="s">
        <v>214</v>
      </c>
      <c r="F157" s="306" t="s">
        <v>418</v>
      </c>
      <c r="G157" s="247">
        <f>G155*2</f>
        <v>147.96</v>
      </c>
      <c r="H157" s="194">
        <f>IF(VLOOKUP(J157,'HOURLY RATES'!B$116:C$124,2,0)=0,$J$3,VLOOKUP(J157,'HOURLY RATES'!B$116:C$124,2,0))</f>
        <v>0.05</v>
      </c>
      <c r="I157" s="249">
        <f t="shared" ref="I157" si="82">(G157*(1+H157))</f>
        <v>155.358</v>
      </c>
      <c r="J157" s="181" t="s">
        <v>19</v>
      </c>
      <c r="K157" s="337">
        <v>1.6E-2</v>
      </c>
      <c r="L157" s="192">
        <f t="shared" si="81"/>
        <v>2.4857279999999999</v>
      </c>
      <c r="M157" s="183">
        <f>IF(VLOOKUP(E157,'HOURLY RATES'!C$6:D$105,2,0)=0,$E$3,VLOOKUP(E157,'HOURLY RATES'!C$6:D$105,2,0))</f>
        <v>55.39718353083866</v>
      </c>
      <c r="N157" s="195">
        <f t="shared" ref="N157" si="83">M157*L157</f>
        <v>137.70233022374453</v>
      </c>
      <c r="O157" s="294">
        <v>0.05</v>
      </c>
      <c r="P157" s="186">
        <f t="shared" ref="P157" si="84">O157*I157</f>
        <v>7.7679000000000009</v>
      </c>
      <c r="Q157" s="187">
        <f t="shared" ref="Q157" si="85">P157+N157</f>
        <v>145.47023022374452</v>
      </c>
      <c r="R157" s="188"/>
      <c r="X157" s="210"/>
    </row>
    <row r="158" spans="1:24" s="11" customFormat="1" x14ac:dyDescent="0.2">
      <c r="A158" s="285" t="str">
        <f>IF(J158&lt;&gt;"",1+MAX($A$20:A157),"")</f>
        <v/>
      </c>
      <c r="B158" s="297"/>
      <c r="C158" s="297"/>
      <c r="D158" s="206"/>
      <c r="E158" s="190"/>
      <c r="F158" s="312"/>
      <c r="G158" s="247"/>
      <c r="H158" s="194"/>
      <c r="I158" s="249"/>
      <c r="J158" s="181"/>
      <c r="K158" s="337"/>
      <c r="L158" s="208"/>
      <c r="M158" s="183"/>
      <c r="N158" s="195"/>
      <c r="O158" s="294"/>
      <c r="P158" s="186"/>
      <c r="Q158" s="187"/>
      <c r="R158" s="188"/>
      <c r="X158" s="210"/>
    </row>
    <row r="159" spans="1:24" s="11" customFormat="1" x14ac:dyDescent="0.2">
      <c r="A159" s="285">
        <f>IF(J159&lt;&gt;"",1+MAX($A$20:A158),"")</f>
        <v>91</v>
      </c>
      <c r="B159" s="297"/>
      <c r="C159" s="297"/>
      <c r="D159" s="206"/>
      <c r="E159" s="190"/>
      <c r="F159" s="284" t="s">
        <v>313</v>
      </c>
      <c r="G159" s="313">
        <v>24.65</v>
      </c>
      <c r="H159" s="194">
        <f>IF(VLOOKUP(J159,'HOURLY RATES'!B$116:C$124,2,0)=0,$J$3,VLOOKUP(J159,'HOURLY RATES'!B$116:C$124,2,0))</f>
        <v>0.05</v>
      </c>
      <c r="I159" s="249">
        <f>(G159*(1+H159))</f>
        <v>25.8825</v>
      </c>
      <c r="J159" s="181" t="s">
        <v>19</v>
      </c>
      <c r="K159" s="337"/>
      <c r="L159" s="208"/>
      <c r="M159" s="183"/>
      <c r="N159" s="195"/>
      <c r="O159" s="294"/>
      <c r="P159" s="186"/>
      <c r="Q159" s="187"/>
      <c r="R159" s="188"/>
      <c r="X159" s="210"/>
    </row>
    <row r="160" spans="1:24" s="11" customFormat="1" x14ac:dyDescent="0.2">
      <c r="A160" s="285">
        <f>IF(J160&lt;&gt;"",1+MAX($A$20:A159),"")</f>
        <v>92</v>
      </c>
      <c r="B160" s="297" t="s">
        <v>312</v>
      </c>
      <c r="C160" s="297" t="s">
        <v>312</v>
      </c>
      <c r="D160" s="206" t="s">
        <v>21</v>
      </c>
      <c r="E160" s="190" t="s">
        <v>123</v>
      </c>
      <c r="F160" s="312" t="s">
        <v>307</v>
      </c>
      <c r="G160" s="286">
        <f>(G159*2*9/32)</f>
        <v>13.865625</v>
      </c>
      <c r="H160" s="194">
        <f>IF(VLOOKUP(J160,'HOURLY RATES'!B$116:C$124,2,0)=0,$J$3,VLOOKUP(J160,'HOURLY RATES'!B$116:C$124,2,0))</f>
        <v>0</v>
      </c>
      <c r="I160" s="249">
        <f>(G160*(1+H160))</f>
        <v>13.865625</v>
      </c>
      <c r="J160" s="181" t="s">
        <v>16</v>
      </c>
      <c r="K160" s="337">
        <f>0.017*32</f>
        <v>0.54400000000000004</v>
      </c>
      <c r="L160" s="192">
        <f t="shared" ref="L160:L164" si="86">K160*I160</f>
        <v>7.5429000000000004</v>
      </c>
      <c r="M160" s="183">
        <f>IF(VLOOKUP(E160,'HOURLY RATES'!C$6:D$105,2,0)=0,$E$3,VLOOKUP(E160,'HOURLY RATES'!C$6:D$105,2,0))</f>
        <v>39.452196131249998</v>
      </c>
      <c r="N160" s="195">
        <f>M160*L160</f>
        <v>297.58397019840561</v>
      </c>
      <c r="O160" s="294">
        <v>12.28</v>
      </c>
      <c r="P160" s="186">
        <f>O160*I160</f>
        <v>170.26987499999998</v>
      </c>
      <c r="Q160" s="187">
        <f>P160+N160</f>
        <v>467.85384519840557</v>
      </c>
      <c r="R160" s="188"/>
      <c r="X160" s="210"/>
    </row>
    <row r="161" spans="1:24" s="11" customFormat="1" x14ac:dyDescent="0.2">
      <c r="A161" s="285">
        <f>IF(J161&lt;&gt;"",1+MAX($A$20:A160),"")</f>
        <v>93</v>
      </c>
      <c r="B161" s="297" t="s">
        <v>312</v>
      </c>
      <c r="C161" s="297" t="s">
        <v>312</v>
      </c>
      <c r="D161" s="199" t="s">
        <v>21</v>
      </c>
      <c r="E161" s="190" t="s">
        <v>136</v>
      </c>
      <c r="F161" s="312" t="s">
        <v>309</v>
      </c>
      <c r="G161" s="286">
        <f>(G159/1.33)</f>
        <v>18.533834586466163</v>
      </c>
      <c r="H161" s="194">
        <f>IF(VLOOKUP(J161,'HOURLY RATES'!B$116:C$124,2,0)=0,$J$3,VLOOKUP(J161,'HOURLY RATES'!B$116:C$124,2,0))</f>
        <v>0</v>
      </c>
      <c r="I161" s="249">
        <f t="shared" ref="I161:I164" si="87">(G161*(1+H161))</f>
        <v>18.533834586466163</v>
      </c>
      <c r="J161" s="181" t="s">
        <v>16</v>
      </c>
      <c r="K161" s="337">
        <f>0.055*10</f>
        <v>0.55000000000000004</v>
      </c>
      <c r="L161" s="192">
        <f t="shared" si="86"/>
        <v>10.193609022556391</v>
      </c>
      <c r="M161" s="183">
        <f>IF(VLOOKUP(E161,'HOURLY RATES'!C$6:D$105,2,0)=0,$E$3,VLOOKUP(E161,'HOURLY RATES'!C$6:D$105,2,0))</f>
        <v>39.452196131249998</v>
      </c>
      <c r="N161" s="195">
        <f t="shared" ref="N161:N164" si="88">M161*L161</f>
        <v>402.1602624431743</v>
      </c>
      <c r="O161" s="294">
        <f>(1.13*20/22)*10</f>
        <v>10.272727272727272</v>
      </c>
      <c r="P161" s="186">
        <f t="shared" ref="P161:P164" si="89">O161*I161</f>
        <v>190.39302802460693</v>
      </c>
      <c r="Q161" s="187">
        <f t="shared" ref="Q161:Q164" si="90">P161+N161</f>
        <v>592.55329046778127</v>
      </c>
      <c r="R161" s="188"/>
      <c r="X161" s="210"/>
    </row>
    <row r="162" spans="1:24" s="11" customFormat="1" x14ac:dyDescent="0.2">
      <c r="A162" s="285">
        <f>IF(J162&lt;&gt;"",1+MAX($A$20:A161),"")</f>
        <v>94</v>
      </c>
      <c r="B162" s="297" t="s">
        <v>312</v>
      </c>
      <c r="C162" s="297" t="s">
        <v>312</v>
      </c>
      <c r="D162" s="199" t="s">
        <v>21</v>
      </c>
      <c r="E162" s="190" t="s">
        <v>55</v>
      </c>
      <c r="F162" s="312" t="s">
        <v>311</v>
      </c>
      <c r="G162" s="286">
        <f>G159*9</f>
        <v>221.85</v>
      </c>
      <c r="H162" s="194">
        <f>IF(VLOOKUP(J162,'HOURLY RATES'!B$116:C$124,2,0)=0,$J$3,VLOOKUP(J162,'HOURLY RATES'!B$116:C$124,2,0))</f>
        <v>0.05</v>
      </c>
      <c r="I162" s="249">
        <f t="shared" si="87"/>
        <v>232.9425</v>
      </c>
      <c r="J162" s="181" t="s">
        <v>17</v>
      </c>
      <c r="K162" s="337">
        <v>0.01</v>
      </c>
      <c r="L162" s="192">
        <f t="shared" si="86"/>
        <v>2.3294250000000001</v>
      </c>
      <c r="M162" s="183">
        <f>IF(VLOOKUP(E162,'HOURLY RATES'!C$6:D$105,2,0)=0,$E$3,VLOOKUP(E162,'HOURLY RATES'!C$6:D$105,2,0))</f>
        <v>39.452196131249998</v>
      </c>
      <c r="N162" s="195">
        <f t="shared" si="88"/>
        <v>91.900931973037032</v>
      </c>
      <c r="O162" s="294">
        <v>0.54</v>
      </c>
      <c r="P162" s="186">
        <f t="shared" si="89"/>
        <v>125.78895</v>
      </c>
      <c r="Q162" s="187">
        <f t="shared" si="90"/>
        <v>217.68988197303702</v>
      </c>
      <c r="R162" s="188"/>
      <c r="X162" s="210"/>
    </row>
    <row r="163" spans="1:24" s="11" customFormat="1" x14ac:dyDescent="0.2">
      <c r="A163" s="285">
        <f>IF(J163&lt;&gt;"",1+MAX($A$20:A162),"")</f>
        <v>95</v>
      </c>
      <c r="B163" s="297" t="s">
        <v>312</v>
      </c>
      <c r="C163" s="297" t="s">
        <v>312</v>
      </c>
      <c r="D163" s="199" t="s">
        <v>21</v>
      </c>
      <c r="E163" s="190" t="s">
        <v>136</v>
      </c>
      <c r="F163" s="312" t="s">
        <v>305</v>
      </c>
      <c r="G163" s="286">
        <f>G159*2</f>
        <v>49.3</v>
      </c>
      <c r="H163" s="194">
        <f>IF(VLOOKUP(J163,'HOURLY RATES'!B$116:C$124,2,0)=0,$J$3,VLOOKUP(J163,'HOURLY RATES'!B$116:C$124,2,0))</f>
        <v>0.05</v>
      </c>
      <c r="I163" s="249">
        <f t="shared" si="87"/>
        <v>51.765000000000001</v>
      </c>
      <c r="J163" s="181" t="s">
        <v>19</v>
      </c>
      <c r="K163" s="337">
        <v>5.5E-2</v>
      </c>
      <c r="L163" s="192">
        <f t="shared" si="86"/>
        <v>2.8470750000000002</v>
      </c>
      <c r="M163" s="183">
        <f>IF(VLOOKUP(E163,'HOURLY RATES'!C$6:D$105,2,0)=0,$E$3,VLOOKUP(E163,'HOURLY RATES'!C$6:D$105,2,0))</f>
        <v>39.452196131249998</v>
      </c>
      <c r="N163" s="195">
        <f t="shared" si="88"/>
        <v>112.32336130037859</v>
      </c>
      <c r="O163" s="294">
        <f>1.13*20/22</f>
        <v>1.0272727272727271</v>
      </c>
      <c r="P163" s="186">
        <f t="shared" si="89"/>
        <v>53.17677272727272</v>
      </c>
      <c r="Q163" s="187">
        <f t="shared" si="90"/>
        <v>165.50013402765131</v>
      </c>
      <c r="R163" s="188"/>
      <c r="X163" s="210"/>
    </row>
    <row r="164" spans="1:24" s="11" customFormat="1" x14ac:dyDescent="0.2">
      <c r="A164" s="285">
        <f>IF(J164&lt;&gt;"",1+MAX($A$20:A163),"")</f>
        <v>96</v>
      </c>
      <c r="B164" s="297" t="s">
        <v>312</v>
      </c>
      <c r="C164" s="297" t="s">
        <v>312</v>
      </c>
      <c r="D164" s="206" t="s">
        <v>21</v>
      </c>
      <c r="E164" s="190" t="s">
        <v>214</v>
      </c>
      <c r="F164" s="312" t="s">
        <v>306</v>
      </c>
      <c r="G164" s="286">
        <f>G159*4</f>
        <v>98.6</v>
      </c>
      <c r="H164" s="194">
        <f>IF(VLOOKUP(J164,'HOURLY RATES'!B$116:C$124,2,0)=0,$J$3,VLOOKUP(J164,'HOURLY RATES'!B$116:C$124,2,0))</f>
        <v>0.05</v>
      </c>
      <c r="I164" s="249">
        <f t="shared" si="87"/>
        <v>103.53</v>
      </c>
      <c r="J164" s="181" t="s">
        <v>19</v>
      </c>
      <c r="K164" s="337">
        <v>1.6E-2</v>
      </c>
      <c r="L164" s="192">
        <f t="shared" si="86"/>
        <v>1.65648</v>
      </c>
      <c r="M164" s="183">
        <f>IF(VLOOKUP(E164,'HOURLY RATES'!C$6:D$105,2,0)=0,$E$3,VLOOKUP(E164,'HOURLY RATES'!C$6:D$105,2,0))</f>
        <v>55.39718353083866</v>
      </c>
      <c r="N164" s="195">
        <f t="shared" si="88"/>
        <v>91.764326575163622</v>
      </c>
      <c r="O164" s="294">
        <v>0.05</v>
      </c>
      <c r="P164" s="186">
        <f t="shared" si="89"/>
        <v>5.1765000000000008</v>
      </c>
      <c r="Q164" s="187">
        <f t="shared" si="90"/>
        <v>96.940826575163626</v>
      </c>
      <c r="R164" s="188"/>
      <c r="X164" s="210"/>
    </row>
    <row r="165" spans="1:24" s="11" customFormat="1" x14ac:dyDescent="0.2">
      <c r="A165" s="285" t="str">
        <f>IF(J165&lt;&gt;"",1+MAX($A$20:A164),"")</f>
        <v/>
      </c>
      <c r="B165" s="297"/>
      <c r="C165" s="297"/>
      <c r="D165" s="206"/>
      <c r="E165" s="190"/>
      <c r="F165" s="312"/>
      <c r="G165" s="286"/>
      <c r="H165" s="194"/>
      <c r="I165" s="249"/>
      <c r="J165" s="181"/>
      <c r="K165" s="337"/>
      <c r="L165" s="192"/>
      <c r="M165" s="183"/>
      <c r="N165" s="195"/>
      <c r="O165" s="294"/>
      <c r="P165" s="186"/>
      <c r="Q165" s="187"/>
      <c r="R165" s="188"/>
      <c r="X165" s="210"/>
    </row>
    <row r="166" spans="1:24" s="11" customFormat="1" x14ac:dyDescent="0.2">
      <c r="A166" s="285">
        <f>IF(J166&lt;&gt;"",1+MAX($A$20:A165),"")</f>
        <v>97</v>
      </c>
      <c r="B166" s="341"/>
      <c r="C166" s="341"/>
      <c r="D166" s="349" t="s">
        <v>21</v>
      </c>
      <c r="E166" s="344" t="s">
        <v>123</v>
      </c>
      <c r="F166" s="363" t="s">
        <v>419</v>
      </c>
      <c r="G166" s="286">
        <f>(54*10)</f>
        <v>540</v>
      </c>
      <c r="H166" s="194">
        <f>IF(VLOOKUP(J166,'HOURLY RATES'!B$116:C$124,2,0)=0,$J$3,VLOOKUP(J166,'HOURLY RATES'!B$116:C$124,2,0))</f>
        <v>0.05</v>
      </c>
      <c r="I166" s="288">
        <f t="shared" ref="I166:I168" si="91">(G166*(1+H166))</f>
        <v>567</v>
      </c>
      <c r="J166" s="181" t="s">
        <v>19</v>
      </c>
      <c r="K166" s="337">
        <f>0.01*5</f>
        <v>0.05</v>
      </c>
      <c r="L166" s="192">
        <f t="shared" ref="L166:L168" si="92">K166*I166</f>
        <v>28.35</v>
      </c>
      <c r="M166" s="183">
        <f>IF(VLOOKUP(E166,'HOURLY RATES'!C$6:D$105,2,0)=0,$E$3,VLOOKUP(E166,'HOURLY RATES'!C$6:D$105,2,0))</f>
        <v>39.452196131249998</v>
      </c>
      <c r="N166" s="195">
        <f t="shared" ref="N166:N168" si="93">M166*L166</f>
        <v>1118.4697603209374</v>
      </c>
      <c r="O166" s="294">
        <v>0.01</v>
      </c>
      <c r="P166" s="293">
        <f t="shared" ref="P166:P168" si="94">O166*I166</f>
        <v>5.67</v>
      </c>
      <c r="Q166" s="295">
        <f t="shared" ref="Q166:Q168" si="95">P166+N166</f>
        <v>1124.1397603209375</v>
      </c>
      <c r="R166" s="188"/>
      <c r="X166" s="210"/>
    </row>
    <row r="167" spans="1:24" s="11" customFormat="1" x14ac:dyDescent="0.2">
      <c r="A167" s="285">
        <f>IF(J167&lt;&gt;"",1+MAX($A$20:A166),"")</f>
        <v>98</v>
      </c>
      <c r="B167" s="341"/>
      <c r="C167" s="341"/>
      <c r="D167" s="349" t="s">
        <v>21</v>
      </c>
      <c r="E167" s="344" t="s">
        <v>123</v>
      </c>
      <c r="F167" s="363" t="s">
        <v>420</v>
      </c>
      <c r="G167" s="286">
        <f>(54*32*0.053)</f>
        <v>91.584000000000003</v>
      </c>
      <c r="H167" s="194">
        <f>IF(VLOOKUP(J167,'HOURLY RATES'!B$116:C$124,2,0)=0,$J$3,VLOOKUP(J167,'HOURLY RATES'!B$116:C$124,2,0))</f>
        <v>0.05</v>
      </c>
      <c r="I167" s="288">
        <f t="shared" si="91"/>
        <v>96.163200000000003</v>
      </c>
      <c r="J167" s="289" t="s">
        <v>112</v>
      </c>
      <c r="K167" s="337">
        <v>0.2</v>
      </c>
      <c r="L167" s="192">
        <f t="shared" si="92"/>
        <v>19.232640000000004</v>
      </c>
      <c r="M167" s="183">
        <f>IF(VLOOKUP(E167,'HOURLY RATES'!C$6:D$105,2,0)=0,$E$3,VLOOKUP(E167,'HOURLY RATES'!C$6:D$105,2,0))</f>
        <v>39.452196131249998</v>
      </c>
      <c r="N167" s="195">
        <f t="shared" si="93"/>
        <v>758.76988540172408</v>
      </c>
      <c r="O167" s="294">
        <v>0.5</v>
      </c>
      <c r="P167" s="293">
        <f t="shared" si="94"/>
        <v>48.081600000000002</v>
      </c>
      <c r="Q167" s="295">
        <f t="shared" si="95"/>
        <v>806.85148540172406</v>
      </c>
      <c r="R167" s="188"/>
      <c r="X167" s="210"/>
    </row>
    <row r="168" spans="1:24" s="11" customFormat="1" x14ac:dyDescent="0.2">
      <c r="A168" s="285">
        <f>IF(J168&lt;&gt;"",1+MAX($A$20:A167),"")</f>
        <v>99</v>
      </c>
      <c r="B168" s="341"/>
      <c r="C168" s="341"/>
      <c r="D168" s="349" t="s">
        <v>21</v>
      </c>
      <c r="E168" s="344" t="s">
        <v>123</v>
      </c>
      <c r="F168" s="363" t="s">
        <v>421</v>
      </c>
      <c r="G168" s="286">
        <f>(54*45)</f>
        <v>2430</v>
      </c>
      <c r="H168" s="194">
        <f>IF(VLOOKUP(J168,'HOURLY RATES'!B$116:C$124,2,0)=0,$J$3,VLOOKUP(J168,'HOURLY RATES'!B$116:C$124,2,0))</f>
        <v>0</v>
      </c>
      <c r="I168" s="288">
        <f t="shared" si="91"/>
        <v>2430</v>
      </c>
      <c r="J168" s="181" t="s">
        <v>16</v>
      </c>
      <c r="K168" s="337">
        <v>1E-3</v>
      </c>
      <c r="L168" s="192">
        <f t="shared" si="92"/>
        <v>2.4300000000000002</v>
      </c>
      <c r="M168" s="183">
        <f>IF(VLOOKUP(E168,'HOURLY RATES'!C$6:D$105,2,0)=0,$E$3,VLOOKUP(E168,'HOURLY RATES'!C$6:D$105,2,0))</f>
        <v>39.452196131249998</v>
      </c>
      <c r="N168" s="195">
        <f t="shared" si="93"/>
        <v>95.868836598937506</v>
      </c>
      <c r="O168" s="294">
        <v>0.02</v>
      </c>
      <c r="P168" s="293">
        <f t="shared" si="94"/>
        <v>48.6</v>
      </c>
      <c r="Q168" s="295">
        <f t="shared" si="95"/>
        <v>144.46883659893751</v>
      </c>
      <c r="R168" s="188"/>
      <c r="X168" s="210"/>
    </row>
    <row r="169" spans="1:24" s="11" customFormat="1" x14ac:dyDescent="0.2">
      <c r="A169" s="285" t="str">
        <f>IF(J169&lt;&gt;"",1+MAX($A$20:A168),"")</f>
        <v/>
      </c>
      <c r="B169" s="341"/>
      <c r="C169" s="341"/>
      <c r="D169" s="206"/>
      <c r="E169" s="344"/>
      <c r="F169" s="312"/>
      <c r="G169" s="286"/>
      <c r="H169" s="342"/>
      <c r="I169" s="288"/>
      <c r="J169" s="289"/>
      <c r="K169" s="337"/>
      <c r="L169" s="345"/>
      <c r="M169" s="292"/>
      <c r="N169" s="346"/>
      <c r="O169" s="294"/>
      <c r="P169" s="293"/>
      <c r="Q169" s="295"/>
      <c r="R169" s="188"/>
      <c r="X169" s="210"/>
    </row>
    <row r="170" spans="1:24" s="11" customFormat="1" x14ac:dyDescent="0.2">
      <c r="A170" s="285" t="str">
        <f>IF(J170&lt;&gt;"",1+MAX($A$20:A169),"")</f>
        <v/>
      </c>
      <c r="B170" s="341"/>
      <c r="C170" s="341"/>
      <c r="D170" s="206"/>
      <c r="E170" s="344"/>
      <c r="F170" s="305" t="s">
        <v>422</v>
      </c>
      <c r="G170" s="286"/>
      <c r="H170" s="342"/>
      <c r="I170" s="288"/>
      <c r="J170" s="289"/>
      <c r="K170" s="337"/>
      <c r="L170" s="345"/>
      <c r="M170" s="292"/>
      <c r="N170" s="346"/>
      <c r="O170" s="294"/>
      <c r="P170" s="293"/>
      <c r="Q170" s="295"/>
      <c r="R170" s="188"/>
      <c r="X170" s="210"/>
    </row>
    <row r="171" spans="1:24" s="11" customFormat="1" x14ac:dyDescent="0.2">
      <c r="A171" s="285">
        <f>IF(J171&lt;&gt;"",1+MAX($A$20:A170),"")</f>
        <v>100</v>
      </c>
      <c r="B171" s="297" t="s">
        <v>312</v>
      </c>
      <c r="C171" s="297" t="s">
        <v>312</v>
      </c>
      <c r="D171" s="206" t="s">
        <v>21</v>
      </c>
      <c r="E171" s="190" t="s">
        <v>67</v>
      </c>
      <c r="F171" s="306" t="s">
        <v>422</v>
      </c>
      <c r="G171" s="247">
        <f>3*(8+8+3)</f>
        <v>57</v>
      </c>
      <c r="H171" s="194">
        <f>IF(VLOOKUP(J171,'HOURLY RATES'!B$116:C$124,2,0)=0,$J$3,VLOOKUP(J171,'HOURLY RATES'!B$116:C$124,2,0))</f>
        <v>0.05</v>
      </c>
      <c r="I171" s="249">
        <f t="shared" ref="I171" si="96">(G171*(1+H171))</f>
        <v>59.85</v>
      </c>
      <c r="J171" s="181" t="s">
        <v>19</v>
      </c>
      <c r="K171" s="337">
        <v>2.1999999999999999E-2</v>
      </c>
      <c r="L171" s="192">
        <f t="shared" ref="L171" si="97">K171*I171</f>
        <v>1.3167</v>
      </c>
      <c r="M171" s="183">
        <f>IF(VLOOKUP(E171,'HOURLY RATES'!C$6:D$105,2,0)=0,$E$3,VLOOKUP(E171,'HOURLY RATES'!C$6:D$105,2,0))</f>
        <v>52.3397654479</v>
      </c>
      <c r="N171" s="195">
        <f t="shared" ref="N171" si="98">M171*L171</f>
        <v>68.915769165249927</v>
      </c>
      <c r="O171" s="294">
        <v>1.2</v>
      </c>
      <c r="P171" s="186">
        <f t="shared" ref="P171" si="99">O171*I171</f>
        <v>71.819999999999993</v>
      </c>
      <c r="Q171" s="187">
        <f t="shared" ref="Q171" si="100">P171+N171</f>
        <v>140.73576916524991</v>
      </c>
      <c r="R171" s="188"/>
      <c r="X171" s="210"/>
    </row>
    <row r="172" spans="1:24" s="11" customFormat="1" x14ac:dyDescent="0.2">
      <c r="A172" s="285" t="str">
        <f>IF(J172&lt;&gt;"",1+MAX($A$20:A171),"")</f>
        <v/>
      </c>
      <c r="B172" s="297"/>
      <c r="C172" s="297"/>
      <c r="D172" s="206"/>
      <c r="E172" s="190"/>
      <c r="F172" s="247"/>
      <c r="G172" s="247"/>
      <c r="H172" s="194"/>
      <c r="I172" s="249"/>
      <c r="J172" s="181"/>
      <c r="K172" s="337"/>
      <c r="L172" s="208"/>
      <c r="M172" s="183"/>
      <c r="N172" s="195"/>
      <c r="O172" s="294"/>
      <c r="P172" s="186"/>
      <c r="Q172" s="187"/>
      <c r="R172" s="302"/>
      <c r="X172" s="210"/>
    </row>
    <row r="173" spans="1:24" s="11" customFormat="1" x14ac:dyDescent="0.2">
      <c r="A173" s="285" t="str">
        <f>IF(J173&lt;&gt;"",1+MAX($A$20:A172),"")</f>
        <v/>
      </c>
      <c r="B173" s="297"/>
      <c r="C173" s="297"/>
      <c r="D173" s="206"/>
      <c r="E173" s="190"/>
      <c r="F173" s="305" t="s">
        <v>317</v>
      </c>
      <c r="G173" s="247"/>
      <c r="H173" s="194"/>
      <c r="I173" s="249"/>
      <c r="J173" s="181"/>
      <c r="K173" s="337"/>
      <c r="L173" s="208"/>
      <c r="M173" s="183"/>
      <c r="N173" s="195"/>
      <c r="O173" s="294"/>
      <c r="P173" s="186"/>
      <c r="Q173" s="187"/>
      <c r="R173" s="302"/>
      <c r="X173" s="210"/>
    </row>
    <row r="174" spans="1:24" s="11" customFormat="1" ht="31.5" x14ac:dyDescent="0.2">
      <c r="A174" s="285">
        <f>IF(J174&lt;&gt;"",1+MAX($A$20:A173),"")</f>
        <v>101</v>
      </c>
      <c r="B174" s="297" t="s">
        <v>312</v>
      </c>
      <c r="C174" s="297" t="s">
        <v>312</v>
      </c>
      <c r="D174" s="206" t="s">
        <v>21</v>
      </c>
      <c r="E174" s="190" t="s">
        <v>243</v>
      </c>
      <c r="F174" s="306" t="s">
        <v>318</v>
      </c>
      <c r="G174" s="247">
        <v>579.6</v>
      </c>
      <c r="H174" s="194">
        <f>IF(VLOOKUP(J174,'HOURLY RATES'!B$116:C$124,2,0)=0,$J$3,VLOOKUP(J174,'HOURLY RATES'!B$116:C$124,2,0))</f>
        <v>0.05</v>
      </c>
      <c r="I174" s="249">
        <f>(G174*(1+H174))</f>
        <v>608.58000000000004</v>
      </c>
      <c r="J174" s="181" t="s">
        <v>17</v>
      </c>
      <c r="K174" s="337">
        <v>0.09</v>
      </c>
      <c r="L174" s="192">
        <f>K174*I174</f>
        <v>54.772200000000005</v>
      </c>
      <c r="M174" s="183">
        <f>IF(VLOOKUP(E174,'HOURLY RATES'!C$6:D$105,2,0)=0,$E$3,VLOOKUP(E174,'HOURLY RATES'!C$6:D$105,2,0))</f>
        <v>39.452196131249998</v>
      </c>
      <c r="N174" s="195">
        <f>M174*L174</f>
        <v>2160.8835769400512</v>
      </c>
      <c r="O174" s="294">
        <f>0.75+1.5</f>
        <v>2.25</v>
      </c>
      <c r="P174" s="186">
        <f>O174*I174</f>
        <v>1369.3050000000001</v>
      </c>
      <c r="Q174" s="187">
        <f>P174+N174</f>
        <v>3530.1885769400515</v>
      </c>
      <c r="R174" s="188"/>
      <c r="X174" s="210"/>
    </row>
    <row r="175" spans="1:24" s="11" customFormat="1" x14ac:dyDescent="0.2">
      <c r="A175" s="285" t="str">
        <f>IF(J175&lt;&gt;"",1+MAX($A$20:A174),"")</f>
        <v/>
      </c>
      <c r="B175" s="297"/>
      <c r="C175" s="297"/>
      <c r="D175" s="206"/>
      <c r="E175" s="190"/>
      <c r="F175" s="306"/>
      <c r="G175" s="247"/>
      <c r="H175" s="194"/>
      <c r="I175" s="249"/>
      <c r="J175" s="181"/>
      <c r="K175" s="337"/>
      <c r="L175" s="192"/>
      <c r="M175" s="183"/>
      <c r="N175" s="195"/>
      <c r="O175" s="294"/>
      <c r="P175" s="186"/>
      <c r="Q175" s="187"/>
      <c r="R175" s="188"/>
      <c r="X175" s="210"/>
    </row>
    <row r="176" spans="1:24" s="11" customFormat="1" x14ac:dyDescent="0.2">
      <c r="A176" s="285" t="str">
        <f>IF(J176&lt;&gt;"",1+MAX($A$20:A175),"")</f>
        <v/>
      </c>
      <c r="B176" s="341"/>
      <c r="C176" s="341"/>
      <c r="D176" s="206"/>
      <c r="E176" s="344"/>
      <c r="F176" s="305" t="s">
        <v>423</v>
      </c>
      <c r="G176" s="286"/>
      <c r="H176" s="342"/>
      <c r="I176" s="288"/>
      <c r="J176" s="289"/>
      <c r="K176" s="337"/>
      <c r="L176" s="345"/>
      <c r="M176" s="292"/>
      <c r="N176" s="346"/>
      <c r="O176" s="294"/>
      <c r="P176" s="293"/>
      <c r="Q176" s="295"/>
      <c r="R176" s="347"/>
      <c r="X176" s="210"/>
    </row>
    <row r="177" spans="1:24" s="11" customFormat="1" x14ac:dyDescent="0.2">
      <c r="A177" s="285">
        <f>IF(J177&lt;&gt;"",1+MAX($A$20:A176),"")</f>
        <v>102</v>
      </c>
      <c r="B177" s="297" t="s">
        <v>312</v>
      </c>
      <c r="C177" s="297" t="s">
        <v>312</v>
      </c>
      <c r="D177" s="206" t="s">
        <v>21</v>
      </c>
      <c r="E177" s="190" t="s">
        <v>58</v>
      </c>
      <c r="F177" s="306" t="s">
        <v>408</v>
      </c>
      <c r="G177" s="247">
        <f>(63.16+173.41+343.45)</f>
        <v>580.02</v>
      </c>
      <c r="H177" s="194">
        <f>IF(VLOOKUP(J177,'HOURLY RATES'!B$116:C$124,2,0)=0,$J$3,VLOOKUP(J177,'HOURLY RATES'!B$116:C$124,2,0))</f>
        <v>0.05</v>
      </c>
      <c r="I177" s="249">
        <f t="shared" ref="I177" si="101">(G177*(1+H177))</f>
        <v>609.02099999999996</v>
      </c>
      <c r="J177" s="181" t="s">
        <v>17</v>
      </c>
      <c r="K177" s="337">
        <v>0.01</v>
      </c>
      <c r="L177" s="192">
        <f>K177*I177</f>
        <v>6.0902099999999999</v>
      </c>
      <c r="M177" s="183">
        <f>IF(VLOOKUP(E177,'HOURLY RATES'!C$6:D$105,2,0)=0,$E$3,VLOOKUP(E177,'HOURLY RATES'!C$6:D$105,2,0))</f>
        <v>29.059931249999998</v>
      </c>
      <c r="N177" s="195">
        <f t="shared" ref="N177" si="102">M177*L177</f>
        <v>176.98108389806248</v>
      </c>
      <c r="O177" s="294">
        <v>0.4</v>
      </c>
      <c r="P177" s="186">
        <f t="shared" ref="P177" si="103">O177*I177</f>
        <v>243.60839999999999</v>
      </c>
      <c r="Q177" s="187">
        <f t="shared" ref="Q177" si="104">P177+N177</f>
        <v>420.58948389806244</v>
      </c>
      <c r="R177" s="188"/>
      <c r="X177" s="210"/>
    </row>
    <row r="178" spans="1:24" s="11" customFormat="1" x14ac:dyDescent="0.2">
      <c r="A178" s="285">
        <f>IF(J178&lt;&gt;"",1+MAX($A$20:A177),"")</f>
        <v>103</v>
      </c>
      <c r="B178" s="297" t="s">
        <v>301</v>
      </c>
      <c r="C178" s="297" t="s">
        <v>301</v>
      </c>
      <c r="D178" s="206" t="s">
        <v>21</v>
      </c>
      <c r="E178" s="190" t="s">
        <v>254</v>
      </c>
      <c r="F178" s="306" t="s">
        <v>442</v>
      </c>
      <c r="G178" s="247">
        <v>630</v>
      </c>
      <c r="H178" s="194">
        <f>IF(VLOOKUP(J178,'HOURLY RATES'!B$116:C$124,2,0)=0,$J$3,VLOOKUP(J178,'HOURLY RATES'!B$116:C$124,2,0))</f>
        <v>0.05</v>
      </c>
      <c r="I178" s="249">
        <f>(G178*(1+H178))</f>
        <v>661.5</v>
      </c>
      <c r="J178" s="181" t="s">
        <v>17</v>
      </c>
      <c r="K178" s="337">
        <v>3.04E-2</v>
      </c>
      <c r="L178" s="192">
        <f>K178*I178</f>
        <v>20.1096</v>
      </c>
      <c r="M178" s="183">
        <f>IF(VLOOKUP(E178,'HOURLY RATES'!C$6:D$105,2,0)=0,$E$3,VLOOKUP(E178,'HOURLY RATES'!C$6:D$105,2,0))</f>
        <v>27.070846687499998</v>
      </c>
      <c r="N178" s="195">
        <f>M178*L178</f>
        <v>544.38389854694992</v>
      </c>
      <c r="O178" s="294">
        <v>0.31</v>
      </c>
      <c r="P178" s="186">
        <f>O178*I178</f>
        <v>205.065</v>
      </c>
      <c r="Q178" s="187">
        <f>P178+N178</f>
        <v>749.44889854694998</v>
      </c>
      <c r="R178" s="188"/>
      <c r="X178" s="210"/>
    </row>
    <row r="179" spans="1:24" s="11" customFormat="1" x14ac:dyDescent="0.2">
      <c r="A179" s="285" t="str">
        <f>IF(J179&lt;&gt;"",1+MAX($A$20:A178),"")</f>
        <v/>
      </c>
      <c r="B179" s="297"/>
      <c r="C179" s="297"/>
      <c r="D179" s="206"/>
      <c r="E179" s="190"/>
      <c r="F179" s="247"/>
      <c r="G179" s="247"/>
      <c r="H179" s="194"/>
      <c r="I179" s="249"/>
      <c r="J179" s="181"/>
      <c r="K179" s="337"/>
      <c r="L179" s="208"/>
      <c r="M179" s="183"/>
      <c r="N179" s="195"/>
      <c r="O179" s="294"/>
      <c r="P179" s="186"/>
      <c r="Q179" s="187"/>
      <c r="R179" s="302"/>
      <c r="X179" s="210"/>
    </row>
    <row r="180" spans="1:24" s="11" customFormat="1" x14ac:dyDescent="0.2">
      <c r="A180" s="285" t="str">
        <f>IF(J180&lt;&gt;"",1+MAX($A$20:A179),"")</f>
        <v/>
      </c>
      <c r="B180" s="297"/>
      <c r="C180" s="297"/>
      <c r="D180" s="206"/>
      <c r="E180" s="190"/>
      <c r="F180" s="305" t="s">
        <v>319</v>
      </c>
      <c r="G180" s="247"/>
      <c r="H180" s="194"/>
      <c r="I180" s="249"/>
      <c r="J180" s="181"/>
      <c r="K180" s="337"/>
      <c r="L180" s="208"/>
      <c r="M180" s="183"/>
      <c r="N180" s="195"/>
      <c r="O180" s="294"/>
      <c r="P180" s="186"/>
      <c r="Q180" s="187"/>
      <c r="R180" s="302"/>
      <c r="X180" s="210"/>
    </row>
    <row r="181" spans="1:24" s="11" customFormat="1" x14ac:dyDescent="0.2">
      <c r="A181" s="285">
        <f>IF(J181&lt;&gt;"",1+MAX($A$20:A180),"")</f>
        <v>104</v>
      </c>
      <c r="B181" s="297" t="s">
        <v>312</v>
      </c>
      <c r="C181" s="297" t="s">
        <v>312</v>
      </c>
      <c r="D181" s="206" t="s">
        <v>21</v>
      </c>
      <c r="E181" s="190" t="s">
        <v>58</v>
      </c>
      <c r="F181" s="306" t="s">
        <v>403</v>
      </c>
      <c r="G181" s="247">
        <v>63.16</v>
      </c>
      <c r="H181" s="194">
        <f>IF(VLOOKUP(J181,'HOURLY RATES'!B$116:C$124,2,0)=0,$J$3,VLOOKUP(J181,'HOURLY RATES'!B$116:C$124,2,0))</f>
        <v>0.05</v>
      </c>
      <c r="I181" s="249">
        <f>(G181*(1+H181))</f>
        <v>66.317999999999998</v>
      </c>
      <c r="J181" s="181" t="s">
        <v>17</v>
      </c>
      <c r="K181" s="337">
        <v>3.5000000000000003E-2</v>
      </c>
      <c r="L181" s="192">
        <f>K181*I181</f>
        <v>2.3211300000000001</v>
      </c>
      <c r="M181" s="183">
        <f>IF(VLOOKUP(E181,'HOURLY RATES'!C$6:D$105,2,0)=0,$E$3,VLOOKUP(E181,'HOURLY RATES'!C$6:D$105,2,0))</f>
        <v>29.059931249999998</v>
      </c>
      <c r="N181" s="195">
        <f>M181*L181</f>
        <v>67.451878222312502</v>
      </c>
      <c r="O181" s="294">
        <f>42.86/9*1.1</f>
        <v>5.2384444444444451</v>
      </c>
      <c r="P181" s="186">
        <f>O181*I181</f>
        <v>347.40315866666668</v>
      </c>
      <c r="Q181" s="187">
        <f>P181+N181</f>
        <v>414.85503688897916</v>
      </c>
      <c r="R181" s="188"/>
      <c r="X181" s="210"/>
    </row>
    <row r="182" spans="1:24" s="11" customFormat="1" x14ac:dyDescent="0.2">
      <c r="A182" s="285" t="str">
        <f>IF(J182&lt;&gt;"",1+MAX($A$20:A181),"")</f>
        <v/>
      </c>
      <c r="B182" s="297"/>
      <c r="C182" s="297"/>
      <c r="D182" s="206"/>
      <c r="E182" s="190"/>
      <c r="F182" s="306"/>
      <c r="G182" s="247"/>
      <c r="H182" s="194"/>
      <c r="I182" s="249"/>
      <c r="J182" s="181"/>
      <c r="K182" s="337"/>
      <c r="L182" s="192"/>
      <c r="M182" s="183"/>
      <c r="N182" s="195"/>
      <c r="O182" s="294"/>
      <c r="P182" s="186"/>
      <c r="Q182" s="187"/>
      <c r="R182" s="188"/>
      <c r="X182" s="210"/>
    </row>
    <row r="183" spans="1:24" s="11" customFormat="1" ht="47.25" x14ac:dyDescent="0.2">
      <c r="A183" s="285">
        <f>IF(J183&lt;&gt;"",1+MAX($A$20:A182),"")</f>
        <v>105</v>
      </c>
      <c r="B183" s="297" t="s">
        <v>312</v>
      </c>
      <c r="C183" s="297" t="s">
        <v>312</v>
      </c>
      <c r="D183" s="206" t="s">
        <v>21</v>
      </c>
      <c r="E183" s="190" t="s">
        <v>58</v>
      </c>
      <c r="F183" s="306" t="s">
        <v>424</v>
      </c>
      <c r="G183" s="247">
        <v>60.63</v>
      </c>
      <c r="H183" s="194">
        <f>IF(VLOOKUP(J183,'HOURLY RATES'!B$116:C$124,2,0)=0,$J$3,VLOOKUP(J183,'HOURLY RATES'!B$116:C$124,2,0))</f>
        <v>0.05</v>
      </c>
      <c r="I183" s="249">
        <f>(G183*(1+H183))</f>
        <v>63.661500000000004</v>
      </c>
      <c r="J183" s="181" t="s">
        <v>17</v>
      </c>
      <c r="K183" s="337">
        <v>3.5000000000000003E-2</v>
      </c>
      <c r="L183" s="192">
        <f>K183*I183</f>
        <v>2.2281525000000002</v>
      </c>
      <c r="M183" s="183">
        <f>IF(VLOOKUP(E183,'HOURLY RATES'!C$6:D$105,2,0)=0,$E$3,VLOOKUP(E183,'HOURLY RATES'!C$6:D$105,2,0))</f>
        <v>29.059931249999998</v>
      </c>
      <c r="N183" s="195">
        <f>M183*L183</f>
        <v>64.749958464515629</v>
      </c>
      <c r="O183" s="294">
        <v>1</v>
      </c>
      <c r="P183" s="186">
        <f>O183*I183</f>
        <v>63.661500000000004</v>
      </c>
      <c r="Q183" s="187">
        <f>P183+N183</f>
        <v>128.41145846451565</v>
      </c>
      <c r="R183" s="188"/>
      <c r="X183" s="210"/>
    </row>
    <row r="184" spans="1:24" s="11" customFormat="1" x14ac:dyDescent="0.2">
      <c r="A184" s="285" t="str">
        <f>IF(J184&lt;&gt;"",1+MAX($A$20:A183),"")</f>
        <v/>
      </c>
      <c r="B184" s="297"/>
      <c r="C184" s="297"/>
      <c r="D184" s="206"/>
      <c r="E184" s="190"/>
      <c r="F184" s="247"/>
      <c r="G184" s="247"/>
      <c r="H184" s="194"/>
      <c r="I184" s="249"/>
      <c r="J184" s="181"/>
      <c r="K184" s="337"/>
      <c r="L184" s="192"/>
      <c r="M184" s="183"/>
      <c r="N184" s="195"/>
      <c r="O184" s="294"/>
      <c r="P184" s="186"/>
      <c r="Q184" s="187"/>
      <c r="R184" s="302"/>
      <c r="X184" s="210"/>
    </row>
    <row r="185" spans="1:24" s="11" customFormat="1" x14ac:dyDescent="0.2">
      <c r="A185" s="285" t="str">
        <f>IF(J185&lt;&gt;"",1+MAX($A$20:A184),"")</f>
        <v/>
      </c>
      <c r="B185" s="297"/>
      <c r="C185" s="297"/>
      <c r="D185" s="206"/>
      <c r="E185" s="190"/>
      <c r="F185" s="284" t="s">
        <v>327</v>
      </c>
      <c r="G185" s="247"/>
      <c r="H185" s="194"/>
      <c r="I185" s="249"/>
      <c r="J185" s="181"/>
      <c r="K185" s="337"/>
      <c r="L185" s="192"/>
      <c r="M185" s="183"/>
      <c r="N185" s="195"/>
      <c r="O185" s="294"/>
      <c r="P185" s="186"/>
      <c r="Q185" s="187"/>
      <c r="R185" s="302"/>
      <c r="X185" s="210"/>
    </row>
    <row r="186" spans="1:24" s="11" customFormat="1" ht="47.25" x14ac:dyDescent="0.2">
      <c r="A186" s="285">
        <f>IF(J186&lt;&gt;"",1+MAX($A$20:A185),"")</f>
        <v>106</v>
      </c>
      <c r="B186" s="297" t="s">
        <v>312</v>
      </c>
      <c r="C186" s="297" t="s">
        <v>312</v>
      </c>
      <c r="D186" s="206" t="s">
        <v>21</v>
      </c>
      <c r="E186" s="190" t="s">
        <v>60</v>
      </c>
      <c r="F186" s="306" t="s">
        <v>404</v>
      </c>
      <c r="G186" s="247">
        <v>318.52999999999997</v>
      </c>
      <c r="H186" s="194">
        <f>IF(VLOOKUP(J186,'HOURLY RATES'!B$116:C$124,2,0)=0,$J$3,VLOOKUP(J186,'HOURLY RATES'!B$116:C$124,2,0))</f>
        <v>0.05</v>
      </c>
      <c r="I186" s="249">
        <f>(G186*(1+H186))</f>
        <v>334.45650000000001</v>
      </c>
      <c r="J186" s="181" t="s">
        <v>17</v>
      </c>
      <c r="K186" s="337">
        <v>8.8999999999999996E-2</v>
      </c>
      <c r="L186" s="192">
        <f t="shared" ref="L186:L187" si="105">K186*I186</f>
        <v>29.766628499999999</v>
      </c>
      <c r="M186" s="183">
        <f>IF(VLOOKUP(E186,'HOURLY RATES'!C$6:D$105,2,0)=0,$E$3,VLOOKUP(E186,'HOURLY RATES'!C$6:D$105,2,0))</f>
        <v>26.105504906250001</v>
      </c>
      <c r="N186" s="195">
        <f>M186*L186</f>
        <v>777.07286634927107</v>
      </c>
      <c r="O186" s="294">
        <v>6.56</v>
      </c>
      <c r="P186" s="186">
        <f>O186*I186</f>
        <v>2194.0346399999999</v>
      </c>
      <c r="Q186" s="187">
        <f>P186+N186</f>
        <v>2971.1075063492708</v>
      </c>
      <c r="R186" s="188"/>
      <c r="X186" s="210"/>
    </row>
    <row r="187" spans="1:24" s="11" customFormat="1" ht="47.25" x14ac:dyDescent="0.2">
      <c r="A187" s="285">
        <f>IF(J187&lt;&gt;"",1+MAX($A$20:A186),"")</f>
        <v>107</v>
      </c>
      <c r="B187" s="297" t="s">
        <v>312</v>
      </c>
      <c r="C187" s="297" t="s">
        <v>312</v>
      </c>
      <c r="D187" s="206" t="s">
        <v>21</v>
      </c>
      <c r="E187" s="190" t="s">
        <v>60</v>
      </c>
      <c r="F187" s="306" t="s">
        <v>405</v>
      </c>
      <c r="G187" s="247">
        <v>28.33</v>
      </c>
      <c r="H187" s="194">
        <f>IF(VLOOKUP(J187,'HOURLY RATES'!B$116:C$124,2,0)=0,$J$3,VLOOKUP(J187,'HOURLY RATES'!B$116:C$124,2,0))</f>
        <v>0.05</v>
      </c>
      <c r="I187" s="249">
        <f>(G187*(1+H187))</f>
        <v>29.746500000000001</v>
      </c>
      <c r="J187" s="181" t="s">
        <v>17</v>
      </c>
      <c r="K187" s="337">
        <f>2*0.089</f>
        <v>0.17799999999999999</v>
      </c>
      <c r="L187" s="192">
        <f t="shared" si="105"/>
        <v>5.2948769999999996</v>
      </c>
      <c r="M187" s="183">
        <f>IF(VLOOKUP(E187,'HOURLY RATES'!C$6:D$105,2,0)=0,$E$3,VLOOKUP(E187,'HOURLY RATES'!C$6:D$105,2,0))</f>
        <v>26.105504906250001</v>
      </c>
      <c r="N187" s="195">
        <f>M187*L187</f>
        <v>138.22543750149029</v>
      </c>
      <c r="O187" s="294">
        <v>6.56</v>
      </c>
      <c r="P187" s="186">
        <f>O187*I187</f>
        <v>195.13703999999998</v>
      </c>
      <c r="Q187" s="187">
        <f>P187+N187</f>
        <v>333.36247750149028</v>
      </c>
      <c r="R187" s="188"/>
      <c r="X187" s="210"/>
    </row>
    <row r="188" spans="1:24" s="11" customFormat="1" x14ac:dyDescent="0.2">
      <c r="A188" s="285" t="str">
        <f>IF(J188&lt;&gt;"",1+MAX($A$20:A187),"")</f>
        <v/>
      </c>
      <c r="B188" s="297"/>
      <c r="C188" s="297"/>
      <c r="D188" s="206"/>
      <c r="E188" s="190"/>
      <c r="F188" s="247"/>
      <c r="G188" s="247"/>
      <c r="H188" s="194"/>
      <c r="I188" s="249"/>
      <c r="J188" s="181"/>
      <c r="K188" s="337"/>
      <c r="L188" s="192"/>
      <c r="M188" s="183"/>
      <c r="N188" s="195"/>
      <c r="O188" s="294"/>
      <c r="P188" s="186"/>
      <c r="Q188" s="187"/>
      <c r="R188" s="302"/>
      <c r="X188" s="210"/>
    </row>
    <row r="189" spans="1:24" s="11" customFormat="1" x14ac:dyDescent="0.2">
      <c r="A189" s="285" t="str">
        <f>IF(J189&lt;&gt;"",1+MAX($A$20:A188),"")</f>
        <v/>
      </c>
      <c r="B189" s="297"/>
      <c r="C189" s="297"/>
      <c r="D189" s="206"/>
      <c r="E189" s="190"/>
      <c r="F189" s="284" t="s">
        <v>328</v>
      </c>
      <c r="G189" s="247"/>
      <c r="H189" s="194"/>
      <c r="I189" s="249"/>
      <c r="J189" s="181"/>
      <c r="K189" s="337"/>
      <c r="L189" s="192"/>
      <c r="M189" s="183"/>
      <c r="N189" s="195"/>
      <c r="O189" s="294"/>
      <c r="P189" s="186"/>
      <c r="Q189" s="187"/>
      <c r="R189" s="302"/>
      <c r="X189" s="210"/>
    </row>
    <row r="190" spans="1:24" s="11" customFormat="1" ht="63" x14ac:dyDescent="0.2">
      <c r="A190" s="285">
        <f>IF(J190&lt;&gt;"",1+MAX($A$20:A189),"")</f>
        <v>108</v>
      </c>
      <c r="B190" s="297" t="s">
        <v>312</v>
      </c>
      <c r="C190" s="297" t="s">
        <v>312</v>
      </c>
      <c r="D190" s="206" t="s">
        <v>21</v>
      </c>
      <c r="E190" s="190" t="s">
        <v>60</v>
      </c>
      <c r="F190" s="306" t="s">
        <v>329</v>
      </c>
      <c r="G190" s="247">
        <f>321.72+14.9*9</f>
        <v>455.82000000000005</v>
      </c>
      <c r="H190" s="194">
        <f>IF(VLOOKUP(J190,'HOURLY RATES'!B$116:C$124,2,0)=0,$J$3,VLOOKUP(J190,'HOURLY RATES'!B$116:C$124,2,0))</f>
        <v>0.05</v>
      </c>
      <c r="I190" s="249">
        <f>(G190*(1+H190))</f>
        <v>478.61100000000005</v>
      </c>
      <c r="J190" s="181" t="s">
        <v>17</v>
      </c>
      <c r="K190" s="337">
        <v>8.8999999999999996E-2</v>
      </c>
      <c r="L190" s="192">
        <f t="shared" ref="L190:L191" si="106">K190*I190</f>
        <v>42.596378999999999</v>
      </c>
      <c r="M190" s="183">
        <f>IF(VLOOKUP(E190,'HOURLY RATES'!C$6:D$105,2,0)=0,$E$3,VLOOKUP(E190,'HOURLY RATES'!C$6:D$105,2,0))</f>
        <v>26.105504906250001</v>
      </c>
      <c r="N190" s="195">
        <f>M190*L190</f>
        <v>1111.9999809729845</v>
      </c>
      <c r="O190" s="294">
        <v>6.56</v>
      </c>
      <c r="P190" s="186">
        <f>O190*I190</f>
        <v>3139.6881600000002</v>
      </c>
      <c r="Q190" s="187">
        <f>P190+N190</f>
        <v>4251.6881409729849</v>
      </c>
      <c r="R190" s="188"/>
      <c r="X190" s="210"/>
    </row>
    <row r="191" spans="1:24" s="11" customFormat="1" ht="63" x14ac:dyDescent="0.2">
      <c r="A191" s="285">
        <f>IF(J191&lt;&gt;"",1+MAX($A$20:A190),"")</f>
        <v>109</v>
      </c>
      <c r="B191" s="297" t="s">
        <v>312</v>
      </c>
      <c r="C191" s="297" t="s">
        <v>312</v>
      </c>
      <c r="D191" s="206" t="s">
        <v>21</v>
      </c>
      <c r="E191" s="190" t="s">
        <v>60</v>
      </c>
      <c r="F191" s="306" t="s">
        <v>330</v>
      </c>
      <c r="G191" s="247">
        <v>29.19</v>
      </c>
      <c r="H191" s="194">
        <f>IF(VLOOKUP(J191,'HOURLY RATES'!B$116:C$124,2,0)=0,$J$3,VLOOKUP(J191,'HOURLY RATES'!B$116:C$124,2,0))</f>
        <v>0.05</v>
      </c>
      <c r="I191" s="249">
        <f>(G191*(1+H191))</f>
        <v>30.649500000000003</v>
      </c>
      <c r="J191" s="181" t="s">
        <v>17</v>
      </c>
      <c r="K191" s="337">
        <f>2*0.089</f>
        <v>0.17799999999999999</v>
      </c>
      <c r="L191" s="192">
        <f t="shared" si="106"/>
        <v>5.4556110000000002</v>
      </c>
      <c r="M191" s="183">
        <f>IF(VLOOKUP(E191,'HOURLY RATES'!C$6:D$105,2,0)=0,$E$3,VLOOKUP(E191,'HOURLY RATES'!C$6:D$105,2,0))</f>
        <v>26.105504906250001</v>
      </c>
      <c r="N191" s="195">
        <f>M191*L191</f>
        <v>142.42147972709148</v>
      </c>
      <c r="O191" s="294">
        <v>6.56</v>
      </c>
      <c r="P191" s="186">
        <f>O191*I191</f>
        <v>201.06072</v>
      </c>
      <c r="Q191" s="187">
        <f>P191+N191</f>
        <v>343.48219972709148</v>
      </c>
      <c r="R191" s="188"/>
      <c r="X191" s="210"/>
    </row>
    <row r="192" spans="1:24" s="11" customFormat="1" x14ac:dyDescent="0.2">
      <c r="A192" s="285" t="str">
        <f>IF(J192&lt;&gt;"",1+MAX($A$20:A191),"")</f>
        <v/>
      </c>
      <c r="B192" s="297"/>
      <c r="C192" s="297"/>
      <c r="D192" s="206"/>
      <c r="E192" s="190"/>
      <c r="F192" s="306"/>
      <c r="G192" s="247"/>
      <c r="H192" s="194"/>
      <c r="I192" s="249"/>
      <c r="J192" s="181"/>
      <c r="K192" s="337"/>
      <c r="L192" s="192"/>
      <c r="M192" s="183"/>
      <c r="N192" s="195"/>
      <c r="O192" s="294"/>
      <c r="P192" s="186"/>
      <c r="Q192" s="187"/>
      <c r="R192" s="188"/>
      <c r="X192" s="210"/>
    </row>
    <row r="193" spans="1:24" s="11" customFormat="1" x14ac:dyDescent="0.2">
      <c r="A193" s="285" t="str">
        <f>IF(J193&lt;&gt;"",1+MAX($A$20:A192),"")</f>
        <v/>
      </c>
      <c r="B193" s="297"/>
      <c r="C193" s="297"/>
      <c r="D193" s="206"/>
      <c r="E193" s="190"/>
      <c r="F193" s="305" t="s">
        <v>320</v>
      </c>
      <c r="G193" s="247"/>
      <c r="H193" s="194"/>
      <c r="I193" s="249"/>
      <c r="J193" s="181"/>
      <c r="K193" s="337"/>
      <c r="L193" s="192"/>
      <c r="M193" s="183"/>
      <c r="N193" s="195"/>
      <c r="O193" s="294"/>
      <c r="P193" s="186"/>
      <c r="Q193" s="187"/>
      <c r="R193" s="302"/>
      <c r="X193" s="210"/>
    </row>
    <row r="194" spans="1:24" s="11" customFormat="1" ht="63" x14ac:dyDescent="0.2">
      <c r="A194" s="285">
        <f>IF(J194&lt;&gt;"",1+MAX($A$20:A193),"")</f>
        <v>110</v>
      </c>
      <c r="B194" s="297" t="s">
        <v>312</v>
      </c>
      <c r="C194" s="297" t="s">
        <v>312</v>
      </c>
      <c r="D194" s="206" t="s">
        <v>21</v>
      </c>
      <c r="E194" s="190" t="s">
        <v>58</v>
      </c>
      <c r="F194" s="306" t="s">
        <v>321</v>
      </c>
      <c r="G194" s="247">
        <v>81.59</v>
      </c>
      <c r="H194" s="194">
        <f>IF(VLOOKUP(J194,'HOURLY RATES'!B$116:C$124,2,0)=0,$J$3,VLOOKUP(J194,'HOURLY RATES'!B$116:C$124,2,0))</f>
        <v>0.05</v>
      </c>
      <c r="I194" s="249">
        <f>(G194*(1+H194))</f>
        <v>85.669500000000014</v>
      </c>
      <c r="J194" s="181" t="s">
        <v>19</v>
      </c>
      <c r="K194" s="337">
        <v>2.5000000000000001E-2</v>
      </c>
      <c r="L194" s="192">
        <f t="shared" ref="L194:L195" si="107">K194*I194</f>
        <v>2.1417375000000005</v>
      </c>
      <c r="M194" s="183">
        <f>IF(VLOOKUP(E194,'HOURLY RATES'!C$6:D$105,2,0)=0,$E$3,VLOOKUP(E194,'HOURLY RATES'!C$6:D$105,2,0))</f>
        <v>29.059931249999998</v>
      </c>
      <c r="N194" s="195">
        <f>M194*L194</f>
        <v>62.238744505546883</v>
      </c>
      <c r="O194" s="294">
        <f>110/120</f>
        <v>0.91666666666666663</v>
      </c>
      <c r="P194" s="186">
        <f>O194*I194</f>
        <v>78.530375000000006</v>
      </c>
      <c r="Q194" s="187">
        <f>P194+N194</f>
        <v>140.76911950554688</v>
      </c>
      <c r="R194" s="188"/>
      <c r="X194" s="210"/>
    </row>
    <row r="195" spans="1:24" s="11" customFormat="1" ht="63" x14ac:dyDescent="0.2">
      <c r="A195" s="285">
        <f>IF(J195&lt;&gt;"",1+MAX($A$20:A194),"")</f>
        <v>111</v>
      </c>
      <c r="B195" s="297" t="s">
        <v>312</v>
      </c>
      <c r="C195" s="297" t="s">
        <v>312</v>
      </c>
      <c r="D195" s="206" t="s">
        <v>21</v>
      </c>
      <c r="E195" s="190" t="s">
        <v>60</v>
      </c>
      <c r="F195" s="306" t="s">
        <v>322</v>
      </c>
      <c r="G195" s="247">
        <v>151.76</v>
      </c>
      <c r="H195" s="194">
        <f>IF(VLOOKUP(J195,'HOURLY RATES'!B$116:C$124,2,0)=0,$J$3,VLOOKUP(J195,'HOURLY RATES'!B$116:C$124,2,0))</f>
        <v>0.05</v>
      </c>
      <c r="I195" s="249">
        <f>(G195*(1+H195))</f>
        <v>159.34799999999998</v>
      </c>
      <c r="J195" s="181" t="s">
        <v>19</v>
      </c>
      <c r="K195" s="337">
        <v>6.5000000000000002E-2</v>
      </c>
      <c r="L195" s="192">
        <f t="shared" si="107"/>
        <v>10.357619999999999</v>
      </c>
      <c r="M195" s="183">
        <f>IF(VLOOKUP(E195,'HOURLY RATES'!C$6:D$105,2,0)=0,$E$3,VLOOKUP(E195,'HOURLY RATES'!C$6:D$105,2,0))</f>
        <v>26.105504906250001</v>
      </c>
      <c r="N195" s="195">
        <f>M195*L195</f>
        <v>270.39089972707313</v>
      </c>
      <c r="O195" s="294">
        <v>13.57</v>
      </c>
      <c r="P195" s="186">
        <f>O195*I195</f>
        <v>2162.3523599999999</v>
      </c>
      <c r="Q195" s="187">
        <f>P195+N195</f>
        <v>2432.7432597270731</v>
      </c>
      <c r="R195" s="188"/>
      <c r="X195" s="210"/>
    </row>
    <row r="196" spans="1:24" s="11" customFormat="1" x14ac:dyDescent="0.2">
      <c r="A196" s="285" t="str">
        <f>IF(J196&lt;&gt;"",1+MAX($A$20:A195),"")</f>
        <v/>
      </c>
      <c r="B196" s="297"/>
      <c r="C196" s="297"/>
      <c r="D196" s="206"/>
      <c r="E196" s="190"/>
      <c r="F196" s="306"/>
      <c r="G196" s="247"/>
      <c r="H196" s="194"/>
      <c r="I196" s="249"/>
      <c r="J196" s="181"/>
      <c r="K196" s="337"/>
      <c r="L196" s="192"/>
      <c r="M196" s="183"/>
      <c r="N196" s="195"/>
      <c r="O196" s="294"/>
      <c r="P196" s="186"/>
      <c r="Q196" s="187"/>
      <c r="R196" s="188"/>
      <c r="X196" s="210"/>
    </row>
    <row r="197" spans="1:24" s="11" customFormat="1" x14ac:dyDescent="0.2">
      <c r="A197" s="285" t="str">
        <f>IF(J197&lt;&gt;"",1+MAX($A$20:A196),"")</f>
        <v/>
      </c>
      <c r="B197" s="341"/>
      <c r="C197" s="341"/>
      <c r="D197" s="206"/>
      <c r="E197" s="344"/>
      <c r="F197" s="305" t="s">
        <v>425</v>
      </c>
      <c r="G197" s="286"/>
      <c r="H197" s="342"/>
      <c r="I197" s="288"/>
      <c r="J197" s="289"/>
      <c r="K197" s="337"/>
      <c r="L197" s="345"/>
      <c r="M197" s="292"/>
      <c r="N197" s="346"/>
      <c r="O197" s="294"/>
      <c r="P197" s="293"/>
      <c r="Q197" s="295"/>
      <c r="R197" s="347"/>
      <c r="X197" s="210"/>
    </row>
    <row r="198" spans="1:24" s="11" customFormat="1" x14ac:dyDescent="0.2">
      <c r="A198" s="285">
        <f>IF(J198&lt;&gt;"",1+MAX($A$20:A197),"")</f>
        <v>112</v>
      </c>
      <c r="B198" s="297" t="s">
        <v>312</v>
      </c>
      <c r="C198" s="297" t="s">
        <v>312</v>
      </c>
      <c r="D198" s="206" t="s">
        <v>21</v>
      </c>
      <c r="E198" s="190" t="s">
        <v>56</v>
      </c>
      <c r="F198" s="306" t="s">
        <v>426</v>
      </c>
      <c r="G198" s="247">
        <f>182*9</f>
        <v>1638</v>
      </c>
      <c r="H198" s="194">
        <f>IF(VLOOKUP(J198,'HOURLY RATES'!B$116:C$124,2,0)=0,$J$3,VLOOKUP(J198,'HOURLY RATES'!B$116:C$124,2,0))</f>
        <v>0.05</v>
      </c>
      <c r="I198" s="249">
        <f t="shared" ref="I198" si="108">(G198*(1+H198))</f>
        <v>1719.9</v>
      </c>
      <c r="J198" s="181" t="s">
        <v>17</v>
      </c>
      <c r="K198" s="337">
        <v>0.01</v>
      </c>
      <c r="L198" s="192">
        <f t="shared" ref="L198" si="109">K198*I198</f>
        <v>17.199000000000002</v>
      </c>
      <c r="M198" s="183">
        <f>IF(VLOOKUP(E198,'HOURLY RATES'!C$6:D$105,2,0)=0,$E$3,VLOOKUP(E198,'HOURLY RATES'!C$6:D$105,2,0))</f>
        <v>39.119376616250001</v>
      </c>
      <c r="N198" s="195">
        <f t="shared" ref="N198" si="110">M198*L198</f>
        <v>672.81415842288379</v>
      </c>
      <c r="O198" s="294">
        <v>0.3</v>
      </c>
      <c r="P198" s="186">
        <f t="shared" ref="P198" si="111">O198*I198</f>
        <v>515.97</v>
      </c>
      <c r="Q198" s="187">
        <f t="shared" ref="Q198" si="112">P198+N198</f>
        <v>1188.7841584228838</v>
      </c>
      <c r="R198" s="188"/>
      <c r="X198" s="210"/>
    </row>
    <row r="199" spans="1:24" s="11" customFormat="1" x14ac:dyDescent="0.2">
      <c r="A199" s="285" t="str">
        <f>IF(J199&lt;&gt;"",1+MAX($A$20:A198),"")</f>
        <v/>
      </c>
      <c r="B199" s="297"/>
      <c r="C199" s="297"/>
      <c r="D199" s="206"/>
      <c r="E199" s="190"/>
      <c r="F199" s="247"/>
      <c r="G199" s="247"/>
      <c r="H199" s="194"/>
      <c r="I199" s="249"/>
      <c r="J199" s="181"/>
      <c r="K199" s="337"/>
      <c r="L199" s="208"/>
      <c r="M199" s="183"/>
      <c r="N199" s="195"/>
      <c r="O199" s="294"/>
      <c r="P199" s="186"/>
      <c r="Q199" s="187"/>
      <c r="R199" s="302"/>
      <c r="X199" s="210"/>
    </row>
    <row r="200" spans="1:24" s="11" customFormat="1" ht="18.75" x14ac:dyDescent="0.2">
      <c r="A200" s="285" t="str">
        <f>IF(J200&lt;&gt;"",1+MAX($A$20:A199),"")</f>
        <v/>
      </c>
      <c r="B200" s="297"/>
      <c r="C200" s="297"/>
      <c r="D200" s="206"/>
      <c r="E200" s="190"/>
      <c r="F200" s="315" t="s">
        <v>323</v>
      </c>
      <c r="G200" s="247"/>
      <c r="H200" s="194"/>
      <c r="I200" s="249"/>
      <c r="J200" s="181"/>
      <c r="K200" s="337"/>
      <c r="L200" s="208"/>
      <c r="M200" s="183"/>
      <c r="N200" s="195"/>
      <c r="O200" s="294"/>
      <c r="P200" s="186"/>
      <c r="Q200" s="187"/>
      <c r="R200" s="302"/>
      <c r="X200" s="210"/>
    </row>
    <row r="201" spans="1:24" s="11" customFormat="1" x14ac:dyDescent="0.2">
      <c r="A201" s="285" t="str">
        <f>IF(J201&lt;&gt;"",1+MAX($A$20:A200),"")</f>
        <v/>
      </c>
      <c r="B201" s="297"/>
      <c r="C201" s="297"/>
      <c r="D201" s="206"/>
      <c r="E201" s="190"/>
      <c r="F201" s="247"/>
      <c r="G201" s="247"/>
      <c r="H201" s="194"/>
      <c r="I201" s="249"/>
      <c r="J201" s="181"/>
      <c r="K201" s="337"/>
      <c r="L201" s="208"/>
      <c r="M201" s="183"/>
      <c r="N201" s="195"/>
      <c r="O201" s="294"/>
      <c r="P201" s="186"/>
      <c r="Q201" s="187"/>
      <c r="R201" s="302"/>
      <c r="X201" s="210"/>
    </row>
    <row r="202" spans="1:24" s="11" customFormat="1" x14ac:dyDescent="0.2">
      <c r="A202" s="285" t="str">
        <f>IF(J202&lt;&gt;"",1+MAX($A$20:A201),"")</f>
        <v/>
      </c>
      <c r="B202" s="297"/>
      <c r="C202" s="297"/>
      <c r="D202" s="206"/>
      <c r="E202" s="190"/>
      <c r="F202" s="305" t="s">
        <v>324</v>
      </c>
      <c r="G202" s="247"/>
      <c r="H202" s="194"/>
      <c r="I202" s="249"/>
      <c r="J202" s="181"/>
      <c r="K202" s="337"/>
      <c r="L202" s="208"/>
      <c r="M202" s="183"/>
      <c r="N202" s="195"/>
      <c r="O202" s="294"/>
      <c r="P202" s="186"/>
      <c r="Q202" s="187"/>
      <c r="R202" s="302"/>
      <c r="X202" s="210"/>
    </row>
    <row r="203" spans="1:24" s="11" customFormat="1" ht="63" x14ac:dyDescent="0.2">
      <c r="A203" s="285">
        <f>IF(J203&lt;&gt;"",1+MAX($A$20:A202),"")</f>
        <v>113</v>
      </c>
      <c r="B203" s="297" t="s">
        <v>312</v>
      </c>
      <c r="C203" s="297" t="s">
        <v>312</v>
      </c>
      <c r="D203" s="206" t="s">
        <v>21</v>
      </c>
      <c r="E203" s="190" t="s">
        <v>56</v>
      </c>
      <c r="F203" s="306" t="s">
        <v>325</v>
      </c>
      <c r="G203" s="247">
        <f>53.31*9</f>
        <v>479.79</v>
      </c>
      <c r="H203" s="194">
        <f>IF(VLOOKUP(J203,'HOURLY RATES'!B$116:C$124,2,0)=0,$J$3,VLOOKUP(J203,'HOURLY RATES'!B$116:C$124,2,0))</f>
        <v>0.05</v>
      </c>
      <c r="I203" s="249">
        <f t="shared" ref="I203" si="113">(G203*(1+H203))</f>
        <v>503.77950000000004</v>
      </c>
      <c r="J203" s="181" t="s">
        <v>17</v>
      </c>
      <c r="K203" s="337">
        <v>0.02</v>
      </c>
      <c r="L203" s="192">
        <f>K203*I203</f>
        <v>10.075590000000002</v>
      </c>
      <c r="M203" s="183">
        <f>IF(VLOOKUP(E203,'HOURLY RATES'!C$6:D$105,2,0)=0,$E$3,VLOOKUP(E203,'HOURLY RATES'!C$6:D$105,2,0))</f>
        <v>39.119376616250001</v>
      </c>
      <c r="N203" s="195">
        <f t="shared" ref="N203" si="114">M203*L203</f>
        <v>394.15079984092245</v>
      </c>
      <c r="O203" s="294">
        <v>0.35</v>
      </c>
      <c r="P203" s="186">
        <f t="shared" ref="P203" si="115">O203*I203</f>
        <v>176.32282499999999</v>
      </c>
      <c r="Q203" s="187">
        <f t="shared" ref="Q203" si="116">P203+N203</f>
        <v>570.47362484092241</v>
      </c>
      <c r="R203" s="188"/>
      <c r="X203" s="210"/>
    </row>
    <row r="204" spans="1:24" s="11" customFormat="1" ht="63" x14ac:dyDescent="0.2">
      <c r="A204" s="285">
        <f>IF(J204&lt;&gt;"",1+MAX($A$20:A203),"")</f>
        <v>114</v>
      </c>
      <c r="B204" s="297" t="s">
        <v>312</v>
      </c>
      <c r="C204" s="297" t="s">
        <v>312</v>
      </c>
      <c r="D204" s="206" t="s">
        <v>21</v>
      </c>
      <c r="E204" s="190" t="s">
        <v>56</v>
      </c>
      <c r="F204" s="306" t="s">
        <v>326</v>
      </c>
      <c r="G204" s="247">
        <f>86.03+98.43*9</f>
        <v>971.90000000000009</v>
      </c>
      <c r="H204" s="194">
        <f>IF(VLOOKUP(J204,'HOURLY RATES'!B$116:C$124,2,0)=0,$J$3,VLOOKUP(J204,'HOURLY RATES'!B$116:C$124,2,0))</f>
        <v>0.05</v>
      </c>
      <c r="I204" s="249">
        <f t="shared" ref="I204" si="117">(G204*(1+H204))</f>
        <v>1020.4950000000001</v>
      </c>
      <c r="J204" s="181" t="s">
        <v>17</v>
      </c>
      <c r="K204" s="337">
        <v>0.02</v>
      </c>
      <c r="L204" s="192">
        <f>K204*I204</f>
        <v>20.409900000000004</v>
      </c>
      <c r="M204" s="183">
        <f>IF(VLOOKUP(E204,'HOURLY RATES'!C$6:D$105,2,0)=0,$E$3,VLOOKUP(E204,'HOURLY RATES'!C$6:D$105,2,0))</f>
        <v>39.119376616250001</v>
      </c>
      <c r="N204" s="195">
        <f t="shared" ref="N204" si="118">M204*L204</f>
        <v>798.42256480000106</v>
      </c>
      <c r="O204" s="294">
        <v>0.35</v>
      </c>
      <c r="P204" s="186">
        <f t="shared" ref="P204" si="119">O204*I204</f>
        <v>357.17325</v>
      </c>
      <c r="Q204" s="187">
        <f t="shared" ref="Q204" si="120">P204+N204</f>
        <v>1155.5958148000011</v>
      </c>
      <c r="R204" s="188"/>
      <c r="X204" s="210"/>
    </row>
    <row r="205" spans="1:24" s="11" customFormat="1" x14ac:dyDescent="0.2">
      <c r="A205" s="317" t="str">
        <f>IF(J205&lt;&gt;"",1+MAX($A$20:A204),"")</f>
        <v/>
      </c>
      <c r="B205" s="318"/>
      <c r="C205" s="318"/>
      <c r="D205" s="319"/>
      <c r="E205" s="300"/>
      <c r="F205" s="306"/>
      <c r="G205" s="320"/>
      <c r="H205" s="321"/>
      <c r="I205" s="322"/>
      <c r="J205" s="323"/>
      <c r="K205" s="337"/>
      <c r="L205" s="343"/>
      <c r="M205" s="324"/>
      <c r="N205" s="325"/>
      <c r="O205" s="294"/>
      <c r="P205" s="326"/>
      <c r="Q205" s="327"/>
      <c r="R205" s="188"/>
      <c r="X205" s="210"/>
    </row>
    <row r="206" spans="1:24" s="11" customFormat="1" x14ac:dyDescent="0.2">
      <c r="A206" s="285" t="str">
        <f>IF(J206&lt;&gt;"",1+MAX($A$20:A205),"")</f>
        <v/>
      </c>
      <c r="B206" s="341"/>
      <c r="C206" s="341"/>
      <c r="D206" s="206"/>
      <c r="E206" s="344"/>
      <c r="F206" s="305" t="s">
        <v>427</v>
      </c>
      <c r="G206" s="286"/>
      <c r="H206" s="342"/>
      <c r="I206" s="288"/>
      <c r="J206" s="289"/>
      <c r="K206" s="337"/>
      <c r="L206" s="345"/>
      <c r="M206" s="292"/>
      <c r="N206" s="346"/>
      <c r="O206" s="294"/>
      <c r="P206" s="293"/>
      <c r="Q206" s="295"/>
      <c r="R206" s="188"/>
      <c r="X206" s="210"/>
    </row>
    <row r="207" spans="1:24" s="11" customFormat="1" x14ac:dyDescent="0.2">
      <c r="A207" s="285">
        <f>IF(J207&lt;&gt;"",1+MAX($A$20:A206),"")</f>
        <v>115</v>
      </c>
      <c r="B207" s="297" t="s">
        <v>312</v>
      </c>
      <c r="C207" s="297" t="s">
        <v>312</v>
      </c>
      <c r="D207" s="206" t="s">
        <v>21</v>
      </c>
      <c r="E207" s="190" t="s">
        <v>56</v>
      </c>
      <c r="F207" s="306" t="s">
        <v>422</v>
      </c>
      <c r="G207" s="247">
        <f>3*(8+8+3)</f>
        <v>57</v>
      </c>
      <c r="H207" s="194">
        <f>IF(VLOOKUP(J207,'HOURLY RATES'!B$116:C$124,2,0)=0,$J$3,VLOOKUP(J207,'HOURLY RATES'!B$116:C$124,2,0))</f>
        <v>0.05</v>
      </c>
      <c r="I207" s="249">
        <f t="shared" ref="I207" si="121">(G207*(1+H207))</f>
        <v>59.85</v>
      </c>
      <c r="J207" s="181" t="s">
        <v>19</v>
      </c>
      <c r="K207" s="337">
        <v>2.1999999999999999E-2</v>
      </c>
      <c r="L207" s="192">
        <f>K207*I207</f>
        <v>1.3167</v>
      </c>
      <c r="M207" s="183">
        <f>IF(VLOOKUP(E207,'HOURLY RATES'!C$6:D$105,2,0)=0,$E$3,VLOOKUP(E207,'HOURLY RATES'!C$6:D$105,2,0))</f>
        <v>39.119376616250001</v>
      </c>
      <c r="N207" s="195">
        <f t="shared" ref="N207" si="122">M207*L207</f>
        <v>51.508483190616374</v>
      </c>
      <c r="O207" s="294">
        <v>1.2</v>
      </c>
      <c r="P207" s="186">
        <f t="shared" ref="P207" si="123">O207*I207</f>
        <v>71.819999999999993</v>
      </c>
      <c r="Q207" s="187">
        <f t="shared" ref="Q207" si="124">P207+N207</f>
        <v>123.32848319061637</v>
      </c>
      <c r="R207" s="188"/>
      <c r="X207" s="210"/>
    </row>
    <row r="208" spans="1:24" s="11" customFormat="1" ht="16.5" thickBot="1" x14ac:dyDescent="0.25">
      <c r="A208" s="211" t="str">
        <f>IF(J208&lt;&gt;"",1+MAX($A$20:A207),"")</f>
        <v/>
      </c>
      <c r="B208" s="212"/>
      <c r="C208" s="212"/>
      <c r="D208" s="212"/>
      <c r="E208" s="212"/>
      <c r="F208" s="309"/>
      <c r="G208" s="214"/>
      <c r="H208" s="215"/>
      <c r="I208" s="216"/>
      <c r="J208" s="217"/>
      <c r="K208" s="218"/>
      <c r="L208" s="219"/>
      <c r="M208" s="220"/>
      <c r="N208" s="221"/>
      <c r="O208" s="222"/>
      <c r="P208" s="223"/>
      <c r="Q208" s="224"/>
      <c r="R208" s="225"/>
      <c r="X208" s="210"/>
    </row>
    <row r="209" spans="1:24" s="11" customFormat="1" ht="20.100000000000001" customHeight="1" x14ac:dyDescent="0.2">
      <c r="A209" s="433" t="str">
        <f>IF(J209&lt;&gt;"",1+MAX($A$20:A208),"")</f>
        <v/>
      </c>
      <c r="B209" s="434"/>
      <c r="C209" s="434"/>
      <c r="D209" s="435" t="s">
        <v>45</v>
      </c>
      <c r="E209" s="435"/>
      <c r="F209" s="436" t="s">
        <v>168</v>
      </c>
      <c r="G209" s="437"/>
      <c r="H209" s="438"/>
      <c r="I209" s="439"/>
      <c r="J209" s="439"/>
      <c r="K209" s="438"/>
      <c r="L209" s="438"/>
      <c r="M209" s="438"/>
      <c r="N209" s="438"/>
      <c r="O209" s="438"/>
      <c r="P209" s="438"/>
      <c r="Q209" s="438"/>
      <c r="R209" s="440">
        <f>SUM(Q210:Q227)</f>
        <v>8957.9617612866732</v>
      </c>
      <c r="X209" s="210"/>
    </row>
    <row r="210" spans="1:24" s="11" customFormat="1" x14ac:dyDescent="0.2">
      <c r="A210" s="285" t="str">
        <f>IF(J210&lt;&gt;"",1+MAX($A$20:A209),"")</f>
        <v/>
      </c>
      <c r="B210" s="299"/>
      <c r="C210" s="299"/>
      <c r="D210" s="199"/>
      <c r="E210" s="190"/>
      <c r="F210" s="205" t="s">
        <v>27</v>
      </c>
      <c r="G210" s="286"/>
      <c r="H210" s="287"/>
      <c r="I210" s="288"/>
      <c r="J210" s="289"/>
      <c r="K210" s="290"/>
      <c r="L210" s="291"/>
      <c r="M210" s="292"/>
      <c r="N210" s="293"/>
      <c r="O210" s="294"/>
      <c r="P210" s="293"/>
      <c r="Q210" s="295"/>
      <c r="R210" s="302"/>
      <c r="X210" s="210"/>
    </row>
    <row r="211" spans="1:24" s="11" customFormat="1" x14ac:dyDescent="0.2">
      <c r="A211" s="285" t="str">
        <f>IF(J211&lt;&gt;"",1+MAX($A$20:A210),"")</f>
        <v/>
      </c>
      <c r="B211" s="341"/>
      <c r="C211" s="341"/>
      <c r="D211" s="206"/>
      <c r="E211" s="344"/>
      <c r="F211" s="305" t="s">
        <v>145</v>
      </c>
      <c r="G211" s="286"/>
      <c r="H211" s="342"/>
      <c r="I211" s="288"/>
      <c r="J211" s="289"/>
      <c r="K211" s="337"/>
      <c r="L211" s="345"/>
      <c r="M211" s="292"/>
      <c r="N211" s="346"/>
      <c r="O211" s="294"/>
      <c r="P211" s="293"/>
      <c r="Q211" s="295"/>
      <c r="R211" s="188"/>
      <c r="X211" s="210"/>
    </row>
    <row r="212" spans="1:24" s="11" customFormat="1" x14ac:dyDescent="0.2">
      <c r="A212" s="285">
        <f>IF(J212&lt;&gt;"",1+MAX($A$20:A211),"")</f>
        <v>116</v>
      </c>
      <c r="B212" s="297" t="s">
        <v>312</v>
      </c>
      <c r="C212" s="297" t="s">
        <v>428</v>
      </c>
      <c r="D212" s="206" t="s">
        <v>45</v>
      </c>
      <c r="E212" s="190" t="s">
        <v>145</v>
      </c>
      <c r="F212" s="306" t="s">
        <v>429</v>
      </c>
      <c r="G212" s="247">
        <v>2</v>
      </c>
      <c r="H212" s="194">
        <f>IF(VLOOKUP(J212,'HOURLY RATES'!B$116:C$124,2,0)=0,$J$3,VLOOKUP(J212,'HOURLY RATES'!B$116:C$124,2,0))</f>
        <v>0</v>
      </c>
      <c r="I212" s="249">
        <f t="shared" ref="I212" si="125">(G212*(1+H212))</f>
        <v>2</v>
      </c>
      <c r="J212" s="181" t="s">
        <v>16</v>
      </c>
      <c r="K212" s="197">
        <v>0.64</v>
      </c>
      <c r="L212" s="192">
        <f>K212*I212</f>
        <v>1.28</v>
      </c>
      <c r="M212" s="183">
        <f>IF(VLOOKUP(E212,'HOURLY RATES'!C$6:D$105,2,0)=0,$E$3,VLOOKUP(E212,'HOURLY RATES'!C$6:D$105,2,0))</f>
        <v>52.3397654479</v>
      </c>
      <c r="N212" s="195">
        <f t="shared" ref="N212" si="126">M212*L212</f>
        <v>66.994899773312</v>
      </c>
      <c r="O212" s="209">
        <v>22.2</v>
      </c>
      <c r="P212" s="186">
        <f t="shared" ref="P212" si="127">O212*I212</f>
        <v>44.4</v>
      </c>
      <c r="Q212" s="187">
        <f t="shared" ref="Q212" si="128">P212+N212</f>
        <v>111.39489977331201</v>
      </c>
      <c r="R212" s="188"/>
      <c r="X212" s="210"/>
    </row>
    <row r="213" spans="1:24" s="11" customFormat="1" x14ac:dyDescent="0.2">
      <c r="A213" s="285" t="str">
        <f>IF(J213&lt;&gt;"",1+MAX($A$20:A212),"")</f>
        <v/>
      </c>
      <c r="B213" s="341"/>
      <c r="C213" s="341"/>
      <c r="D213" s="206"/>
      <c r="E213" s="344"/>
      <c r="F213" s="330" t="s">
        <v>415</v>
      </c>
      <c r="G213" s="348"/>
      <c r="H213" s="342"/>
      <c r="I213" s="288"/>
      <c r="J213" s="289"/>
      <c r="K213" s="337"/>
      <c r="L213" s="345"/>
      <c r="M213" s="292"/>
      <c r="N213" s="346"/>
      <c r="O213" s="294"/>
      <c r="P213" s="293"/>
      <c r="Q213" s="295"/>
      <c r="R213" s="188"/>
      <c r="X213" s="210"/>
    </row>
    <row r="214" spans="1:24" s="11" customFormat="1" x14ac:dyDescent="0.2">
      <c r="A214" s="285" t="str">
        <f>IF(J214&lt;&gt;"",1+MAX($A$20:A213),"")</f>
        <v/>
      </c>
      <c r="B214" s="297"/>
      <c r="C214" s="297"/>
      <c r="D214" s="206"/>
      <c r="E214" s="190"/>
      <c r="F214" s="306"/>
      <c r="G214" s="247"/>
      <c r="H214" s="194"/>
      <c r="I214" s="249"/>
      <c r="J214" s="181"/>
      <c r="K214" s="197"/>
      <c r="L214" s="192"/>
      <c r="M214" s="183"/>
      <c r="N214" s="195"/>
      <c r="O214" s="209"/>
      <c r="P214" s="186"/>
      <c r="Q214" s="187"/>
      <c r="R214" s="188"/>
      <c r="X214" s="210"/>
    </row>
    <row r="215" spans="1:24" s="11" customFormat="1" x14ac:dyDescent="0.2">
      <c r="A215" s="285" t="str">
        <f>IF(J215&lt;&gt;"",1+MAX($A$20:A214),"")</f>
        <v/>
      </c>
      <c r="B215" s="297"/>
      <c r="C215" s="297"/>
      <c r="D215" s="206"/>
      <c r="E215" s="190"/>
      <c r="F215" s="305" t="s">
        <v>338</v>
      </c>
      <c r="G215" s="247"/>
      <c r="H215" s="194"/>
      <c r="I215" s="249"/>
      <c r="J215" s="181"/>
      <c r="K215" s="197"/>
      <c r="L215" s="208"/>
      <c r="M215" s="183"/>
      <c r="N215" s="195"/>
      <c r="O215" s="209"/>
      <c r="P215" s="186"/>
      <c r="Q215" s="187"/>
      <c r="R215" s="302"/>
      <c r="X215" s="210"/>
    </row>
    <row r="216" spans="1:24" s="11" customFormat="1" x14ac:dyDescent="0.2">
      <c r="A216" s="285">
        <f>IF(J216&lt;&gt;"",1+MAX($A$20:A215),"")</f>
        <v>117</v>
      </c>
      <c r="B216" s="297" t="s">
        <v>312</v>
      </c>
      <c r="C216" s="297" t="s">
        <v>312</v>
      </c>
      <c r="D216" s="206" t="s">
        <v>45</v>
      </c>
      <c r="E216" s="190" t="s">
        <v>242</v>
      </c>
      <c r="F216" s="306" t="s">
        <v>333</v>
      </c>
      <c r="G216" s="247">
        <v>4</v>
      </c>
      <c r="H216" s="194">
        <f>IF(VLOOKUP(J216,'HOURLY RATES'!B$116:C$124,2,0)=0,$J$3,VLOOKUP(J216,'HOURLY RATES'!B$116:C$124,2,0))</f>
        <v>0</v>
      </c>
      <c r="I216" s="249">
        <f t="shared" ref="I216" si="129">(G216*(1+H216))</f>
        <v>4</v>
      </c>
      <c r="J216" s="181" t="s">
        <v>16</v>
      </c>
      <c r="K216" s="197">
        <v>0.64800000000000002</v>
      </c>
      <c r="L216" s="192">
        <f t="shared" ref="L216:L220" si="130">K216*I216</f>
        <v>2.5920000000000001</v>
      </c>
      <c r="M216" s="183">
        <f>IF(VLOOKUP(E216,'HOURLY RATES'!C$6:D$105,2,0)=0,$E$3,VLOOKUP(E216,'HOURLY RATES'!C$6:D$105,2,0))</f>
        <v>52.3397654479</v>
      </c>
      <c r="N216" s="195">
        <f t="shared" ref="N216" si="131">M216*L216</f>
        <v>135.66467204095682</v>
      </c>
      <c r="O216" s="209">
        <v>48.3</v>
      </c>
      <c r="P216" s="186">
        <f t="shared" ref="P216" si="132">O216*I216</f>
        <v>193.2</v>
      </c>
      <c r="Q216" s="187">
        <f t="shared" ref="Q216" si="133">P216+N216</f>
        <v>328.8646720409568</v>
      </c>
      <c r="R216" s="188"/>
      <c r="X216" s="210"/>
    </row>
    <row r="217" spans="1:24" s="11" customFormat="1" x14ac:dyDescent="0.2">
      <c r="A217" s="285">
        <f>IF(J217&lt;&gt;"",1+MAX($A$20:A216),"")</f>
        <v>118</v>
      </c>
      <c r="B217" s="297" t="s">
        <v>312</v>
      </c>
      <c r="C217" s="297" t="s">
        <v>312</v>
      </c>
      <c r="D217" s="206" t="s">
        <v>45</v>
      </c>
      <c r="E217" s="190" t="s">
        <v>242</v>
      </c>
      <c r="F217" s="306" t="s">
        <v>334</v>
      </c>
      <c r="G217" s="247">
        <v>4</v>
      </c>
      <c r="H217" s="194">
        <f>IF(VLOOKUP(J217,'HOURLY RATES'!B$116:C$124,2,0)=0,$J$3,VLOOKUP(J217,'HOURLY RATES'!B$116:C$124,2,0))</f>
        <v>0</v>
      </c>
      <c r="I217" s="249">
        <f t="shared" ref="I217" si="134">(G217*(1+H217))</f>
        <v>4</v>
      </c>
      <c r="J217" s="181" t="s">
        <v>16</v>
      </c>
      <c r="K217" s="197">
        <v>1.3560000000000001</v>
      </c>
      <c r="L217" s="192">
        <f t="shared" si="130"/>
        <v>5.4240000000000004</v>
      </c>
      <c r="M217" s="183">
        <f>IF(VLOOKUP(E217,'HOURLY RATES'!C$6:D$105,2,0)=0,$E$3,VLOOKUP(E217,'HOURLY RATES'!C$6:D$105,2,0))</f>
        <v>52.3397654479</v>
      </c>
      <c r="N217" s="195">
        <f t="shared" ref="N217" si="135">M217*L217</f>
        <v>283.89088778940959</v>
      </c>
      <c r="O217" s="209">
        <v>198.84</v>
      </c>
      <c r="P217" s="186">
        <f t="shared" ref="P217" si="136">O217*I217</f>
        <v>795.36</v>
      </c>
      <c r="Q217" s="187">
        <f t="shared" ref="Q217" si="137">P217+N217</f>
        <v>1079.2508877894097</v>
      </c>
      <c r="R217" s="188"/>
      <c r="X217" s="210"/>
    </row>
    <row r="218" spans="1:24" s="11" customFormat="1" x14ac:dyDescent="0.2">
      <c r="A218" s="285">
        <f>IF(J218&lt;&gt;"",1+MAX($A$20:A217),"")</f>
        <v>119</v>
      </c>
      <c r="B218" s="297" t="s">
        <v>312</v>
      </c>
      <c r="C218" s="297" t="s">
        <v>312</v>
      </c>
      <c r="D218" s="206" t="s">
        <v>45</v>
      </c>
      <c r="E218" s="190" t="s">
        <v>242</v>
      </c>
      <c r="F218" s="306" t="s">
        <v>335</v>
      </c>
      <c r="G218" s="247">
        <v>4</v>
      </c>
      <c r="H218" s="194">
        <f>IF(VLOOKUP(J218,'HOURLY RATES'!B$116:C$124,2,0)=0,$J$3,VLOOKUP(J218,'HOURLY RATES'!B$116:C$124,2,0))</f>
        <v>0</v>
      </c>
      <c r="I218" s="249">
        <f t="shared" ref="I218" si="138">(G218*(1+H218))</f>
        <v>4</v>
      </c>
      <c r="J218" s="181" t="s">
        <v>16</v>
      </c>
      <c r="K218" s="197">
        <v>0.71299999999999997</v>
      </c>
      <c r="L218" s="192">
        <f t="shared" si="130"/>
        <v>2.8519999999999999</v>
      </c>
      <c r="M218" s="183">
        <f>IF(VLOOKUP(E218,'HOURLY RATES'!C$6:D$105,2,0)=0,$E$3,VLOOKUP(E218,'HOURLY RATES'!C$6:D$105,2,0))</f>
        <v>52.3397654479</v>
      </c>
      <c r="N218" s="195">
        <f t="shared" ref="N218" si="139">M218*L218</f>
        <v>149.2730110574108</v>
      </c>
      <c r="O218" s="209">
        <v>69.52</v>
      </c>
      <c r="P218" s="186">
        <f t="shared" ref="P218" si="140">O218*I218</f>
        <v>278.08</v>
      </c>
      <c r="Q218" s="187">
        <f t="shared" ref="Q218" si="141">P218+N218</f>
        <v>427.35301105741075</v>
      </c>
      <c r="R218" s="188"/>
      <c r="X218" s="210"/>
    </row>
    <row r="219" spans="1:24" s="11" customFormat="1" x14ac:dyDescent="0.2">
      <c r="A219" s="285">
        <f>IF(J219&lt;&gt;"",1+MAX($A$20:A218),"")</f>
        <v>120</v>
      </c>
      <c r="B219" s="297" t="s">
        <v>312</v>
      </c>
      <c r="C219" s="297" t="s">
        <v>312</v>
      </c>
      <c r="D219" s="206" t="s">
        <v>45</v>
      </c>
      <c r="E219" s="190" t="s">
        <v>242</v>
      </c>
      <c r="F219" s="306" t="s">
        <v>336</v>
      </c>
      <c r="G219" s="247">
        <v>3</v>
      </c>
      <c r="H219" s="194">
        <f>IF(VLOOKUP(J219,'HOURLY RATES'!B$116:C$124,2,0)=0,$J$3,VLOOKUP(J219,'HOURLY RATES'!B$116:C$124,2,0))</f>
        <v>0</v>
      </c>
      <c r="I219" s="249">
        <f t="shared" ref="I219:I220" si="142">(G219*(1+H219))</f>
        <v>3</v>
      </c>
      <c r="J219" s="181" t="s">
        <v>16</v>
      </c>
      <c r="K219" s="197">
        <v>0.56899999999999995</v>
      </c>
      <c r="L219" s="192">
        <f t="shared" si="130"/>
        <v>1.7069999999999999</v>
      </c>
      <c r="M219" s="183">
        <f>IF(VLOOKUP(E219,'HOURLY RATES'!C$6:D$105,2,0)=0,$E$3,VLOOKUP(E219,'HOURLY RATES'!C$6:D$105,2,0))</f>
        <v>52.3397654479</v>
      </c>
      <c r="N219" s="195">
        <f t="shared" ref="N219:N220" si="143">M219*L219</f>
        <v>89.343979619565289</v>
      </c>
      <c r="O219" s="209">
        <v>35.71</v>
      </c>
      <c r="P219" s="186">
        <f t="shared" ref="P219:P220" si="144">O219*I219</f>
        <v>107.13</v>
      </c>
      <c r="Q219" s="187">
        <f t="shared" ref="Q219:Q220" si="145">P219+N219</f>
        <v>196.47397961956528</v>
      </c>
      <c r="R219" s="188"/>
      <c r="X219" s="210"/>
    </row>
    <row r="220" spans="1:24" s="11" customFormat="1" x14ac:dyDescent="0.2">
      <c r="A220" s="285">
        <f>IF(J220&lt;&gt;"",1+MAX($A$20:A219),"")</f>
        <v>121</v>
      </c>
      <c r="B220" s="297" t="s">
        <v>312</v>
      </c>
      <c r="C220" s="297" t="s">
        <v>312</v>
      </c>
      <c r="D220" s="206" t="s">
        <v>45</v>
      </c>
      <c r="E220" s="190" t="s">
        <v>242</v>
      </c>
      <c r="F220" s="306" t="s">
        <v>337</v>
      </c>
      <c r="G220" s="247">
        <v>2</v>
      </c>
      <c r="H220" s="194">
        <f>IF(VLOOKUP(J220,'HOURLY RATES'!B$116:C$124,2,0)=0,$J$3,VLOOKUP(J220,'HOURLY RATES'!B$116:C$124,2,0))</f>
        <v>0</v>
      </c>
      <c r="I220" s="249">
        <f t="shared" si="142"/>
        <v>2</v>
      </c>
      <c r="J220" s="181" t="s">
        <v>16</v>
      </c>
      <c r="K220" s="197">
        <v>0.60199999999999998</v>
      </c>
      <c r="L220" s="192">
        <f t="shared" si="130"/>
        <v>1.204</v>
      </c>
      <c r="M220" s="183">
        <f>IF(VLOOKUP(E220,'HOURLY RATES'!C$6:D$105,2,0)=0,$E$3,VLOOKUP(E220,'HOURLY RATES'!C$6:D$105,2,0))</f>
        <v>52.3397654479</v>
      </c>
      <c r="N220" s="195">
        <f t="shared" si="143"/>
        <v>63.017077599271595</v>
      </c>
      <c r="O220" s="209">
        <v>41.23</v>
      </c>
      <c r="P220" s="186">
        <f t="shared" si="144"/>
        <v>82.46</v>
      </c>
      <c r="Q220" s="187">
        <f t="shared" si="145"/>
        <v>145.47707759927158</v>
      </c>
      <c r="R220" s="188"/>
      <c r="X220" s="210"/>
    </row>
    <row r="221" spans="1:24" s="11" customFormat="1" x14ac:dyDescent="0.2">
      <c r="A221" s="285" t="str">
        <f>IF(J221&lt;&gt;"",1+MAX($A$20:A220),"")</f>
        <v/>
      </c>
      <c r="B221" s="297"/>
      <c r="C221" s="297"/>
      <c r="D221" s="206"/>
      <c r="E221" s="190"/>
      <c r="F221" s="306"/>
      <c r="G221" s="247"/>
      <c r="H221" s="194"/>
      <c r="I221" s="249"/>
      <c r="J221" s="181"/>
      <c r="K221" s="197"/>
      <c r="L221" s="208"/>
      <c r="M221" s="183"/>
      <c r="N221" s="195"/>
      <c r="O221" s="209"/>
      <c r="P221" s="186"/>
      <c r="Q221" s="187"/>
      <c r="R221" s="188"/>
      <c r="X221" s="210"/>
    </row>
    <row r="222" spans="1:24" s="11" customFormat="1" x14ac:dyDescent="0.2">
      <c r="A222" s="285">
        <f>IF(J222&lt;&gt;"",1+MAX($A$20:A221),"")</f>
        <v>122</v>
      </c>
      <c r="B222" s="297" t="s">
        <v>312</v>
      </c>
      <c r="C222" s="297" t="s">
        <v>312</v>
      </c>
      <c r="D222" s="206" t="s">
        <v>45</v>
      </c>
      <c r="E222" s="190" t="s">
        <v>246</v>
      </c>
      <c r="F222" s="306" t="s">
        <v>339</v>
      </c>
      <c r="G222" s="247">
        <v>27.93</v>
      </c>
      <c r="H222" s="194">
        <f>IF(VLOOKUP(J222,'HOURLY RATES'!B$116:C$124,2,0)=0,$J$3,VLOOKUP(J222,'HOURLY RATES'!B$116:C$124,2,0))</f>
        <v>0.05</v>
      </c>
      <c r="I222" s="249">
        <f t="shared" ref="I222" si="146">(G222*(1+H222))</f>
        <v>29.326499999999999</v>
      </c>
      <c r="J222" s="181" t="s">
        <v>19</v>
      </c>
      <c r="K222" s="197">
        <v>1.1000000000000001</v>
      </c>
      <c r="L222" s="192">
        <f t="shared" ref="L222:L223" si="147">K222*I222</f>
        <v>32.259150000000005</v>
      </c>
      <c r="M222" s="183">
        <f>IF(VLOOKUP(E222,'HOURLY RATES'!C$6:D$105,2,0)=0,$E$3,VLOOKUP(E222,'HOURLY RATES'!C$6:D$105,2,0))</f>
        <v>52.3397654479</v>
      </c>
      <c r="N222" s="195">
        <f t="shared" ref="N222" si="148">M222*L222</f>
        <v>1688.4363445486235</v>
      </c>
      <c r="O222" s="209">
        <f>175.5*58/72</f>
        <v>141.375</v>
      </c>
      <c r="P222" s="186">
        <f t="shared" ref="P222" si="149">O222*I222</f>
        <v>4146.0339375000003</v>
      </c>
      <c r="Q222" s="187">
        <f t="shared" ref="Q222" si="150">P222+N222</f>
        <v>5834.4702820486236</v>
      </c>
      <c r="R222" s="188"/>
      <c r="X222" s="210"/>
    </row>
    <row r="223" spans="1:24" s="11" customFormat="1" x14ac:dyDescent="0.2">
      <c r="A223" s="285">
        <f>IF(J223&lt;&gt;"",1+MAX($A$20:A222),"")</f>
        <v>123</v>
      </c>
      <c r="B223" s="297" t="s">
        <v>312</v>
      </c>
      <c r="C223" s="297" t="s">
        <v>312</v>
      </c>
      <c r="D223" s="206" t="s">
        <v>45</v>
      </c>
      <c r="E223" s="190" t="s">
        <v>246</v>
      </c>
      <c r="F223" s="306" t="s">
        <v>340</v>
      </c>
      <c r="G223" s="247">
        <v>1.55</v>
      </c>
      <c r="H223" s="194">
        <f>IF(VLOOKUP(J223,'HOURLY RATES'!B$116:C$124,2,0)=0,$J$3,VLOOKUP(J223,'HOURLY RATES'!B$116:C$124,2,0))</f>
        <v>0.05</v>
      </c>
      <c r="I223" s="249">
        <f t="shared" ref="I223" si="151">(G223*(1+H223))</f>
        <v>1.6275000000000002</v>
      </c>
      <c r="J223" s="181" t="s">
        <v>19</v>
      </c>
      <c r="K223" s="197">
        <f>2*1</f>
        <v>2</v>
      </c>
      <c r="L223" s="192">
        <f t="shared" si="147"/>
        <v>3.2550000000000003</v>
      </c>
      <c r="M223" s="183">
        <f>IF(VLOOKUP(E223,'HOURLY RATES'!C$6:D$105,2,0)=0,$E$3,VLOOKUP(E223,'HOURLY RATES'!C$6:D$105,2,0))</f>
        <v>52.3397654479</v>
      </c>
      <c r="N223" s="195">
        <f t="shared" ref="N223" si="152">M223*L223</f>
        <v>170.3659365329145</v>
      </c>
      <c r="O223" s="209">
        <f>175.5*48/72</f>
        <v>117</v>
      </c>
      <c r="P223" s="186">
        <f t="shared" ref="P223" si="153">O223*I223</f>
        <v>190.41750000000002</v>
      </c>
      <c r="Q223" s="187">
        <f t="shared" ref="Q223" si="154">P223+N223</f>
        <v>360.78343653291449</v>
      </c>
      <c r="R223" s="188"/>
      <c r="X223" s="210"/>
    </row>
    <row r="224" spans="1:24" s="11" customFormat="1" x14ac:dyDescent="0.2">
      <c r="A224" s="285" t="str">
        <f>IF(J224&lt;&gt;"",1+MAX($A$20:A223),"")</f>
        <v/>
      </c>
      <c r="B224" s="297"/>
      <c r="C224" s="297"/>
      <c r="D224" s="206"/>
      <c r="E224" s="190"/>
      <c r="F224" s="306"/>
      <c r="G224" s="247"/>
      <c r="H224" s="194"/>
      <c r="I224" s="249"/>
      <c r="J224" s="181"/>
      <c r="K224" s="197"/>
      <c r="L224" s="208"/>
      <c r="M224" s="183"/>
      <c r="N224" s="195"/>
      <c r="O224" s="209"/>
      <c r="P224" s="186"/>
      <c r="Q224" s="187"/>
      <c r="R224" s="188"/>
      <c r="X224" s="210"/>
    </row>
    <row r="225" spans="1:24" s="11" customFormat="1" x14ac:dyDescent="0.2">
      <c r="A225" s="285">
        <f>IF(J225&lt;&gt;"",1+MAX($A$20:A224),"")</f>
        <v>124</v>
      </c>
      <c r="B225" s="297" t="s">
        <v>312</v>
      </c>
      <c r="C225" s="297" t="s">
        <v>312</v>
      </c>
      <c r="D225" s="206" t="s">
        <v>45</v>
      </c>
      <c r="E225" s="190" t="s">
        <v>242</v>
      </c>
      <c r="F225" s="306" t="s">
        <v>341</v>
      </c>
      <c r="G225" s="247">
        <v>9.23</v>
      </c>
      <c r="H225" s="194">
        <f>IF(VLOOKUP(J225,'HOURLY RATES'!B$116:C$124,2,0)=0,$J$3,VLOOKUP(J225,'HOURLY RATES'!B$116:C$124,2,0))</f>
        <v>0.05</v>
      </c>
      <c r="I225" s="249">
        <f t="shared" ref="I225:I226" si="155">(G225*(1+H225))</f>
        <v>9.6915000000000013</v>
      </c>
      <c r="J225" s="181" t="s">
        <v>19</v>
      </c>
      <c r="K225" s="197">
        <v>0.28000000000000003</v>
      </c>
      <c r="L225" s="192">
        <f t="shared" ref="L225:L226" si="156">K225*I225</f>
        <v>2.7136200000000006</v>
      </c>
      <c r="M225" s="183">
        <f>IF(VLOOKUP(E225,'HOURLY RATES'!C$6:D$105,2,0)=0,$E$3,VLOOKUP(E225,'HOURLY RATES'!C$6:D$105,2,0))</f>
        <v>52.3397654479</v>
      </c>
      <c r="N225" s="195">
        <f t="shared" ref="N225:N226" si="157">M225*L225</f>
        <v>142.03023431473042</v>
      </c>
      <c r="O225" s="209">
        <v>19.850000000000001</v>
      </c>
      <c r="P225" s="186">
        <f t="shared" ref="P225:P226" si="158">O225*I225</f>
        <v>192.37627500000005</v>
      </c>
      <c r="Q225" s="187">
        <f t="shared" ref="Q225:Q226" si="159">P225+N225</f>
        <v>334.40650931473044</v>
      </c>
      <c r="R225" s="188"/>
      <c r="X225" s="210"/>
    </row>
    <row r="226" spans="1:24" s="11" customFormat="1" x14ac:dyDescent="0.2">
      <c r="A226" s="285">
        <f>IF(J226&lt;&gt;"",1+MAX($A$20:A225),"")</f>
        <v>125</v>
      </c>
      <c r="B226" s="297" t="s">
        <v>312</v>
      </c>
      <c r="C226" s="297" t="s">
        <v>312</v>
      </c>
      <c r="D226" s="206" t="s">
        <v>45</v>
      </c>
      <c r="E226" s="190" t="s">
        <v>242</v>
      </c>
      <c r="F226" s="306" t="s">
        <v>342</v>
      </c>
      <c r="G226" s="247">
        <v>3.85</v>
      </c>
      <c r="H226" s="194">
        <f>IF(VLOOKUP(J226,'HOURLY RATES'!B$116:C$124,2,0)=0,$J$3,VLOOKUP(J226,'HOURLY RATES'!B$116:C$124,2,0))</f>
        <v>0.05</v>
      </c>
      <c r="I226" s="249">
        <f t="shared" si="155"/>
        <v>4.0425000000000004</v>
      </c>
      <c r="J226" s="181" t="s">
        <v>19</v>
      </c>
      <c r="K226" s="197">
        <v>0.28000000000000003</v>
      </c>
      <c r="L226" s="192">
        <f t="shared" si="156"/>
        <v>1.1319000000000001</v>
      </c>
      <c r="M226" s="183">
        <f>IF(VLOOKUP(E226,'HOURLY RATES'!C$6:D$105,2,0)=0,$E$3,VLOOKUP(E226,'HOURLY RATES'!C$6:D$105,2,0))</f>
        <v>52.3397654479</v>
      </c>
      <c r="N226" s="195">
        <f t="shared" si="157"/>
        <v>59.243380510478019</v>
      </c>
      <c r="O226" s="209">
        <v>19.850000000000001</v>
      </c>
      <c r="P226" s="186">
        <f t="shared" si="158"/>
        <v>80.243625000000009</v>
      </c>
      <c r="Q226" s="187">
        <f t="shared" si="159"/>
        <v>139.48700551047801</v>
      </c>
      <c r="R226" s="188"/>
      <c r="X226" s="210"/>
    </row>
    <row r="227" spans="1:24" s="11" customFormat="1" ht="16.5" thickBot="1" x14ac:dyDescent="0.25">
      <c r="A227" s="211" t="str">
        <f>IF(J227&lt;&gt;"",1+MAX($A$20:A226),"")</f>
        <v/>
      </c>
      <c r="B227" s="212"/>
      <c r="C227" s="212"/>
      <c r="D227" s="212"/>
      <c r="E227" s="212"/>
      <c r="F227" s="309"/>
      <c r="G227" s="214"/>
      <c r="H227" s="215"/>
      <c r="I227" s="216"/>
      <c r="J227" s="217"/>
      <c r="K227" s="218"/>
      <c r="L227" s="219"/>
      <c r="M227" s="220"/>
      <c r="N227" s="221"/>
      <c r="O227" s="222"/>
      <c r="P227" s="223"/>
      <c r="Q227" s="224"/>
      <c r="R227" s="225"/>
      <c r="X227" s="210"/>
    </row>
    <row r="228" spans="1:24" s="11" customFormat="1" ht="20.100000000000001" customHeight="1" x14ac:dyDescent="0.2">
      <c r="A228" s="433" t="str">
        <f>IF(J228&lt;&gt;"",1+MAX($A$20:A227),"")</f>
        <v/>
      </c>
      <c r="B228" s="434"/>
      <c r="C228" s="434"/>
      <c r="D228" s="435" t="s">
        <v>34</v>
      </c>
      <c r="E228" s="435"/>
      <c r="F228" s="436" t="s">
        <v>346</v>
      </c>
      <c r="G228" s="437"/>
      <c r="H228" s="438"/>
      <c r="I228" s="439"/>
      <c r="J228" s="439"/>
      <c r="K228" s="438"/>
      <c r="L228" s="438"/>
      <c r="M228" s="438"/>
      <c r="N228" s="438"/>
      <c r="O228" s="438"/>
      <c r="P228" s="438"/>
      <c r="Q228" s="438"/>
      <c r="R228" s="440">
        <f>SUM(Q229:Q240)</f>
        <v>3648.8823669887433</v>
      </c>
      <c r="X228" s="210"/>
    </row>
    <row r="229" spans="1:24" s="11" customFormat="1" x14ac:dyDescent="0.2">
      <c r="A229" s="285" t="str">
        <f>IF(J229&lt;&gt;"",1+MAX($A$20:A228),"")</f>
        <v/>
      </c>
      <c r="B229" s="299"/>
      <c r="C229" s="299"/>
      <c r="D229" s="199"/>
      <c r="E229" s="190"/>
      <c r="F229" s="205" t="s">
        <v>27</v>
      </c>
      <c r="G229" s="286"/>
      <c r="H229" s="287"/>
      <c r="I229" s="288"/>
      <c r="J229" s="289"/>
      <c r="K229" s="290"/>
      <c r="L229" s="291"/>
      <c r="M229" s="292"/>
      <c r="N229" s="293"/>
      <c r="O229" s="294"/>
      <c r="P229" s="293"/>
      <c r="Q229" s="295"/>
      <c r="R229" s="302"/>
      <c r="X229" s="210"/>
    </row>
    <row r="230" spans="1:24" s="11" customFormat="1" x14ac:dyDescent="0.2">
      <c r="A230" s="285" t="str">
        <f>IF(J230&lt;&gt;"",1+MAX($A$20:A229),"")</f>
        <v/>
      </c>
      <c r="B230" s="299"/>
      <c r="C230" s="299"/>
      <c r="D230" s="199"/>
      <c r="E230" s="190"/>
      <c r="F230" s="305" t="s">
        <v>347</v>
      </c>
      <c r="G230" s="286"/>
      <c r="H230" s="287"/>
      <c r="I230" s="288"/>
      <c r="J230" s="289"/>
      <c r="K230" s="290"/>
      <c r="L230" s="291"/>
      <c r="M230" s="292"/>
      <c r="N230" s="293"/>
      <c r="O230" s="294"/>
      <c r="P230" s="293"/>
      <c r="Q230" s="295"/>
      <c r="R230" s="314"/>
      <c r="X230" s="210"/>
    </row>
    <row r="231" spans="1:24" s="11" customFormat="1" ht="47.25" x14ac:dyDescent="0.2">
      <c r="A231" s="285">
        <f>IF(J231&lt;&gt;"",1+MAX($A$20:A230),"")</f>
        <v>126</v>
      </c>
      <c r="B231" s="297" t="s">
        <v>312</v>
      </c>
      <c r="C231" s="297" t="s">
        <v>312</v>
      </c>
      <c r="D231" s="206" t="s">
        <v>34</v>
      </c>
      <c r="E231" s="190" t="s">
        <v>142</v>
      </c>
      <c r="F231" s="306" t="s">
        <v>351</v>
      </c>
      <c r="G231" s="247">
        <v>18.13</v>
      </c>
      <c r="H231" s="194">
        <f>IF(VLOOKUP(J231,'HOURLY RATES'!B$116:C$124,2,0)=0,$J$3,VLOOKUP(J231,'HOURLY RATES'!B$116:C$124,2,0))</f>
        <v>0.05</v>
      </c>
      <c r="I231" s="249">
        <f t="shared" ref="I231" si="160">(G231*(1+H231))</f>
        <v>19.0365</v>
      </c>
      <c r="J231" s="181" t="s">
        <v>17</v>
      </c>
      <c r="K231" s="197">
        <v>0.35899999999999999</v>
      </c>
      <c r="L231" s="192">
        <f>K231*I231</f>
        <v>6.8341034999999994</v>
      </c>
      <c r="M231" s="183">
        <f>IF(VLOOKUP(E231,'HOURLY RATES'!C$6:D$105,2,0)=0,$E$3,VLOOKUP(E231,'HOURLY RATES'!C$6:D$105,2,0))</f>
        <v>57.738444654679682</v>
      </c>
      <c r="N231" s="195">
        <f t="shared" ref="N231" si="161">M231*L231</f>
        <v>394.59050669910266</v>
      </c>
      <c r="O231" s="209">
        <v>85.5</v>
      </c>
      <c r="P231" s="186">
        <f t="shared" ref="P231" si="162">O231*I231</f>
        <v>1627.62075</v>
      </c>
      <c r="Q231" s="187">
        <f t="shared" ref="Q231" si="163">P231+N231</f>
        <v>2022.2112566991027</v>
      </c>
      <c r="R231" s="188"/>
      <c r="X231" s="210"/>
    </row>
    <row r="232" spans="1:24" s="11" customFormat="1" x14ac:dyDescent="0.2">
      <c r="A232" s="285" t="str">
        <f>IF(J232&lt;&gt;"",1+MAX($A$20:A231),"")</f>
        <v/>
      </c>
      <c r="B232" s="297"/>
      <c r="C232" s="297"/>
      <c r="D232" s="206"/>
      <c r="E232" s="190"/>
      <c r="F232" s="306"/>
      <c r="G232" s="247"/>
      <c r="H232" s="194"/>
      <c r="I232" s="249"/>
      <c r="J232" s="181"/>
      <c r="K232" s="197"/>
      <c r="L232" s="208"/>
      <c r="M232" s="183"/>
      <c r="N232" s="195"/>
      <c r="O232" s="209"/>
      <c r="P232" s="186"/>
      <c r="Q232" s="187"/>
      <c r="R232" s="188"/>
      <c r="X232" s="210"/>
    </row>
    <row r="233" spans="1:24" s="11" customFormat="1" x14ac:dyDescent="0.2">
      <c r="A233" s="285">
        <f>IF(J233&lt;&gt;"",1+MAX($A$20:A232),"")</f>
        <v>127</v>
      </c>
      <c r="B233" s="297" t="s">
        <v>312</v>
      </c>
      <c r="C233" s="297" t="s">
        <v>312</v>
      </c>
      <c r="D233" s="206" t="s">
        <v>34</v>
      </c>
      <c r="E233" s="190" t="s">
        <v>142</v>
      </c>
      <c r="F233" s="306" t="s">
        <v>349</v>
      </c>
      <c r="G233" s="247">
        <v>17.09</v>
      </c>
      <c r="H233" s="194">
        <f>IF(VLOOKUP(J233,'HOURLY RATES'!B$116:C$124,2,0)=0,$J$3,VLOOKUP(J233,'HOURLY RATES'!B$116:C$124,2,0))</f>
        <v>0.05</v>
      </c>
      <c r="I233" s="249">
        <f t="shared" ref="I233" si="164">(G233*(1+H233))</f>
        <v>17.944500000000001</v>
      </c>
      <c r="J233" s="181" t="s">
        <v>19</v>
      </c>
      <c r="K233" s="197">
        <v>0.23</v>
      </c>
      <c r="L233" s="192">
        <f>K233*I233</f>
        <v>4.1272350000000007</v>
      </c>
      <c r="M233" s="183">
        <f>IF(VLOOKUP(E233,'HOURLY RATES'!C$6:D$105,2,0)=0,$E$3,VLOOKUP(E233,'HOURLY RATES'!C$6:D$105,2,0))</f>
        <v>57.738444654679682</v>
      </c>
      <c r="N233" s="195">
        <f t="shared" ref="N233" si="165">M233*L233</f>
        <v>238.30012962435694</v>
      </c>
      <c r="O233" s="209">
        <v>37.5</v>
      </c>
      <c r="P233" s="186">
        <f t="shared" ref="P233" si="166">O233*I233</f>
        <v>672.91875000000005</v>
      </c>
      <c r="Q233" s="187">
        <f t="shared" ref="Q233" si="167">P233+N233</f>
        <v>911.21887962435699</v>
      </c>
      <c r="R233" s="188"/>
      <c r="X233" s="210"/>
    </row>
    <row r="234" spans="1:24" s="11" customFormat="1" x14ac:dyDescent="0.2">
      <c r="A234" s="285" t="str">
        <f>IF(J234&lt;&gt;"",1+MAX($A$20:A233),"")</f>
        <v/>
      </c>
      <c r="B234" s="297"/>
      <c r="C234" s="297"/>
      <c r="D234" s="206"/>
      <c r="E234" s="190"/>
      <c r="F234" s="306"/>
      <c r="G234" s="247"/>
      <c r="H234" s="194"/>
      <c r="I234" s="249"/>
      <c r="J234" s="181"/>
      <c r="K234" s="197"/>
      <c r="L234" s="208"/>
      <c r="M234" s="183"/>
      <c r="N234" s="195"/>
      <c r="O234" s="209"/>
      <c r="P234" s="186"/>
      <c r="Q234" s="187"/>
      <c r="R234" s="188"/>
      <c r="X234" s="210"/>
    </row>
    <row r="235" spans="1:24" s="11" customFormat="1" ht="47.25" x14ac:dyDescent="0.2">
      <c r="A235" s="285">
        <f>IF(J235&lt;&gt;"",1+MAX($A$20:A234),"")</f>
        <v>128</v>
      </c>
      <c r="B235" s="297" t="s">
        <v>312</v>
      </c>
      <c r="C235" s="297" t="s">
        <v>312</v>
      </c>
      <c r="D235" s="206" t="s">
        <v>34</v>
      </c>
      <c r="E235" s="190" t="s">
        <v>59</v>
      </c>
      <c r="F235" s="306" t="s">
        <v>350</v>
      </c>
      <c r="G235" s="247">
        <v>4.3099999999999996</v>
      </c>
      <c r="H235" s="194">
        <f>IF(VLOOKUP(J235,'HOURLY RATES'!B$116:C$124,2,0)=0,$J$3,VLOOKUP(J235,'HOURLY RATES'!B$116:C$124,2,0))</f>
        <v>0.05</v>
      </c>
      <c r="I235" s="249">
        <f t="shared" ref="I235" si="168">(G235*(1+H235))</f>
        <v>4.5255000000000001</v>
      </c>
      <c r="J235" s="181" t="s">
        <v>17</v>
      </c>
      <c r="K235" s="197">
        <v>0.14699999999999999</v>
      </c>
      <c r="L235" s="192">
        <f>K235*I235</f>
        <v>0.66524850000000002</v>
      </c>
      <c r="M235" s="183">
        <f>IF(VLOOKUP(E235,'HOURLY RATES'!C$6:D$105,2,0)=0,$E$3,VLOOKUP(E235,'HOURLY RATES'!C$6:D$105,2,0))</f>
        <v>52.3397654479</v>
      </c>
      <c r="N235" s="195">
        <f t="shared" ref="N235" si="169">M235*L235</f>
        <v>34.818950454567307</v>
      </c>
      <c r="O235" s="209">
        <v>45.5</v>
      </c>
      <c r="P235" s="186">
        <f t="shared" ref="P235" si="170">O235*I235</f>
        <v>205.91024999999999</v>
      </c>
      <c r="Q235" s="187">
        <f t="shared" ref="Q235" si="171">P235+N235</f>
        <v>240.72920045456729</v>
      </c>
      <c r="R235" s="188"/>
      <c r="X235" s="210"/>
    </row>
    <row r="236" spans="1:24" s="11" customFormat="1" x14ac:dyDescent="0.2">
      <c r="A236" s="285" t="str">
        <f>IF(J236&lt;&gt;"",1+MAX($A$20:A235),"")</f>
        <v/>
      </c>
      <c r="B236" s="297"/>
      <c r="C236" s="297"/>
      <c r="D236" s="206"/>
      <c r="E236" s="190"/>
      <c r="F236" s="306"/>
      <c r="G236" s="247"/>
      <c r="H236" s="194"/>
      <c r="I236" s="249"/>
      <c r="J236" s="181"/>
      <c r="K236" s="197"/>
      <c r="L236" s="192"/>
      <c r="M236" s="183"/>
      <c r="N236" s="195"/>
      <c r="O236" s="209"/>
      <c r="P236" s="186"/>
      <c r="Q236" s="187"/>
      <c r="R236" s="188"/>
      <c r="X236" s="210"/>
    </row>
    <row r="237" spans="1:24" s="11" customFormat="1" x14ac:dyDescent="0.2">
      <c r="A237" s="285" t="str">
        <f>IF(J237&lt;&gt;"",1+MAX($A$20:A236),"")</f>
        <v/>
      </c>
      <c r="B237" s="297"/>
      <c r="C237" s="297"/>
      <c r="D237" s="206"/>
      <c r="E237" s="190"/>
      <c r="F237" s="305" t="s">
        <v>352</v>
      </c>
      <c r="G237" s="247"/>
      <c r="H237" s="194"/>
      <c r="I237" s="249"/>
      <c r="J237" s="181"/>
      <c r="K237" s="197"/>
      <c r="L237" s="208"/>
      <c r="M237" s="183"/>
      <c r="N237" s="195"/>
      <c r="O237" s="209"/>
      <c r="P237" s="186"/>
      <c r="Q237" s="187"/>
      <c r="R237" s="188"/>
      <c r="X237" s="210"/>
    </row>
    <row r="238" spans="1:24" s="11" customFormat="1" x14ac:dyDescent="0.2">
      <c r="A238" s="285">
        <f>IF(J238&lt;&gt;"",1+MAX($A$20:A237),"")</f>
        <v>129</v>
      </c>
      <c r="B238" s="297" t="s">
        <v>312</v>
      </c>
      <c r="C238" s="297" t="s">
        <v>312</v>
      </c>
      <c r="D238" s="206" t="s">
        <v>34</v>
      </c>
      <c r="E238" s="190" t="s">
        <v>59</v>
      </c>
      <c r="F238" s="306" t="s">
        <v>348</v>
      </c>
      <c r="G238" s="247">
        <v>13.91</v>
      </c>
      <c r="H238" s="194">
        <f>IF(VLOOKUP(J238,'HOURLY RATES'!B$116:C$124,2,0)=0,$J$3,VLOOKUP(J238,'HOURLY RATES'!B$116:C$124,2,0))</f>
        <v>0.05</v>
      </c>
      <c r="I238" s="249">
        <f t="shared" ref="I238:I239" si="172">(G238*(1+H238))</f>
        <v>14.605500000000001</v>
      </c>
      <c r="J238" s="181" t="s">
        <v>19</v>
      </c>
      <c r="K238" s="197">
        <v>0.23</v>
      </c>
      <c r="L238" s="192">
        <f>K238*I238</f>
        <v>3.3592650000000002</v>
      </c>
      <c r="M238" s="183">
        <f>IF(VLOOKUP(E238,'HOURLY RATES'!C$6:D$105,2,0)=0,$E$3,VLOOKUP(E238,'HOURLY RATES'!C$6:D$105,2,0))</f>
        <v>52.3397654479</v>
      </c>
      <c r="N238" s="195">
        <f t="shared" ref="N238:N239" si="173">M238*L238</f>
        <v>175.8231421773398</v>
      </c>
      <c r="O238" s="209">
        <v>17.5</v>
      </c>
      <c r="P238" s="186">
        <f t="shared" ref="P238:P239" si="174">O238*I238</f>
        <v>255.59625000000003</v>
      </c>
      <c r="Q238" s="187">
        <f t="shared" ref="Q238:Q239" si="175">P238+N238</f>
        <v>431.41939217733983</v>
      </c>
      <c r="R238" s="188"/>
      <c r="X238" s="210"/>
    </row>
    <row r="239" spans="1:24" s="11" customFormat="1" x14ac:dyDescent="0.2">
      <c r="A239" s="285">
        <f>IF(J239&lt;&gt;"",1+MAX($A$20:A238),"")</f>
        <v>130</v>
      </c>
      <c r="B239" s="297" t="s">
        <v>312</v>
      </c>
      <c r="C239" s="297" t="s">
        <v>312</v>
      </c>
      <c r="D239" s="206" t="s">
        <v>34</v>
      </c>
      <c r="E239" s="190" t="s">
        <v>142</v>
      </c>
      <c r="F239" s="306" t="s">
        <v>430</v>
      </c>
      <c r="G239" s="247">
        <v>18.13</v>
      </c>
      <c r="H239" s="194">
        <f>IF(VLOOKUP(J239,'HOURLY RATES'!B$116:C$124,2,0)=0,$J$3,VLOOKUP(J239,'HOURLY RATES'!B$116:C$124,2,0))</f>
        <v>0.05</v>
      </c>
      <c r="I239" s="249">
        <f t="shared" si="172"/>
        <v>19.0365</v>
      </c>
      <c r="J239" s="181" t="s">
        <v>17</v>
      </c>
      <c r="K239" s="197">
        <v>0.02</v>
      </c>
      <c r="L239" s="192">
        <f>K239*I239</f>
        <v>0.38073000000000001</v>
      </c>
      <c r="M239" s="183">
        <f>IF(VLOOKUP(E239,'HOURLY RATES'!C$6:D$105,2,0)=0,$E$3,VLOOKUP(E239,'HOURLY RATES'!C$6:D$105,2,0))</f>
        <v>57.738444654679682</v>
      </c>
      <c r="N239" s="195">
        <f t="shared" si="173"/>
        <v>21.982758033376196</v>
      </c>
      <c r="O239" s="209">
        <v>1.1200000000000001</v>
      </c>
      <c r="P239" s="186">
        <f t="shared" si="174"/>
        <v>21.320880000000002</v>
      </c>
      <c r="Q239" s="187">
        <f t="shared" si="175"/>
        <v>43.303638033376203</v>
      </c>
      <c r="R239" s="188"/>
      <c r="X239" s="210"/>
    </row>
    <row r="240" spans="1:24" s="11" customFormat="1" ht="16.5" thickBot="1" x14ac:dyDescent="0.25">
      <c r="A240" s="211" t="str">
        <f>IF(J240&lt;&gt;"",1+MAX($A$20:A239),"")</f>
        <v/>
      </c>
      <c r="B240" s="212"/>
      <c r="C240" s="212"/>
      <c r="D240" s="212"/>
      <c r="E240" s="212"/>
      <c r="F240" s="309"/>
      <c r="G240" s="214"/>
      <c r="H240" s="215"/>
      <c r="I240" s="216"/>
      <c r="J240" s="217"/>
      <c r="K240" s="218"/>
      <c r="L240" s="219"/>
      <c r="M240" s="220"/>
      <c r="N240" s="221"/>
      <c r="O240" s="222"/>
      <c r="P240" s="223"/>
      <c r="Q240" s="224"/>
      <c r="R240" s="225"/>
      <c r="X240" s="210"/>
    </row>
    <row r="241" spans="1:24" s="11" customFormat="1" ht="20.100000000000001" customHeight="1" x14ac:dyDescent="0.2">
      <c r="A241" s="433" t="str">
        <f>IF(J241&lt;&gt;"",1+MAX($A$20:A240),"")</f>
        <v/>
      </c>
      <c r="B241" s="434"/>
      <c r="C241" s="434"/>
      <c r="D241" s="435" t="s">
        <v>118</v>
      </c>
      <c r="E241" s="435"/>
      <c r="F241" s="436" t="s">
        <v>119</v>
      </c>
      <c r="G241" s="437"/>
      <c r="H241" s="438"/>
      <c r="I241" s="439"/>
      <c r="J241" s="439"/>
      <c r="K241" s="438"/>
      <c r="L241" s="438"/>
      <c r="M241" s="438"/>
      <c r="N241" s="438"/>
      <c r="O241" s="438"/>
      <c r="P241" s="438"/>
      <c r="Q241" s="438"/>
      <c r="R241" s="440">
        <f>SUM(Q242:Q245)</f>
        <v>5790.3862686935845</v>
      </c>
      <c r="X241" s="210"/>
    </row>
    <row r="242" spans="1:24" s="11" customFormat="1" x14ac:dyDescent="0.2">
      <c r="A242" s="285" t="str">
        <f>IF(J242&lt;&gt;"",1+MAX($A$20:A241),"")</f>
        <v/>
      </c>
      <c r="B242" s="341"/>
      <c r="C242" s="341"/>
      <c r="D242" s="206"/>
      <c r="E242" s="344"/>
      <c r="F242" s="306"/>
      <c r="G242" s="286"/>
      <c r="H242" s="342"/>
      <c r="I242" s="288"/>
      <c r="J242" s="289"/>
      <c r="K242" s="337"/>
      <c r="L242" s="345"/>
      <c r="M242" s="292"/>
      <c r="N242" s="346"/>
      <c r="O242" s="294"/>
      <c r="P242" s="293"/>
      <c r="Q242" s="295"/>
      <c r="R242" s="188"/>
      <c r="X242" s="210"/>
    </row>
    <row r="243" spans="1:24" s="11" customFormat="1" x14ac:dyDescent="0.2">
      <c r="A243" s="285" t="str">
        <f>IF(J243&lt;&gt;"",1+MAX($A$20:A242),"")</f>
        <v/>
      </c>
      <c r="B243" s="341"/>
      <c r="C243" s="341"/>
      <c r="D243" s="206"/>
      <c r="E243" s="344"/>
      <c r="F243" s="305" t="s">
        <v>431</v>
      </c>
      <c r="G243" s="286"/>
      <c r="H243" s="342"/>
      <c r="I243" s="288"/>
      <c r="J243" s="289"/>
      <c r="K243" s="337"/>
      <c r="L243" s="345"/>
      <c r="M243" s="292"/>
      <c r="N243" s="346"/>
      <c r="O243" s="294"/>
      <c r="P243" s="293"/>
      <c r="Q243" s="295"/>
      <c r="R243" s="188"/>
      <c r="X243" s="210"/>
    </row>
    <row r="244" spans="1:24" s="11" customFormat="1" x14ac:dyDescent="0.2">
      <c r="A244" s="285">
        <f>IF(J244&lt;&gt;"",1+MAX($A$20:A243),"")</f>
        <v>131</v>
      </c>
      <c r="B244" s="297" t="s">
        <v>432</v>
      </c>
      <c r="C244" s="297" t="s">
        <v>432</v>
      </c>
      <c r="D244" s="206" t="s">
        <v>118</v>
      </c>
      <c r="E244" s="190" t="s">
        <v>119</v>
      </c>
      <c r="F244" s="306" t="s">
        <v>433</v>
      </c>
      <c r="G244" s="329">
        <v>1</v>
      </c>
      <c r="H244" s="194">
        <f>IF(VLOOKUP(J244,'HOURLY RATES'!B$116:C$124,2,0)=0,$J$3,VLOOKUP(J244,'HOURLY RATES'!B$116:C$124,2,0))</f>
        <v>0</v>
      </c>
      <c r="I244" s="249">
        <f t="shared" ref="I244" si="176">(G244*(1+H244))</f>
        <v>1</v>
      </c>
      <c r="J244" s="181" t="s">
        <v>18</v>
      </c>
      <c r="K244" s="197">
        <f>0.099*650</f>
        <v>64.350000000000009</v>
      </c>
      <c r="L244" s="192">
        <f>K244*I244</f>
        <v>64.350000000000009</v>
      </c>
      <c r="M244" s="183">
        <f>IF(VLOOKUP(E244,'HOURLY RATES'!C$6:D$105,2,0)=0,$E$3,VLOOKUP(E244,'HOURLY RATES'!C$6:D$105,2,0))</f>
        <v>51.901884517382811</v>
      </c>
      <c r="N244" s="195">
        <f t="shared" ref="N244" si="177">M244*L244</f>
        <v>3339.8862686935845</v>
      </c>
      <c r="O244" s="209">
        <f>3.77*650</f>
        <v>2450.5</v>
      </c>
      <c r="P244" s="186">
        <f t="shared" ref="P244" si="178">O244*I244</f>
        <v>2450.5</v>
      </c>
      <c r="Q244" s="295">
        <f t="shared" ref="Q244" si="179">P244+N244</f>
        <v>5790.3862686935845</v>
      </c>
      <c r="R244" s="188"/>
      <c r="X244" s="210"/>
    </row>
    <row r="245" spans="1:24" s="11" customFormat="1" ht="16.5" thickBot="1" x14ac:dyDescent="0.25">
      <c r="A245" s="350" t="str">
        <f>IF(J245&lt;&gt;"",1+MAX($A$20:A244),"")</f>
        <v/>
      </c>
      <c r="B245" s="351"/>
      <c r="C245" s="351"/>
      <c r="D245" s="351"/>
      <c r="E245" s="351"/>
      <c r="F245" s="352"/>
      <c r="G245" s="353"/>
      <c r="H245" s="354"/>
      <c r="I245" s="355"/>
      <c r="J245" s="356"/>
      <c r="K245" s="338"/>
      <c r="L245" s="357"/>
      <c r="M245" s="358"/>
      <c r="N245" s="359"/>
      <c r="O245" s="339"/>
      <c r="P245" s="360"/>
      <c r="Q245" s="361"/>
      <c r="R245" s="225"/>
      <c r="X245" s="210"/>
    </row>
    <row r="246" spans="1:24" s="11" customFormat="1" ht="20.100000000000001" customHeight="1" x14ac:dyDescent="0.2">
      <c r="A246" s="433" t="str">
        <f>IF(J246&lt;&gt;"",1+MAX($A$20:A245),"")</f>
        <v/>
      </c>
      <c r="B246" s="434"/>
      <c r="C246" s="434"/>
      <c r="D246" s="435" t="s">
        <v>36</v>
      </c>
      <c r="E246" s="435"/>
      <c r="F246" s="436" t="s">
        <v>160</v>
      </c>
      <c r="G246" s="437"/>
      <c r="H246" s="438"/>
      <c r="I246" s="439"/>
      <c r="J246" s="439"/>
      <c r="K246" s="438"/>
      <c r="L246" s="438"/>
      <c r="M246" s="438"/>
      <c r="N246" s="438"/>
      <c r="O246" s="438"/>
      <c r="P246" s="438"/>
      <c r="Q246" s="438"/>
      <c r="R246" s="440">
        <f>SUM(Q247:Q268)</f>
        <v>10063.491366288088</v>
      </c>
      <c r="X246" s="210"/>
    </row>
    <row r="247" spans="1:24" s="11" customFormat="1" x14ac:dyDescent="0.2">
      <c r="A247" s="285" t="str">
        <f>IF(J247&lt;&gt;"",1+MAX($A$20:A246),"")</f>
        <v/>
      </c>
      <c r="B247" s="297"/>
      <c r="C247" s="297"/>
      <c r="D247" s="206"/>
      <c r="E247" s="190"/>
      <c r="F247" s="306"/>
      <c r="G247" s="247"/>
      <c r="H247" s="194"/>
      <c r="I247" s="249"/>
      <c r="J247" s="181"/>
      <c r="K247" s="197"/>
      <c r="L247" s="208"/>
      <c r="M247" s="183"/>
      <c r="N247" s="195"/>
      <c r="O247" s="209"/>
      <c r="P247" s="186"/>
      <c r="Q247" s="187"/>
      <c r="R247" s="188"/>
      <c r="X247" s="210"/>
    </row>
    <row r="248" spans="1:24" s="11" customFormat="1" x14ac:dyDescent="0.2">
      <c r="A248" s="285" t="str">
        <f>IF(J248&lt;&gt;"",1+MAX($A$20:A247),"")</f>
        <v/>
      </c>
      <c r="B248" s="297"/>
      <c r="C248" s="297"/>
      <c r="D248" s="206"/>
      <c r="E248" s="190"/>
      <c r="F248" s="308" t="s">
        <v>353</v>
      </c>
      <c r="G248" s="247"/>
      <c r="H248" s="194"/>
      <c r="I248" s="249"/>
      <c r="J248" s="181"/>
      <c r="K248" s="197"/>
      <c r="L248" s="208"/>
      <c r="M248" s="183"/>
      <c r="N248" s="195"/>
      <c r="O248" s="209"/>
      <c r="P248" s="186"/>
      <c r="Q248" s="187"/>
      <c r="R248" s="188"/>
      <c r="X248" s="210"/>
    </row>
    <row r="249" spans="1:24" s="11" customFormat="1" x14ac:dyDescent="0.2">
      <c r="A249" s="285" t="str">
        <f>IF(J249&lt;&gt;"",1+MAX($A$20:A248),"")</f>
        <v/>
      </c>
      <c r="B249" s="297"/>
      <c r="C249" s="297"/>
      <c r="D249" s="206"/>
      <c r="E249" s="190"/>
      <c r="F249" s="316" t="s">
        <v>354</v>
      </c>
      <c r="G249" s="247"/>
      <c r="H249" s="194"/>
      <c r="I249" s="249"/>
      <c r="J249" s="181"/>
      <c r="K249" s="197"/>
      <c r="L249" s="208"/>
      <c r="M249" s="183"/>
      <c r="N249" s="195"/>
      <c r="O249" s="209"/>
      <c r="P249" s="186"/>
      <c r="Q249" s="187"/>
      <c r="R249" s="188"/>
      <c r="X249" s="210"/>
    </row>
    <row r="250" spans="1:24" s="11" customFormat="1" x14ac:dyDescent="0.2">
      <c r="A250" s="285">
        <f>IF(J250&lt;&gt;"",1+MAX($A$20:A249),"")</f>
        <v>132</v>
      </c>
      <c r="B250" s="297" t="s">
        <v>357</v>
      </c>
      <c r="C250" s="297" t="s">
        <v>357</v>
      </c>
      <c r="D250" s="206" t="s">
        <v>36</v>
      </c>
      <c r="E250" s="190" t="s">
        <v>122</v>
      </c>
      <c r="F250" s="306" t="s">
        <v>355</v>
      </c>
      <c r="G250" s="247">
        <v>7.84</v>
      </c>
      <c r="H250" s="194">
        <f>IF(VLOOKUP(J250,'HOURLY RATES'!B$116:C$124,2,0)=0,$J$3,VLOOKUP(J250,'HOURLY RATES'!B$116:C$124,2,0))</f>
        <v>0.05</v>
      </c>
      <c r="I250" s="249">
        <f t="shared" ref="I250:I253" si="180">(G250*(1+H250))</f>
        <v>8.2319999999999993</v>
      </c>
      <c r="J250" s="181" t="s">
        <v>19</v>
      </c>
      <c r="K250" s="197">
        <v>0.14699999999999999</v>
      </c>
      <c r="L250" s="192">
        <f t="shared" ref="L250:L251" si="181">K250*I250</f>
        <v>1.2101039999999998</v>
      </c>
      <c r="M250" s="183">
        <f>IF(VLOOKUP(E250,'HOURLY RATES'!C$6:D$105,2,0)=0,$E$3,VLOOKUP(E250,'HOURLY RATES'!C$6:D$105,2,0))</f>
        <v>65.804944878750007</v>
      </c>
      <c r="N250" s="195">
        <f t="shared" ref="N250:N253" si="182">M250*L250</f>
        <v>79.630827017554893</v>
      </c>
      <c r="O250" s="209">
        <v>7.3</v>
      </c>
      <c r="P250" s="186">
        <f t="shared" ref="P250:P253" si="183">O250*I250</f>
        <v>60.093599999999995</v>
      </c>
      <c r="Q250" s="187">
        <f t="shared" ref="Q250:Q253" si="184">P250+N250</f>
        <v>139.72442701755489</v>
      </c>
      <c r="R250" s="188"/>
      <c r="X250" s="210"/>
    </row>
    <row r="251" spans="1:24" s="11" customFormat="1" x14ac:dyDescent="0.2">
      <c r="A251" s="285">
        <f>IF(J251&lt;&gt;"",1+MAX($A$20:A250),"")</f>
        <v>133</v>
      </c>
      <c r="B251" s="297" t="s">
        <v>357</v>
      </c>
      <c r="C251" s="297" t="s">
        <v>357</v>
      </c>
      <c r="D251" s="206" t="s">
        <v>36</v>
      </c>
      <c r="E251" s="190" t="s">
        <v>122</v>
      </c>
      <c r="F251" s="306" t="s">
        <v>356</v>
      </c>
      <c r="G251" s="247">
        <v>14.34</v>
      </c>
      <c r="H251" s="194">
        <f>IF(VLOOKUP(J251,'HOURLY RATES'!B$116:C$124,2,0)=0,$J$3,VLOOKUP(J251,'HOURLY RATES'!B$116:C$124,2,0))</f>
        <v>0.05</v>
      </c>
      <c r="I251" s="249">
        <f t="shared" ref="I251" si="185">(G251*(1+H251))</f>
        <v>15.057</v>
      </c>
      <c r="J251" s="181" t="s">
        <v>19</v>
      </c>
      <c r="K251" s="197">
        <v>0.14699999999999999</v>
      </c>
      <c r="L251" s="192">
        <f t="shared" si="181"/>
        <v>2.2133789999999998</v>
      </c>
      <c r="M251" s="183">
        <f>IF(VLOOKUP(E251,'HOURLY RATES'!C$6:D$105,2,0)=0,$E$3,VLOOKUP(E251,'HOURLY RATES'!C$6:D$105,2,0))</f>
        <v>65.804944878750007</v>
      </c>
      <c r="N251" s="195">
        <f t="shared" ref="N251" si="186">M251*L251</f>
        <v>145.65128309078278</v>
      </c>
      <c r="O251" s="209">
        <v>7.3</v>
      </c>
      <c r="P251" s="186">
        <f t="shared" ref="P251" si="187">O251*I251</f>
        <v>109.9161</v>
      </c>
      <c r="Q251" s="187">
        <f t="shared" ref="Q251" si="188">P251+N251</f>
        <v>255.56738309078278</v>
      </c>
      <c r="R251" s="188"/>
      <c r="X251" s="210"/>
    </row>
    <row r="252" spans="1:24" s="11" customFormat="1" x14ac:dyDescent="0.2">
      <c r="A252" s="285" t="str">
        <f>IF(J252&lt;&gt;"",1+MAX($A$20:A251),"")</f>
        <v/>
      </c>
      <c r="B252" s="297"/>
      <c r="C252" s="297"/>
      <c r="D252" s="206"/>
      <c r="E252" s="190"/>
      <c r="F252" s="306"/>
      <c r="G252" s="247"/>
      <c r="H252" s="194"/>
      <c r="I252" s="249"/>
      <c r="J252" s="181"/>
      <c r="K252" s="197"/>
      <c r="L252" s="208"/>
      <c r="M252" s="183"/>
      <c r="N252" s="195"/>
      <c r="O252" s="209"/>
      <c r="P252" s="186"/>
      <c r="Q252" s="187"/>
      <c r="R252" s="188"/>
      <c r="X252" s="210"/>
    </row>
    <row r="253" spans="1:24" s="11" customFormat="1" x14ac:dyDescent="0.2">
      <c r="A253" s="285">
        <f>IF(J253&lt;&gt;"",1+MAX($A$20:A252),"")</f>
        <v>134</v>
      </c>
      <c r="B253" s="297" t="s">
        <v>357</v>
      </c>
      <c r="C253" s="297" t="s">
        <v>357</v>
      </c>
      <c r="D253" s="206" t="s">
        <v>36</v>
      </c>
      <c r="E253" s="190" t="s">
        <v>122</v>
      </c>
      <c r="F253" s="306" t="s">
        <v>434</v>
      </c>
      <c r="G253" s="329">
        <f>SUM(G250:G251)</f>
        <v>22.18</v>
      </c>
      <c r="H253" s="194">
        <f>IF(VLOOKUP(J253,'HOURLY RATES'!B$116:C$124,2,0)=0,$J$3,VLOOKUP(J253,'HOURLY RATES'!B$116:C$124,2,0))</f>
        <v>0.05</v>
      </c>
      <c r="I253" s="249">
        <f t="shared" si="180"/>
        <v>23.289000000000001</v>
      </c>
      <c r="J253" s="181" t="s">
        <v>19</v>
      </c>
      <c r="K253" s="197">
        <v>0.125</v>
      </c>
      <c r="L253" s="192">
        <f>K253*I253</f>
        <v>2.9111250000000002</v>
      </c>
      <c r="M253" s="183">
        <f>IF(VLOOKUP(E253,'HOURLY RATES'!C$6:D$105,2,0)=0,$E$3,VLOOKUP(E253,'HOURLY RATES'!C$6:D$105,2,0))</f>
        <v>65.804944878750007</v>
      </c>
      <c r="N253" s="195">
        <f t="shared" si="182"/>
        <v>191.56642016015113</v>
      </c>
      <c r="O253" s="209">
        <f>6.75/3</f>
        <v>2.25</v>
      </c>
      <c r="P253" s="186">
        <f t="shared" si="183"/>
        <v>52.40025</v>
      </c>
      <c r="Q253" s="187">
        <f t="shared" si="184"/>
        <v>243.96667016015112</v>
      </c>
      <c r="R253" s="188"/>
      <c r="X253" s="210"/>
    </row>
    <row r="254" spans="1:24" s="11" customFormat="1" x14ac:dyDescent="0.2">
      <c r="A254" s="285" t="str">
        <f>IF(J254&lt;&gt;"",1+MAX($A$20:A253),"")</f>
        <v/>
      </c>
      <c r="B254" s="299"/>
      <c r="C254" s="299"/>
      <c r="D254" s="199"/>
      <c r="E254" s="190"/>
      <c r="F254" s="205" t="s">
        <v>27</v>
      </c>
      <c r="G254" s="286"/>
      <c r="H254" s="287"/>
      <c r="I254" s="288"/>
      <c r="J254" s="289"/>
      <c r="K254" s="290"/>
      <c r="L254" s="291"/>
      <c r="M254" s="292"/>
      <c r="N254" s="293"/>
      <c r="O254" s="294"/>
      <c r="P254" s="293"/>
      <c r="Q254" s="295"/>
      <c r="R254" s="302"/>
      <c r="X254" s="210"/>
    </row>
    <row r="255" spans="1:24" s="11" customFormat="1" x14ac:dyDescent="0.2">
      <c r="A255" s="285" t="str">
        <f>IF(J255&lt;&gt;"",1+MAX($A$20:A254),"")</f>
        <v/>
      </c>
      <c r="B255" s="297"/>
      <c r="C255" s="297"/>
      <c r="D255" s="206"/>
      <c r="E255" s="190"/>
      <c r="F255" s="308" t="s">
        <v>358</v>
      </c>
      <c r="G255" s="247"/>
      <c r="H255" s="194"/>
      <c r="I255" s="249"/>
      <c r="J255" s="181"/>
      <c r="K255" s="197"/>
      <c r="L255" s="208"/>
      <c r="M255" s="183"/>
      <c r="N255" s="195"/>
      <c r="O255" s="209"/>
      <c r="P255" s="186"/>
      <c r="Q255" s="187"/>
      <c r="R255" s="188"/>
      <c r="X255" s="210"/>
    </row>
    <row r="256" spans="1:24" s="11" customFormat="1" x14ac:dyDescent="0.2">
      <c r="A256" s="285" t="str">
        <f>IF(J256&lt;&gt;"",1+MAX($A$20:A255),"")</f>
        <v/>
      </c>
      <c r="B256" s="297"/>
      <c r="C256" s="297"/>
      <c r="D256" s="206"/>
      <c r="E256" s="190"/>
      <c r="F256" s="316" t="s">
        <v>359</v>
      </c>
      <c r="G256" s="247"/>
      <c r="H256" s="194"/>
      <c r="I256" s="249"/>
      <c r="J256" s="181"/>
      <c r="K256" s="197"/>
      <c r="L256" s="208"/>
      <c r="M256" s="183"/>
      <c r="N256" s="195"/>
      <c r="O256" s="209"/>
      <c r="P256" s="186"/>
      <c r="Q256" s="187"/>
      <c r="R256" s="188"/>
      <c r="X256" s="210"/>
    </row>
    <row r="257" spans="1:24" s="11" customFormat="1" x14ac:dyDescent="0.2">
      <c r="A257" s="285">
        <f>IF(J257&lt;&gt;"",1+MAX($A$20:A256),"")</f>
        <v>135</v>
      </c>
      <c r="B257" s="297" t="s">
        <v>357</v>
      </c>
      <c r="C257" s="297" t="s">
        <v>357</v>
      </c>
      <c r="D257" s="206" t="s">
        <v>36</v>
      </c>
      <c r="E257" s="190" t="s">
        <v>122</v>
      </c>
      <c r="F257" s="306" t="s">
        <v>440</v>
      </c>
      <c r="G257" s="247">
        <v>8.52</v>
      </c>
      <c r="H257" s="194">
        <f>IF(VLOOKUP(J257,'HOURLY RATES'!B$116:C$124,2,0)=0,$J$3,VLOOKUP(J257,'HOURLY RATES'!B$116:C$124,2,0))</f>
        <v>0.05</v>
      </c>
      <c r="I257" s="249">
        <f t="shared" ref="I257" si="189">(G257*(1+H257))</f>
        <v>8.9459999999999997</v>
      </c>
      <c r="J257" s="181" t="s">
        <v>19</v>
      </c>
      <c r="K257" s="197">
        <v>0.23300000000000001</v>
      </c>
      <c r="L257" s="192">
        <f>K257*I257</f>
        <v>2.0844179999999999</v>
      </c>
      <c r="M257" s="183">
        <f>IF(VLOOKUP(E257,'HOURLY RATES'!C$6:D$105,2,0)=0,$E$3,VLOOKUP(E257,'HOURLY RATES'!C$6:D$105,2,0))</f>
        <v>65.804944878750007</v>
      </c>
      <c r="N257" s="195">
        <f t="shared" ref="N257" si="190">M257*L257</f>
        <v>137.16501159427432</v>
      </c>
      <c r="O257" s="209">
        <v>1.7</v>
      </c>
      <c r="P257" s="186">
        <f t="shared" ref="P257" si="191">O257*I257</f>
        <v>15.2082</v>
      </c>
      <c r="Q257" s="187">
        <f t="shared" ref="Q257" si="192">P257+N257</f>
        <v>152.37321159427432</v>
      </c>
      <c r="R257" s="188"/>
      <c r="X257" s="210"/>
    </row>
    <row r="258" spans="1:24" s="11" customFormat="1" x14ac:dyDescent="0.2">
      <c r="A258" s="285" t="str">
        <f>IF(J258&lt;&gt;"",1+MAX($A$20:A257),"")</f>
        <v/>
      </c>
      <c r="B258" s="299"/>
      <c r="C258" s="299"/>
      <c r="D258" s="199"/>
      <c r="E258" s="190"/>
      <c r="F258" s="205" t="s">
        <v>27</v>
      </c>
      <c r="G258" s="286"/>
      <c r="H258" s="287"/>
      <c r="I258" s="288"/>
      <c r="J258" s="289"/>
      <c r="K258" s="290"/>
      <c r="L258" s="291"/>
      <c r="M258" s="292"/>
      <c r="N258" s="293"/>
      <c r="O258" s="294"/>
      <c r="P258" s="293"/>
      <c r="Q258" s="295"/>
      <c r="R258" s="302"/>
      <c r="X258" s="210"/>
    </row>
    <row r="259" spans="1:24" s="11" customFormat="1" x14ac:dyDescent="0.2">
      <c r="A259" s="285" t="str">
        <f>IF(J259&lt;&gt;"",1+MAX($A$20:A258),"")</f>
        <v/>
      </c>
      <c r="B259" s="297"/>
      <c r="C259" s="297"/>
      <c r="D259" s="206"/>
      <c r="E259" s="190"/>
      <c r="F259" s="308" t="s">
        <v>360</v>
      </c>
      <c r="G259" s="247"/>
      <c r="H259" s="194"/>
      <c r="I259" s="249"/>
      <c r="J259" s="181"/>
      <c r="K259" s="197"/>
      <c r="L259" s="208"/>
      <c r="M259" s="183"/>
      <c r="N259" s="195"/>
      <c r="O259" s="209"/>
      <c r="P259" s="186"/>
      <c r="Q259" s="187"/>
      <c r="R259" s="188"/>
      <c r="X259" s="210"/>
    </row>
    <row r="260" spans="1:24" s="11" customFormat="1" ht="31.5" x14ac:dyDescent="0.2">
      <c r="A260" s="285">
        <f>IF(J260&lt;&gt;"",1+MAX($A$20:A259),"")</f>
        <v>136</v>
      </c>
      <c r="B260" s="297" t="s">
        <v>357</v>
      </c>
      <c r="C260" s="297" t="s">
        <v>357</v>
      </c>
      <c r="D260" s="206" t="s">
        <v>36</v>
      </c>
      <c r="E260" s="190" t="s">
        <v>122</v>
      </c>
      <c r="F260" s="306" t="s">
        <v>363</v>
      </c>
      <c r="G260" s="247">
        <v>2</v>
      </c>
      <c r="H260" s="194">
        <f>IF(VLOOKUP(J260,'HOURLY RATES'!B$116:C$124,2,0)=0,$J$3,VLOOKUP(J260,'HOURLY RATES'!B$116:C$124,2,0))</f>
        <v>0</v>
      </c>
      <c r="I260" s="249">
        <f t="shared" ref="I260" si="193">(G260*(1+H260))</f>
        <v>2</v>
      </c>
      <c r="J260" s="181" t="s">
        <v>16</v>
      </c>
      <c r="K260" s="197">
        <f>(1.748)*3</f>
        <v>5.2439999999999998</v>
      </c>
      <c r="L260" s="192">
        <f t="shared" ref="L260:L265" si="194">K260*I260</f>
        <v>10.488</v>
      </c>
      <c r="M260" s="183">
        <f>IF(VLOOKUP(E260,'HOURLY RATES'!C$6:D$105,2,0)=0,$E$3,VLOOKUP(E260,'HOURLY RATES'!C$6:D$105,2,0))</f>
        <v>65.804944878750007</v>
      </c>
      <c r="N260" s="195">
        <f t="shared" ref="N260" si="195">M260*L260</f>
        <v>690.16226188833002</v>
      </c>
      <c r="O260" s="209">
        <v>216</v>
      </c>
      <c r="P260" s="186">
        <f t="shared" ref="P260" si="196">O260*I260</f>
        <v>432</v>
      </c>
      <c r="Q260" s="187">
        <f t="shared" ref="Q260" si="197">P260+N260</f>
        <v>1122.16226188833</v>
      </c>
      <c r="R260" s="188"/>
      <c r="X260" s="210"/>
    </row>
    <row r="261" spans="1:24" s="11" customFormat="1" ht="31.5" x14ac:dyDescent="0.2">
      <c r="A261" s="285">
        <f>IF(J261&lt;&gt;"",1+MAX($A$20:A260),"")</f>
        <v>137</v>
      </c>
      <c r="B261" s="297" t="s">
        <v>357</v>
      </c>
      <c r="C261" s="297" t="s">
        <v>357</v>
      </c>
      <c r="D261" s="206" t="s">
        <v>36</v>
      </c>
      <c r="E261" s="190" t="s">
        <v>122</v>
      </c>
      <c r="F261" s="306" t="s">
        <v>364</v>
      </c>
      <c r="G261" s="247">
        <v>2</v>
      </c>
      <c r="H261" s="194">
        <f>IF(VLOOKUP(J261,'HOURLY RATES'!B$116:C$124,2,0)=0,$J$3,VLOOKUP(J261,'HOURLY RATES'!B$116:C$124,2,0))</f>
        <v>0</v>
      </c>
      <c r="I261" s="249">
        <f t="shared" ref="I261:I262" si="198">(G261*(1+H261))</f>
        <v>2</v>
      </c>
      <c r="J261" s="181" t="s">
        <v>16</v>
      </c>
      <c r="K261" s="197">
        <f>(1.748)*3</f>
        <v>5.2439999999999998</v>
      </c>
      <c r="L261" s="192">
        <f t="shared" si="194"/>
        <v>10.488</v>
      </c>
      <c r="M261" s="183">
        <f>IF(VLOOKUP(E261,'HOURLY RATES'!C$6:D$105,2,0)=0,$E$3,VLOOKUP(E261,'HOURLY RATES'!C$6:D$105,2,0))</f>
        <v>65.804944878750007</v>
      </c>
      <c r="N261" s="195">
        <f t="shared" ref="N261:N262" si="199">M261*L261</f>
        <v>690.16226188833002</v>
      </c>
      <c r="O261" s="209">
        <v>216</v>
      </c>
      <c r="P261" s="186">
        <f t="shared" ref="P261:P262" si="200">O261*I261</f>
        <v>432</v>
      </c>
      <c r="Q261" s="187">
        <f t="shared" ref="Q261:Q262" si="201">P261+N261</f>
        <v>1122.16226188833</v>
      </c>
      <c r="R261" s="188"/>
      <c r="X261" s="210"/>
    </row>
    <row r="262" spans="1:24" s="11" customFormat="1" ht="31.5" x14ac:dyDescent="0.2">
      <c r="A262" s="285">
        <f>IF(J262&lt;&gt;"",1+MAX($A$20:A261),"")</f>
        <v>138</v>
      </c>
      <c r="B262" s="297" t="s">
        <v>357</v>
      </c>
      <c r="C262" s="297" t="s">
        <v>357</v>
      </c>
      <c r="D262" s="206" t="s">
        <v>36</v>
      </c>
      <c r="E262" s="190" t="s">
        <v>122</v>
      </c>
      <c r="F262" s="306" t="s">
        <v>361</v>
      </c>
      <c r="G262" s="247">
        <v>2</v>
      </c>
      <c r="H262" s="194">
        <f>IF(VLOOKUP(J262,'HOURLY RATES'!B$116:C$124,2,0)=0,$J$3,VLOOKUP(J262,'HOURLY RATES'!B$116:C$124,2,0))</f>
        <v>0</v>
      </c>
      <c r="I262" s="249">
        <f t="shared" si="198"/>
        <v>2</v>
      </c>
      <c r="J262" s="181" t="s">
        <v>16</v>
      </c>
      <c r="K262" s="197">
        <f>(1.855)*3</f>
        <v>5.5649999999999995</v>
      </c>
      <c r="L262" s="192">
        <f t="shared" si="194"/>
        <v>11.129999999999999</v>
      </c>
      <c r="M262" s="183">
        <f>IF(VLOOKUP(E262,'HOURLY RATES'!C$6:D$105,2,0)=0,$E$3,VLOOKUP(E262,'HOURLY RATES'!C$6:D$105,2,0))</f>
        <v>65.804944878750007</v>
      </c>
      <c r="N262" s="195">
        <f t="shared" si="199"/>
        <v>732.40903650048756</v>
      </c>
      <c r="O262" s="209">
        <v>309</v>
      </c>
      <c r="P262" s="186">
        <f t="shared" si="200"/>
        <v>618</v>
      </c>
      <c r="Q262" s="187">
        <f t="shared" si="201"/>
        <v>1350.4090365004877</v>
      </c>
      <c r="R262" s="188"/>
      <c r="X262" s="210"/>
    </row>
    <row r="263" spans="1:24" s="11" customFormat="1" ht="31.5" x14ac:dyDescent="0.2">
      <c r="A263" s="285">
        <f>IF(J263&lt;&gt;"",1+MAX($A$20:A262),"")</f>
        <v>139</v>
      </c>
      <c r="B263" s="297" t="s">
        <v>357</v>
      </c>
      <c r="C263" s="297" t="s">
        <v>357</v>
      </c>
      <c r="D263" s="206" t="s">
        <v>36</v>
      </c>
      <c r="E263" s="190" t="s">
        <v>122</v>
      </c>
      <c r="F263" s="306" t="s">
        <v>362</v>
      </c>
      <c r="G263" s="247">
        <v>8</v>
      </c>
      <c r="H263" s="194">
        <f>IF(VLOOKUP(J263,'HOURLY RATES'!B$116:C$124,2,0)=0,$J$3,VLOOKUP(J263,'HOURLY RATES'!B$116:C$124,2,0))</f>
        <v>0</v>
      </c>
      <c r="I263" s="249">
        <f t="shared" ref="I263" si="202">(G263*(1+H263))</f>
        <v>8</v>
      </c>
      <c r="J263" s="181" t="s">
        <v>16</v>
      </c>
      <c r="K263" s="197">
        <f>(1.326)*3</f>
        <v>3.9780000000000002</v>
      </c>
      <c r="L263" s="192">
        <f t="shared" si="194"/>
        <v>31.824000000000002</v>
      </c>
      <c r="M263" s="183">
        <f>IF(VLOOKUP(E263,'HOURLY RATES'!C$6:D$105,2,0)=0,$E$3,VLOOKUP(E263,'HOURLY RATES'!C$6:D$105,2,0))</f>
        <v>65.804944878750007</v>
      </c>
      <c r="N263" s="195">
        <f t="shared" ref="N263" si="203">M263*L263</f>
        <v>2094.1765658213403</v>
      </c>
      <c r="O263" s="209">
        <v>90</v>
      </c>
      <c r="P263" s="186">
        <f t="shared" ref="P263" si="204">O263*I263</f>
        <v>720</v>
      </c>
      <c r="Q263" s="187">
        <f t="shared" ref="Q263" si="205">P263+N263</f>
        <v>2814.1765658213403</v>
      </c>
      <c r="R263" s="188"/>
      <c r="X263" s="210"/>
    </row>
    <row r="264" spans="1:24" s="11" customFormat="1" x14ac:dyDescent="0.2">
      <c r="A264" s="285">
        <f>IF(J264&lt;&gt;"",1+MAX($A$20:A263),"")</f>
        <v>140</v>
      </c>
      <c r="B264" s="297" t="s">
        <v>357</v>
      </c>
      <c r="C264" s="297" t="s">
        <v>357</v>
      </c>
      <c r="D264" s="206" t="s">
        <v>36</v>
      </c>
      <c r="E264" s="190" t="s">
        <v>122</v>
      </c>
      <c r="F264" s="306" t="s">
        <v>366</v>
      </c>
      <c r="G264" s="247">
        <v>1</v>
      </c>
      <c r="H264" s="194">
        <f>IF(VLOOKUP(J264,'HOURLY RATES'!B$116:C$124,2,0)=0,$J$3,VLOOKUP(J264,'HOURLY RATES'!B$116:C$124,2,0))</f>
        <v>0</v>
      </c>
      <c r="I264" s="249">
        <f t="shared" ref="I264:I265" si="206">(G264*(1+H264))</f>
        <v>1</v>
      </c>
      <c r="J264" s="181" t="s">
        <v>16</v>
      </c>
      <c r="K264" s="197">
        <f>(2.815)*3</f>
        <v>8.4450000000000003</v>
      </c>
      <c r="L264" s="192">
        <f t="shared" si="194"/>
        <v>8.4450000000000003</v>
      </c>
      <c r="M264" s="183">
        <f>IF(VLOOKUP(E264,'HOURLY RATES'!C$6:D$105,2,0)=0,$E$3,VLOOKUP(E264,'HOURLY RATES'!C$6:D$105,2,0))</f>
        <v>65.804944878750007</v>
      </c>
      <c r="N264" s="195">
        <f t="shared" ref="N264:N265" si="207">M264*L264</f>
        <v>555.72275950104381</v>
      </c>
      <c r="O264" s="209"/>
      <c r="P264" s="186">
        <f t="shared" ref="P264:P265" si="208">O264*I264</f>
        <v>0</v>
      </c>
      <c r="Q264" s="187">
        <f t="shared" ref="Q264:Q265" si="209">P264+N264</f>
        <v>555.72275950104381</v>
      </c>
      <c r="R264" s="188"/>
      <c r="X264" s="210"/>
    </row>
    <row r="265" spans="1:24" s="11" customFormat="1" ht="31.5" x14ac:dyDescent="0.2">
      <c r="A265" s="285">
        <f>IF(J265&lt;&gt;"",1+MAX($A$20:A264),"")</f>
        <v>141</v>
      </c>
      <c r="B265" s="297" t="s">
        <v>357</v>
      </c>
      <c r="C265" s="297" t="s">
        <v>357</v>
      </c>
      <c r="D265" s="206" t="s">
        <v>36</v>
      </c>
      <c r="E265" s="190" t="s">
        <v>122</v>
      </c>
      <c r="F265" s="306" t="s">
        <v>365</v>
      </c>
      <c r="G265" s="247">
        <v>1</v>
      </c>
      <c r="H265" s="194">
        <f>IF(VLOOKUP(J265,'HOURLY RATES'!B$116:C$124,2,0)=0,$J$3,VLOOKUP(J265,'HOURLY RATES'!B$116:C$124,2,0))</f>
        <v>0</v>
      </c>
      <c r="I265" s="249">
        <f t="shared" si="206"/>
        <v>1</v>
      </c>
      <c r="J265" s="181" t="s">
        <v>16</v>
      </c>
      <c r="K265" s="197">
        <f>(2.214)*3</f>
        <v>6.6419999999999995</v>
      </c>
      <c r="L265" s="192">
        <f t="shared" si="194"/>
        <v>6.6419999999999995</v>
      </c>
      <c r="M265" s="183">
        <f>IF(VLOOKUP(E265,'HOURLY RATES'!C$6:D$105,2,0)=0,$E$3,VLOOKUP(E265,'HOURLY RATES'!C$6:D$105,2,0))</f>
        <v>65.804944878750007</v>
      </c>
      <c r="N265" s="195">
        <f t="shared" si="207"/>
        <v>437.07644388465752</v>
      </c>
      <c r="O265" s="209"/>
      <c r="P265" s="186">
        <f t="shared" si="208"/>
        <v>0</v>
      </c>
      <c r="Q265" s="187">
        <f t="shared" si="209"/>
        <v>437.07644388465752</v>
      </c>
      <c r="R265" s="188"/>
      <c r="X265" s="210"/>
    </row>
    <row r="266" spans="1:24" s="11" customFormat="1" x14ac:dyDescent="0.2">
      <c r="A266" s="285" t="str">
        <f>IF(J266&lt;&gt;"",1+MAX($A$20:A265),"")</f>
        <v/>
      </c>
      <c r="B266" s="297"/>
      <c r="C266" s="297"/>
      <c r="D266" s="206"/>
      <c r="E266" s="190"/>
      <c r="F266" s="306"/>
      <c r="G266" s="247"/>
      <c r="H266" s="194"/>
      <c r="I266" s="249"/>
      <c r="J266" s="181"/>
      <c r="K266" s="197"/>
      <c r="L266" s="208"/>
      <c r="M266" s="183"/>
      <c r="N266" s="195"/>
      <c r="O266" s="209"/>
      <c r="P266" s="186"/>
      <c r="Q266" s="187"/>
      <c r="R266" s="188"/>
      <c r="X266" s="210"/>
    </row>
    <row r="267" spans="1:24" s="11" customFormat="1" x14ac:dyDescent="0.2">
      <c r="A267" s="285">
        <f>IF(J267&lt;&gt;"",1+MAX($A$20:A266),"")</f>
        <v>142</v>
      </c>
      <c r="B267" s="297"/>
      <c r="C267" s="297"/>
      <c r="D267" s="206" t="s">
        <v>36</v>
      </c>
      <c r="E267" s="190" t="s">
        <v>122</v>
      </c>
      <c r="F267" s="331" t="s">
        <v>383</v>
      </c>
      <c r="G267" s="247">
        <v>350</v>
      </c>
      <c r="H267" s="194">
        <f>IF(VLOOKUP(J267,'HOURLY RATES'!B$116:C$124,2,0)=0,$J$3,VLOOKUP(J267,'HOURLY RATES'!B$116:C$124,2,0))</f>
        <v>0.05</v>
      </c>
      <c r="I267" s="249">
        <f t="shared" ref="I267" si="210">(G267*(1+H267))</f>
        <v>367.5</v>
      </c>
      <c r="J267" s="181" t="s">
        <v>17</v>
      </c>
      <c r="K267" s="197">
        <f>0.12/1.65</f>
        <v>7.2727272727272724E-2</v>
      </c>
      <c r="L267" s="192">
        <f>K267*I267</f>
        <v>26.727272727272727</v>
      </c>
      <c r="M267" s="183">
        <f>IF(VLOOKUP(E267,'HOURLY RATES'!C$6:D$105,2,0)=0,$E$3,VLOOKUP(E267,'HOURLY RATES'!C$6:D$105,2,0))</f>
        <v>65.804944878750007</v>
      </c>
      <c r="N267" s="195">
        <f t="shared" ref="N267" si="211">M267*L267</f>
        <v>1758.7867085775001</v>
      </c>
      <c r="O267" s="209">
        <f>0.5/1.65</f>
        <v>0.30303030303030304</v>
      </c>
      <c r="P267" s="186">
        <f t="shared" ref="P267" si="212">O267*I267</f>
        <v>111.36363636363636</v>
      </c>
      <c r="Q267" s="187">
        <f t="shared" ref="Q267" si="213">P267+N267</f>
        <v>1870.1503449411364</v>
      </c>
      <c r="R267" s="188"/>
      <c r="X267" s="210"/>
    </row>
    <row r="268" spans="1:24" s="11" customFormat="1" ht="16.5" thickBot="1" x14ac:dyDescent="0.25">
      <c r="A268" s="211" t="str">
        <f>IF(J268&lt;&gt;"",1+MAX($A$20:A267),"")</f>
        <v/>
      </c>
      <c r="B268" s="212"/>
      <c r="C268" s="212"/>
      <c r="D268" s="212"/>
      <c r="E268" s="212"/>
      <c r="F268" s="309"/>
      <c r="G268" s="214"/>
      <c r="H268" s="215"/>
      <c r="I268" s="216"/>
      <c r="J268" s="217"/>
      <c r="K268" s="218"/>
      <c r="L268" s="219"/>
      <c r="M268" s="220"/>
      <c r="N268" s="221"/>
      <c r="O268" s="222"/>
      <c r="P268" s="223"/>
      <c r="Q268" s="224"/>
      <c r="R268" s="225"/>
      <c r="X268" s="210"/>
    </row>
    <row r="269" spans="1:24" s="11" customFormat="1" ht="20.100000000000001" customHeight="1" x14ac:dyDescent="0.2">
      <c r="A269" s="433" t="str">
        <f>IF(J269&lt;&gt;"",1+MAX($A$20:A268),"")</f>
        <v/>
      </c>
      <c r="B269" s="434"/>
      <c r="C269" s="434"/>
      <c r="D269" s="435" t="s">
        <v>43</v>
      </c>
      <c r="E269" s="435"/>
      <c r="F269" s="436" t="s">
        <v>367</v>
      </c>
      <c r="G269" s="437"/>
      <c r="H269" s="438"/>
      <c r="I269" s="439"/>
      <c r="J269" s="439"/>
      <c r="K269" s="438"/>
      <c r="L269" s="438"/>
      <c r="M269" s="438"/>
      <c r="N269" s="438"/>
      <c r="O269" s="438"/>
      <c r="P269" s="438"/>
      <c r="Q269" s="438"/>
      <c r="R269" s="440">
        <f>SUM(Q270:Q282)</f>
        <v>5295.3753711820418</v>
      </c>
      <c r="X269" s="210"/>
    </row>
    <row r="270" spans="1:24" s="11" customFormat="1" x14ac:dyDescent="0.2">
      <c r="A270" s="285" t="str">
        <f>IF(J270&lt;&gt;"",1+MAX($A$20:A269),"")</f>
        <v/>
      </c>
      <c r="B270" s="297"/>
      <c r="C270" s="297"/>
      <c r="D270" s="206"/>
      <c r="E270" s="190"/>
      <c r="F270" s="306"/>
      <c r="G270" s="247"/>
      <c r="H270" s="194"/>
      <c r="I270" s="249"/>
      <c r="J270" s="181"/>
      <c r="K270" s="197"/>
      <c r="L270" s="208"/>
      <c r="M270" s="183"/>
      <c r="N270" s="195"/>
      <c r="O270" s="209"/>
      <c r="P270" s="186"/>
      <c r="Q270" s="187"/>
      <c r="R270" s="188"/>
      <c r="X270" s="210"/>
    </row>
    <row r="271" spans="1:24" s="11" customFormat="1" x14ac:dyDescent="0.2">
      <c r="A271" s="285" t="str">
        <f>IF(J271&lt;&gt;"",1+MAX($A$20:A270),"")</f>
        <v/>
      </c>
      <c r="B271" s="297"/>
      <c r="C271" s="297"/>
      <c r="D271" s="206"/>
      <c r="E271" s="190"/>
      <c r="F271" s="308" t="s">
        <v>368</v>
      </c>
      <c r="G271" s="247"/>
      <c r="H271" s="194"/>
      <c r="I271" s="249"/>
      <c r="J271" s="181"/>
      <c r="K271" s="197"/>
      <c r="L271" s="208"/>
      <c r="M271" s="183"/>
      <c r="N271" s="195"/>
      <c r="O271" s="209"/>
      <c r="P271" s="186"/>
      <c r="Q271" s="187"/>
      <c r="R271" s="188"/>
      <c r="X271" s="210"/>
    </row>
    <row r="272" spans="1:24" s="11" customFormat="1" x14ac:dyDescent="0.2">
      <c r="A272" s="285">
        <f>IF(J272&lt;&gt;"",1+MAX($A$20:A271),"")</f>
        <v>143</v>
      </c>
      <c r="B272" s="297" t="s">
        <v>303</v>
      </c>
      <c r="C272" s="297" t="s">
        <v>303</v>
      </c>
      <c r="D272" s="206" t="s">
        <v>43</v>
      </c>
      <c r="E272" s="190" t="s">
        <v>231</v>
      </c>
      <c r="F272" s="306" t="s">
        <v>369</v>
      </c>
      <c r="G272" s="247">
        <v>8.27</v>
      </c>
      <c r="H272" s="194">
        <f>IF(VLOOKUP(J272,'HOURLY RATES'!B$116:C$124,2,0)=0,$J$3,VLOOKUP(J272,'HOURLY RATES'!B$116:C$124,2,0))</f>
        <v>0.05</v>
      </c>
      <c r="I272" s="249">
        <f t="shared" ref="I272" si="214">(G272*(1+H272))</f>
        <v>8.6835000000000004</v>
      </c>
      <c r="J272" s="181" t="s">
        <v>19</v>
      </c>
      <c r="K272" s="197">
        <f>0.02*3.14*6</f>
        <v>0.37680000000000002</v>
      </c>
      <c r="L272" s="192">
        <f>K272*I272</f>
        <v>3.2719428000000002</v>
      </c>
      <c r="M272" s="183">
        <f>IF(VLOOKUP(E272,'HOURLY RATES'!C$6:D$105,2,0)=0,$E$3,VLOOKUP(E272,'HOURLY RATES'!C$6:D$105,2,0))</f>
        <v>62.899461887499989</v>
      </c>
      <c r="N272" s="195">
        <f t="shared" ref="N272" si="215">M272*L272</f>
        <v>205.80344144668001</v>
      </c>
      <c r="O272" s="209">
        <f>59.3/5</f>
        <v>11.86</v>
      </c>
      <c r="P272" s="186">
        <f t="shared" ref="P272" si="216">O272*I272</f>
        <v>102.98631</v>
      </c>
      <c r="Q272" s="187">
        <f t="shared" ref="Q272" si="217">P272+N272</f>
        <v>308.78975144668004</v>
      </c>
      <c r="R272" s="188"/>
      <c r="X272" s="210"/>
    </row>
    <row r="273" spans="1:24" s="11" customFormat="1" x14ac:dyDescent="0.2">
      <c r="A273" s="285" t="str">
        <f>IF(J273&lt;&gt;"",1+MAX($A$20:A272),"")</f>
        <v/>
      </c>
      <c r="B273" s="297"/>
      <c r="C273" s="297"/>
      <c r="D273" s="206"/>
      <c r="E273" s="190"/>
      <c r="F273" s="306"/>
      <c r="G273" s="247"/>
      <c r="H273" s="194"/>
      <c r="I273" s="249"/>
      <c r="J273" s="181"/>
      <c r="K273" s="197"/>
      <c r="L273" s="208"/>
      <c r="M273" s="183"/>
      <c r="N273" s="195"/>
      <c r="O273" s="209"/>
      <c r="P273" s="186"/>
      <c r="Q273" s="187"/>
      <c r="R273" s="188"/>
      <c r="X273" s="210"/>
    </row>
    <row r="274" spans="1:24" s="11" customFormat="1" x14ac:dyDescent="0.2">
      <c r="A274" s="285" t="str">
        <f>IF(J274&lt;&gt;"",1+MAX($A$20:A273),"")</f>
        <v/>
      </c>
      <c r="B274" s="297"/>
      <c r="C274" s="297"/>
      <c r="D274" s="206"/>
      <c r="E274" s="190"/>
      <c r="F274" s="308" t="s">
        <v>370</v>
      </c>
      <c r="G274" s="247"/>
      <c r="H274" s="194"/>
      <c r="I274" s="249"/>
      <c r="J274" s="181"/>
      <c r="K274" s="197"/>
      <c r="L274" s="208"/>
      <c r="M274" s="183"/>
      <c r="N274" s="195"/>
      <c r="O274" s="209"/>
      <c r="P274" s="186"/>
      <c r="Q274" s="187"/>
      <c r="R274" s="188"/>
      <c r="X274" s="210"/>
    </row>
    <row r="275" spans="1:24" s="11" customFormat="1" x14ac:dyDescent="0.2">
      <c r="A275" s="285" t="str">
        <f>IF(J275&lt;&gt;"",1+MAX($A$20:A274),"")</f>
        <v/>
      </c>
      <c r="B275" s="297"/>
      <c r="C275" s="297"/>
      <c r="D275" s="206"/>
      <c r="E275" s="190"/>
      <c r="F275" s="316" t="s">
        <v>371</v>
      </c>
      <c r="G275" s="247"/>
      <c r="H275" s="194"/>
      <c r="I275" s="249"/>
      <c r="J275" s="181"/>
      <c r="K275" s="197"/>
      <c r="L275" s="208"/>
      <c r="M275" s="183"/>
      <c r="N275" s="195"/>
      <c r="O275" s="209"/>
      <c r="P275" s="186"/>
      <c r="Q275" s="187"/>
      <c r="R275" s="188"/>
      <c r="X275" s="210"/>
    </row>
    <row r="276" spans="1:24" s="11" customFormat="1" x14ac:dyDescent="0.2">
      <c r="A276" s="285">
        <f>IF(J276&lt;&gt;"",1+MAX($A$20:A275),"")</f>
        <v>144</v>
      </c>
      <c r="B276" s="297" t="s">
        <v>303</v>
      </c>
      <c r="C276" s="297" t="s">
        <v>303</v>
      </c>
      <c r="D276" s="206" t="s">
        <v>43</v>
      </c>
      <c r="E276" s="190" t="s">
        <v>231</v>
      </c>
      <c r="F276" s="306" t="s">
        <v>372</v>
      </c>
      <c r="G276" s="247">
        <v>1</v>
      </c>
      <c r="H276" s="194">
        <f>IF(VLOOKUP(J276,'HOURLY RATES'!B$116:C$124,2,0)=0,$J$3,VLOOKUP(J276,'HOURLY RATES'!B$116:C$124,2,0))</f>
        <v>0</v>
      </c>
      <c r="I276" s="249">
        <f t="shared" ref="I276" si="218">(G276*(1+H276))</f>
        <v>1</v>
      </c>
      <c r="J276" s="181" t="s">
        <v>16</v>
      </c>
      <c r="K276" s="197">
        <v>5.5430000000000001</v>
      </c>
      <c r="L276" s="192">
        <f>K276*I276</f>
        <v>5.5430000000000001</v>
      </c>
      <c r="M276" s="183">
        <f>IF(VLOOKUP(E276,'HOURLY RATES'!C$6:D$105,2,0)=0,$E$3,VLOOKUP(E276,'HOURLY RATES'!C$6:D$105,2,0))</f>
        <v>62.899461887499989</v>
      </c>
      <c r="N276" s="195">
        <f t="shared" ref="N276" si="219">M276*L276</f>
        <v>348.65171724241247</v>
      </c>
      <c r="O276" s="209"/>
      <c r="P276" s="186">
        <f t="shared" ref="P276" si="220">O276*I276</f>
        <v>0</v>
      </c>
      <c r="Q276" s="187">
        <f t="shared" ref="Q276" si="221">P276+N276</f>
        <v>348.65171724241247</v>
      </c>
      <c r="R276" s="188"/>
      <c r="X276" s="210"/>
    </row>
    <row r="277" spans="1:24" s="11" customFormat="1" x14ac:dyDescent="0.2">
      <c r="A277" s="285" t="str">
        <f>IF(J277&lt;&gt;"",1+MAX($A$20:A276),"")</f>
        <v/>
      </c>
      <c r="B277" s="299"/>
      <c r="C277" s="299"/>
      <c r="D277" s="199"/>
      <c r="E277" s="190"/>
      <c r="F277" s="205" t="s">
        <v>27</v>
      </c>
      <c r="G277" s="286"/>
      <c r="H277" s="287"/>
      <c r="I277" s="288"/>
      <c r="J277" s="289"/>
      <c r="K277" s="290"/>
      <c r="L277" s="291"/>
      <c r="M277" s="292"/>
      <c r="N277" s="293"/>
      <c r="O277" s="294"/>
      <c r="P277" s="293"/>
      <c r="Q277" s="295"/>
      <c r="R277" s="302"/>
      <c r="X277" s="210"/>
    </row>
    <row r="278" spans="1:24" s="11" customFormat="1" x14ac:dyDescent="0.2">
      <c r="A278" s="285" t="str">
        <f>IF(J278&lt;&gt;"",1+MAX($A$20:A277),"")</f>
        <v/>
      </c>
      <c r="B278" s="297"/>
      <c r="C278" s="297"/>
      <c r="D278" s="206"/>
      <c r="E278" s="190"/>
      <c r="F278" s="316" t="s">
        <v>373</v>
      </c>
      <c r="G278" s="247"/>
      <c r="H278" s="194"/>
      <c r="I278" s="249"/>
      <c r="J278" s="181"/>
      <c r="K278" s="197"/>
      <c r="L278" s="208"/>
      <c r="M278" s="183"/>
      <c r="N278" s="195"/>
      <c r="O278" s="209"/>
      <c r="P278" s="186"/>
      <c r="Q278" s="187"/>
      <c r="R278" s="188"/>
      <c r="X278" s="210"/>
    </row>
    <row r="279" spans="1:24" s="11" customFormat="1" ht="63" x14ac:dyDescent="0.2">
      <c r="A279" s="285">
        <f>IF(J279&lt;&gt;"",1+MAX($A$20:A278),"")</f>
        <v>145</v>
      </c>
      <c r="B279" s="297" t="s">
        <v>303</v>
      </c>
      <c r="C279" s="297" t="s">
        <v>303</v>
      </c>
      <c r="D279" s="206" t="s">
        <v>43</v>
      </c>
      <c r="E279" s="190" t="s">
        <v>231</v>
      </c>
      <c r="F279" s="306" t="s">
        <v>435</v>
      </c>
      <c r="G279" s="247">
        <v>1</v>
      </c>
      <c r="H279" s="194">
        <f>IF(VLOOKUP(J279,'HOURLY RATES'!B$116:C$124,2,0)=0,$J$3,VLOOKUP(J279,'HOURLY RATES'!B$116:C$124,2,0))</f>
        <v>0</v>
      </c>
      <c r="I279" s="249">
        <f t="shared" ref="I279" si="222">(G279*(1+H279))</f>
        <v>1</v>
      </c>
      <c r="J279" s="181" t="s">
        <v>18</v>
      </c>
      <c r="K279" s="197">
        <f>0.104*175</f>
        <v>18.2</v>
      </c>
      <c r="L279" s="192">
        <f>K279*I279</f>
        <v>18.2</v>
      </c>
      <c r="M279" s="183">
        <f>IF(VLOOKUP(E279,'HOURLY RATES'!C$6:D$105,2,0)=0,$E$3,VLOOKUP(E279,'HOURLY RATES'!C$6:D$105,2,0))</f>
        <v>62.899461887499989</v>
      </c>
      <c r="N279" s="195">
        <f t="shared" ref="N279" si="223">M279*L279</f>
        <v>1144.7702063524998</v>
      </c>
      <c r="O279" s="209">
        <f>5.739*175</f>
        <v>1004.3249999999999</v>
      </c>
      <c r="P279" s="186">
        <f t="shared" ref="P279" si="224">O279*I279</f>
        <v>1004.3249999999999</v>
      </c>
      <c r="Q279" s="187">
        <f t="shared" ref="Q279" si="225">P279+N279</f>
        <v>2149.0952063524996</v>
      </c>
      <c r="R279" s="188"/>
      <c r="X279" s="210"/>
    </row>
    <row r="280" spans="1:24" s="11" customFormat="1" x14ac:dyDescent="0.2">
      <c r="A280" s="285" t="str">
        <f>IF(J280&lt;&gt;"",1+MAX($A$20:A279),"")</f>
        <v/>
      </c>
      <c r="B280" s="297"/>
      <c r="C280" s="297"/>
      <c r="D280" s="206"/>
      <c r="E280" s="190"/>
      <c r="F280" s="306"/>
      <c r="G280" s="247"/>
      <c r="H280" s="194"/>
      <c r="I280" s="249"/>
      <c r="J280" s="181"/>
      <c r="K280" s="197"/>
      <c r="L280" s="208"/>
      <c r="M280" s="183"/>
      <c r="N280" s="195"/>
      <c r="O280" s="209"/>
      <c r="P280" s="186"/>
      <c r="Q280" s="187"/>
      <c r="R280" s="188"/>
      <c r="X280" s="210"/>
    </row>
    <row r="281" spans="1:24" s="11" customFormat="1" x14ac:dyDescent="0.2">
      <c r="A281" s="285">
        <f>IF(J281&lt;&gt;"",1+MAX($A$20:A280),"")</f>
        <v>146</v>
      </c>
      <c r="B281" s="297"/>
      <c r="C281" s="297"/>
      <c r="D281" s="206" t="s">
        <v>43</v>
      </c>
      <c r="E281" s="190" t="s">
        <v>231</v>
      </c>
      <c r="F281" s="331" t="s">
        <v>384</v>
      </c>
      <c r="G281" s="247">
        <v>200</v>
      </c>
      <c r="H281" s="194">
        <f>IF(VLOOKUP(J281,'HOURLY RATES'!B$116:C$124,2,0)=0,$J$3,VLOOKUP(J281,'HOURLY RATES'!B$116:C$124,2,0))</f>
        <v>0.05</v>
      </c>
      <c r="I281" s="249">
        <f t="shared" ref="I281" si="226">(G281*(1+H281))</f>
        <v>210</v>
      </c>
      <c r="J281" s="181" t="s">
        <v>17</v>
      </c>
      <c r="K281" s="197">
        <f>0.24/1.78</f>
        <v>0.1348314606741573</v>
      </c>
      <c r="L281" s="192">
        <f>K281*I281</f>
        <v>28.314606741573034</v>
      </c>
      <c r="M281" s="183">
        <f>IF(VLOOKUP(E281,'HOURLY RATES'!C$6:D$105,2,0)=0,$E$3,VLOOKUP(E281,'HOURLY RATES'!C$6:D$105,2,0))</f>
        <v>62.899461887499989</v>
      </c>
      <c r="N281" s="195">
        <f t="shared" ref="N281" si="227">M281*L281</f>
        <v>1780.9735276011234</v>
      </c>
      <c r="O281" s="209">
        <f>6/1.78</f>
        <v>3.3707865168539324</v>
      </c>
      <c r="P281" s="186">
        <f t="shared" ref="P281" si="228">O281*I281</f>
        <v>707.86516853932585</v>
      </c>
      <c r="Q281" s="187">
        <f t="shared" ref="Q281" si="229">P281+N281</f>
        <v>2488.8386961404494</v>
      </c>
      <c r="R281" s="188"/>
      <c r="X281" s="210"/>
    </row>
    <row r="282" spans="1:24" s="11" customFormat="1" ht="16.5" thickBot="1" x14ac:dyDescent="0.25">
      <c r="A282" s="211" t="str">
        <f>IF(J282&lt;&gt;"",1+MAX($A$20:A281),"")</f>
        <v/>
      </c>
      <c r="B282" s="212"/>
      <c r="C282" s="212"/>
      <c r="D282" s="212"/>
      <c r="E282" s="212"/>
      <c r="F282" s="309"/>
      <c r="G282" s="214"/>
      <c r="H282" s="215"/>
      <c r="I282" s="216"/>
      <c r="J282" s="217"/>
      <c r="K282" s="218"/>
      <c r="L282" s="219"/>
      <c r="M282" s="220"/>
      <c r="N282" s="221"/>
      <c r="O282" s="222"/>
      <c r="P282" s="223"/>
      <c r="Q282" s="224"/>
      <c r="R282" s="225"/>
      <c r="X282" s="210"/>
    </row>
    <row r="283" spans="1:24" s="11" customFormat="1" ht="20.100000000000001" customHeight="1" x14ac:dyDescent="0.2">
      <c r="A283" s="433" t="str">
        <f>IF(J283&lt;&gt;"",1+MAX($A$20:A282),"")</f>
        <v/>
      </c>
      <c r="B283" s="434"/>
      <c r="C283" s="434"/>
      <c r="D283" s="435" t="s">
        <v>44</v>
      </c>
      <c r="E283" s="435"/>
      <c r="F283" s="436" t="s">
        <v>161</v>
      </c>
      <c r="G283" s="437"/>
      <c r="H283" s="438"/>
      <c r="I283" s="439"/>
      <c r="J283" s="439"/>
      <c r="K283" s="438"/>
      <c r="L283" s="438"/>
      <c r="M283" s="438"/>
      <c r="N283" s="438"/>
      <c r="O283" s="438"/>
      <c r="P283" s="438"/>
      <c r="Q283" s="438"/>
      <c r="R283" s="440">
        <f>SUM(Q284:Q307)</f>
        <v>14681.292866905242</v>
      </c>
      <c r="X283" s="210"/>
    </row>
    <row r="284" spans="1:24" s="11" customFormat="1" x14ac:dyDescent="0.2">
      <c r="A284" s="285" t="str">
        <f>IF(J284&lt;&gt;"",1+MAX($A$20:A283),"")</f>
        <v/>
      </c>
      <c r="B284" s="297"/>
      <c r="C284" s="297"/>
      <c r="D284" s="206"/>
      <c r="E284" s="190"/>
      <c r="F284" s="306"/>
      <c r="G284" s="247"/>
      <c r="H284" s="194"/>
      <c r="I284" s="249"/>
      <c r="J284" s="181"/>
      <c r="K284" s="197"/>
      <c r="L284" s="208"/>
      <c r="M284" s="183"/>
      <c r="N284" s="195"/>
      <c r="O284" s="209"/>
      <c r="P284" s="186"/>
      <c r="Q284" s="187"/>
      <c r="R284" s="188"/>
      <c r="X284" s="210"/>
    </row>
    <row r="285" spans="1:24" s="11" customFormat="1" x14ac:dyDescent="0.2">
      <c r="A285" s="285" t="str">
        <f>IF(J285&lt;&gt;"",1+MAX($A$20:A284),"")</f>
        <v/>
      </c>
      <c r="B285" s="297"/>
      <c r="C285" s="297"/>
      <c r="D285" s="206"/>
      <c r="E285" s="190"/>
      <c r="F285" s="308" t="s">
        <v>277</v>
      </c>
      <c r="G285" s="247"/>
      <c r="H285" s="194"/>
      <c r="I285" s="249"/>
      <c r="J285" s="181"/>
      <c r="K285" s="197"/>
      <c r="L285" s="208"/>
      <c r="M285" s="183"/>
      <c r="N285" s="195"/>
      <c r="O285" s="209"/>
      <c r="P285" s="186"/>
      <c r="Q285" s="187"/>
      <c r="R285" s="188"/>
      <c r="X285" s="210"/>
    </row>
    <row r="286" spans="1:24" s="11" customFormat="1" ht="47.25" x14ac:dyDescent="0.2">
      <c r="A286" s="285">
        <f>IF(J286&lt;&gt;"",1+MAX($A$20:A285),"")</f>
        <v>147</v>
      </c>
      <c r="B286" s="297" t="s">
        <v>390</v>
      </c>
      <c r="C286" s="297" t="s">
        <v>390</v>
      </c>
      <c r="D286" s="206" t="s">
        <v>44</v>
      </c>
      <c r="E286" s="190" t="s">
        <v>146</v>
      </c>
      <c r="F286" s="306" t="s">
        <v>374</v>
      </c>
      <c r="G286" s="247">
        <v>6</v>
      </c>
      <c r="H286" s="194">
        <f>IF(VLOOKUP(J286,'HOURLY RATES'!B$116:C$124,2,0)=0,$J$3,VLOOKUP(J286,'HOURLY RATES'!B$116:C$124,2,0))</f>
        <v>0</v>
      </c>
      <c r="I286" s="249">
        <f t="shared" ref="I286" si="230">(G286*(1+H286))</f>
        <v>6</v>
      </c>
      <c r="J286" s="181" t="s">
        <v>16</v>
      </c>
      <c r="K286" s="197">
        <f>(1.415)*2.5</f>
        <v>3.5375000000000001</v>
      </c>
      <c r="L286" s="192">
        <f t="shared" ref="L286:L287" si="231">K286*I286</f>
        <v>21.225000000000001</v>
      </c>
      <c r="M286" s="183">
        <f>IF(VLOOKUP(E286,'HOURLY RATES'!C$6:D$105,2,0)=0,$E$3,VLOOKUP(E286,'HOURLY RATES'!C$6:D$105,2,0))</f>
        <v>57.866505900000007</v>
      </c>
      <c r="N286" s="195">
        <f t="shared" ref="N286" si="232">M286*L286</f>
        <v>1228.2165877275002</v>
      </c>
      <c r="O286" s="209">
        <v>252.51</v>
      </c>
      <c r="P286" s="186">
        <f t="shared" ref="P286" si="233">O286*I286</f>
        <v>1515.06</v>
      </c>
      <c r="Q286" s="187">
        <f t="shared" ref="Q286" si="234">P286+N286</f>
        <v>2743.2765877275001</v>
      </c>
      <c r="R286" s="188"/>
      <c r="X286" s="210"/>
    </row>
    <row r="287" spans="1:24" s="11" customFormat="1" ht="47.25" x14ac:dyDescent="0.2">
      <c r="A287" s="285">
        <f>IF(J287&lt;&gt;"",1+MAX($A$20:A286),"")</f>
        <v>148</v>
      </c>
      <c r="B287" s="297" t="s">
        <v>390</v>
      </c>
      <c r="C287" s="297" t="s">
        <v>390</v>
      </c>
      <c r="D287" s="206" t="s">
        <v>44</v>
      </c>
      <c r="E287" s="190" t="s">
        <v>146</v>
      </c>
      <c r="F287" s="306" t="s">
        <v>375</v>
      </c>
      <c r="G287" s="247">
        <v>4</v>
      </c>
      <c r="H287" s="194">
        <f>IF(VLOOKUP(J287,'HOURLY RATES'!B$116:C$124,2,0)=0,$J$3,VLOOKUP(J287,'HOURLY RATES'!B$116:C$124,2,0))</f>
        <v>0</v>
      </c>
      <c r="I287" s="249">
        <f t="shared" ref="I287" si="235">(G287*(1+H287))</f>
        <v>4</v>
      </c>
      <c r="J287" s="181" t="s">
        <v>16</v>
      </c>
      <c r="K287" s="197">
        <f>(1.52)*2.5</f>
        <v>3.8</v>
      </c>
      <c r="L287" s="192">
        <f t="shared" si="231"/>
        <v>15.2</v>
      </c>
      <c r="M287" s="183">
        <f>IF(VLOOKUP(E287,'HOURLY RATES'!C$6:D$105,2,0)=0,$E$3,VLOOKUP(E287,'HOURLY RATES'!C$6:D$105,2,0))</f>
        <v>57.866505900000007</v>
      </c>
      <c r="N287" s="195">
        <f t="shared" ref="N287" si="236">M287*L287</f>
        <v>879.57088968000005</v>
      </c>
      <c r="O287" s="209">
        <f>252.51+50</f>
        <v>302.51</v>
      </c>
      <c r="P287" s="186">
        <f t="shared" ref="P287" si="237">O287*I287</f>
        <v>1210.04</v>
      </c>
      <c r="Q287" s="187">
        <f t="shared" ref="Q287" si="238">P287+N287</f>
        <v>2089.6108896800001</v>
      </c>
      <c r="R287" s="188"/>
      <c r="X287" s="210"/>
    </row>
    <row r="288" spans="1:24" s="11" customFormat="1" x14ac:dyDescent="0.2">
      <c r="A288" s="285" t="str">
        <f>IF(J288&lt;&gt;"",1+MAX($A$20:A287),"")</f>
        <v/>
      </c>
      <c r="B288" s="297"/>
      <c r="C288" s="297"/>
      <c r="D288" s="206"/>
      <c r="E288" s="190"/>
      <c r="F288" s="306"/>
      <c r="G288" s="247"/>
      <c r="H288" s="194"/>
      <c r="I288" s="249"/>
      <c r="J288" s="181"/>
      <c r="K288" s="197"/>
      <c r="L288" s="208"/>
      <c r="M288" s="183"/>
      <c r="N288" s="195"/>
      <c r="O288" s="209"/>
      <c r="P288" s="186"/>
      <c r="Q288" s="187"/>
      <c r="R288" s="188"/>
      <c r="X288" s="210"/>
    </row>
    <row r="289" spans="1:24" s="11" customFormat="1" x14ac:dyDescent="0.2">
      <c r="A289" s="285" t="str">
        <f>IF(J289&lt;&gt;"",1+MAX($A$20:A288),"")</f>
        <v/>
      </c>
      <c r="B289" s="297"/>
      <c r="C289" s="297"/>
      <c r="D289" s="206"/>
      <c r="E289" s="190"/>
      <c r="F289" s="308" t="s">
        <v>376</v>
      </c>
      <c r="G289" s="247"/>
      <c r="H289" s="194"/>
      <c r="I289" s="249"/>
      <c r="J289" s="181"/>
      <c r="K289" s="197"/>
      <c r="L289" s="208"/>
      <c r="M289" s="183"/>
      <c r="N289" s="195"/>
      <c r="O289" s="209"/>
      <c r="P289" s="186"/>
      <c r="Q289" s="187"/>
      <c r="R289" s="188"/>
      <c r="X289" s="210"/>
    </row>
    <row r="290" spans="1:24" s="11" customFormat="1" x14ac:dyDescent="0.2">
      <c r="A290" s="285" t="str">
        <f>IF(J290&lt;&gt;"",1+MAX($A$20:A289),"")</f>
        <v/>
      </c>
      <c r="B290" s="297"/>
      <c r="C290" s="297"/>
      <c r="D290" s="206"/>
      <c r="E290" s="190"/>
      <c r="F290" s="316" t="s">
        <v>377</v>
      </c>
      <c r="G290" s="247"/>
      <c r="H290" s="194"/>
      <c r="I290" s="249"/>
      <c r="J290" s="181"/>
      <c r="K290" s="197"/>
      <c r="L290" s="208"/>
      <c r="M290" s="183"/>
      <c r="N290" s="195"/>
      <c r="O290" s="209"/>
      <c r="P290" s="186"/>
      <c r="Q290" s="187"/>
      <c r="R290" s="188"/>
      <c r="X290" s="210"/>
    </row>
    <row r="291" spans="1:24" s="11" customFormat="1" x14ac:dyDescent="0.2">
      <c r="A291" s="285">
        <f>IF(J291&lt;&gt;"",1+MAX($A$20:A290),"")</f>
        <v>149</v>
      </c>
      <c r="B291" s="297" t="s">
        <v>302</v>
      </c>
      <c r="C291" s="297" t="s">
        <v>302</v>
      </c>
      <c r="D291" s="206" t="s">
        <v>44</v>
      </c>
      <c r="E291" s="190" t="s">
        <v>146</v>
      </c>
      <c r="F291" s="306" t="s">
        <v>378</v>
      </c>
      <c r="G291" s="247">
        <v>6</v>
      </c>
      <c r="H291" s="194">
        <f>IF(VLOOKUP(J291,'HOURLY RATES'!B$116:C$124,2,0)=0,$J$3,VLOOKUP(J291,'HOURLY RATES'!B$116:C$124,2,0))</f>
        <v>0</v>
      </c>
      <c r="I291" s="249">
        <f t="shared" ref="I291" si="239">(G291*(1+H291))</f>
        <v>6</v>
      </c>
      <c r="J291" s="181" t="s">
        <v>16</v>
      </c>
      <c r="K291" s="197">
        <f>(0.282)*2.5</f>
        <v>0.70499999999999996</v>
      </c>
      <c r="L291" s="192">
        <f t="shared" ref="L291:L293" si="240">K291*I291</f>
        <v>4.2299999999999995</v>
      </c>
      <c r="M291" s="183">
        <f>IF(VLOOKUP(E291,'HOURLY RATES'!C$6:D$105,2,0)=0,$E$3,VLOOKUP(E291,'HOURLY RATES'!C$6:D$105,2,0))</f>
        <v>57.866505900000007</v>
      </c>
      <c r="N291" s="195">
        <f t="shared" ref="N291" si="241">M291*L291</f>
        <v>244.77531995699999</v>
      </c>
      <c r="O291" s="209">
        <v>6.9</v>
      </c>
      <c r="P291" s="186">
        <f t="shared" ref="P291" si="242">O291*I291</f>
        <v>41.400000000000006</v>
      </c>
      <c r="Q291" s="187">
        <f t="shared" ref="Q291" si="243">P291+N291</f>
        <v>286.175319957</v>
      </c>
      <c r="R291" s="188"/>
      <c r="X291" s="210"/>
    </row>
    <row r="292" spans="1:24" s="11" customFormat="1" x14ac:dyDescent="0.2">
      <c r="A292" s="285">
        <f>IF(J292&lt;&gt;"",1+MAX($A$20:A291),"")</f>
        <v>150</v>
      </c>
      <c r="B292" s="297" t="s">
        <v>302</v>
      </c>
      <c r="C292" s="297" t="s">
        <v>302</v>
      </c>
      <c r="D292" s="206" t="s">
        <v>44</v>
      </c>
      <c r="E292" s="190" t="s">
        <v>146</v>
      </c>
      <c r="F292" s="306" t="s">
        <v>406</v>
      </c>
      <c r="G292" s="247">
        <v>5</v>
      </c>
      <c r="H292" s="194">
        <f>IF(VLOOKUP(J292,'HOURLY RATES'!B$116:C$124,2,0)=0,$J$3,VLOOKUP(J292,'HOURLY RATES'!B$116:C$124,2,0))</f>
        <v>0</v>
      </c>
      <c r="I292" s="249">
        <f t="shared" ref="I292" si="244">(G292*(1+H292))</f>
        <v>5</v>
      </c>
      <c r="J292" s="181" t="s">
        <v>16</v>
      </c>
      <c r="K292" s="197">
        <f>(0.298)*2.5</f>
        <v>0.745</v>
      </c>
      <c r="L292" s="192">
        <f t="shared" si="240"/>
        <v>3.7250000000000001</v>
      </c>
      <c r="M292" s="183">
        <f>IF(VLOOKUP(E292,'HOURLY RATES'!C$6:D$105,2,0)=0,$E$3,VLOOKUP(E292,'HOURLY RATES'!C$6:D$105,2,0))</f>
        <v>57.866505900000007</v>
      </c>
      <c r="N292" s="195">
        <f t="shared" ref="N292" si="245">M292*L292</f>
        <v>215.55273447750002</v>
      </c>
      <c r="O292" s="209">
        <v>9.1999999999999993</v>
      </c>
      <c r="P292" s="186">
        <f t="shared" ref="P292" si="246">O292*I292</f>
        <v>46</v>
      </c>
      <c r="Q292" s="187">
        <f t="shared" ref="Q292" si="247">P292+N292</f>
        <v>261.55273447750005</v>
      </c>
      <c r="R292" s="188"/>
      <c r="X292" s="210"/>
    </row>
    <row r="293" spans="1:24" s="11" customFormat="1" x14ac:dyDescent="0.2">
      <c r="A293" s="285">
        <f>IF(J293&lt;&gt;"",1+MAX($A$20:A292),"")</f>
        <v>151</v>
      </c>
      <c r="B293" s="297" t="s">
        <v>302</v>
      </c>
      <c r="C293" s="297" t="s">
        <v>302</v>
      </c>
      <c r="D293" s="206" t="s">
        <v>44</v>
      </c>
      <c r="E293" s="190" t="s">
        <v>146</v>
      </c>
      <c r="F293" s="306" t="s">
        <v>379</v>
      </c>
      <c r="G293" s="247">
        <v>2</v>
      </c>
      <c r="H293" s="194">
        <f>IF(VLOOKUP(J293,'HOURLY RATES'!B$116:C$124,2,0)=0,$J$3,VLOOKUP(J293,'HOURLY RATES'!B$116:C$124,2,0))</f>
        <v>0</v>
      </c>
      <c r="I293" s="249">
        <f t="shared" ref="I293" si="248">(G293*(1+H293))</f>
        <v>2</v>
      </c>
      <c r="J293" s="181" t="s">
        <v>16</v>
      </c>
      <c r="K293" s="197">
        <f>(0.405)*2.5</f>
        <v>1.0125000000000002</v>
      </c>
      <c r="L293" s="192">
        <f t="shared" si="240"/>
        <v>2.0250000000000004</v>
      </c>
      <c r="M293" s="183">
        <f>IF(VLOOKUP(E293,'HOURLY RATES'!C$6:D$105,2,0)=0,$E$3,VLOOKUP(E293,'HOURLY RATES'!C$6:D$105,2,0))</f>
        <v>57.866505900000007</v>
      </c>
      <c r="N293" s="195">
        <f t="shared" ref="N293" si="249">M293*L293</f>
        <v>117.17967444750003</v>
      </c>
      <c r="O293" s="209">
        <v>22.7</v>
      </c>
      <c r="P293" s="186">
        <f t="shared" ref="P293" si="250">O293*I293</f>
        <v>45.4</v>
      </c>
      <c r="Q293" s="187">
        <f t="shared" ref="Q293" si="251">P293+N293</f>
        <v>162.57967444750003</v>
      </c>
      <c r="R293" s="188"/>
      <c r="X293" s="210"/>
    </row>
    <row r="294" spans="1:24" s="11" customFormat="1" x14ac:dyDescent="0.2">
      <c r="A294" s="285" t="str">
        <f>IF(J294&lt;&gt;"",1+MAX($A$20:A293),"")</f>
        <v/>
      </c>
      <c r="B294" s="299"/>
      <c r="C294" s="299"/>
      <c r="D294" s="199"/>
      <c r="E294" s="190"/>
      <c r="F294" s="205" t="s">
        <v>27</v>
      </c>
      <c r="G294" s="286"/>
      <c r="H294" s="287"/>
      <c r="I294" s="288"/>
      <c r="J294" s="289"/>
      <c r="K294" s="290"/>
      <c r="L294" s="291"/>
      <c r="M294" s="292"/>
      <c r="N294" s="293"/>
      <c r="O294" s="294"/>
      <c r="P294" s="293"/>
      <c r="Q294" s="295"/>
      <c r="R294" s="302"/>
      <c r="X294" s="210"/>
    </row>
    <row r="295" spans="1:24" s="11" customFormat="1" x14ac:dyDescent="0.2">
      <c r="A295" s="285" t="str">
        <f>IF(J295&lt;&gt;"",1+MAX($A$20:A294),"")</f>
        <v/>
      </c>
      <c r="B295" s="297"/>
      <c r="C295" s="297"/>
      <c r="D295" s="206"/>
      <c r="E295" s="190"/>
      <c r="F295" s="316" t="s">
        <v>380</v>
      </c>
      <c r="G295" s="247"/>
      <c r="H295" s="194"/>
      <c r="I295" s="249"/>
      <c r="J295" s="181"/>
      <c r="K295" s="197"/>
      <c r="L295" s="208"/>
      <c r="M295" s="183"/>
      <c r="N295" s="195"/>
      <c r="O295" s="209"/>
      <c r="P295" s="186"/>
      <c r="Q295" s="187"/>
      <c r="R295" s="188"/>
      <c r="X295" s="210"/>
    </row>
    <row r="296" spans="1:24" s="11" customFormat="1" x14ac:dyDescent="0.2">
      <c r="A296" s="285">
        <f>IF(J296&lt;&gt;"",1+MAX($A$20:A295),"")</f>
        <v>152</v>
      </c>
      <c r="B296" s="297" t="s">
        <v>302</v>
      </c>
      <c r="C296" s="297" t="s">
        <v>302</v>
      </c>
      <c r="D296" s="206" t="s">
        <v>44</v>
      </c>
      <c r="E296" s="190" t="s">
        <v>146</v>
      </c>
      <c r="F296" s="306" t="s">
        <v>381</v>
      </c>
      <c r="G296" s="247">
        <v>2</v>
      </c>
      <c r="H296" s="194">
        <f>IF(VLOOKUP(J296,'HOURLY RATES'!B$116:C$124,2,0)=0,$J$3,VLOOKUP(J296,'HOURLY RATES'!B$116:C$124,2,0))</f>
        <v>0</v>
      </c>
      <c r="I296" s="249">
        <f t="shared" ref="I296:I297" si="252">(G296*(1+H296))</f>
        <v>2</v>
      </c>
      <c r="J296" s="181" t="s">
        <v>16</v>
      </c>
      <c r="K296" s="197">
        <f>(0.631)*2.5</f>
        <v>1.5775000000000001</v>
      </c>
      <c r="L296" s="192">
        <f t="shared" ref="L296:L297" si="253">K296*I296</f>
        <v>3.1550000000000002</v>
      </c>
      <c r="M296" s="183">
        <f>IF(VLOOKUP(E296,'HOURLY RATES'!C$6:D$105,2,0)=0,$E$3,VLOOKUP(E296,'HOURLY RATES'!C$6:D$105,2,0))</f>
        <v>57.866505900000007</v>
      </c>
      <c r="N296" s="195">
        <f t="shared" ref="N296:N297" si="254">M296*L296</f>
        <v>182.56882611450004</v>
      </c>
      <c r="O296" s="209">
        <v>84.7</v>
      </c>
      <c r="P296" s="186">
        <f t="shared" ref="P296:P297" si="255">O296*I296</f>
        <v>169.4</v>
      </c>
      <c r="Q296" s="187">
        <f t="shared" ref="Q296:Q297" si="256">P296+N296</f>
        <v>351.96882611450008</v>
      </c>
      <c r="R296" s="188"/>
      <c r="X296" s="210"/>
    </row>
    <row r="297" spans="1:24" s="11" customFormat="1" x14ac:dyDescent="0.2">
      <c r="A297" s="285">
        <f>IF(J297&lt;&gt;"",1+MAX($A$20:A296),"")</f>
        <v>153</v>
      </c>
      <c r="B297" s="297" t="s">
        <v>302</v>
      </c>
      <c r="C297" s="297" t="s">
        <v>302</v>
      </c>
      <c r="D297" s="206" t="s">
        <v>44</v>
      </c>
      <c r="E297" s="190" t="s">
        <v>146</v>
      </c>
      <c r="F297" s="306" t="s">
        <v>382</v>
      </c>
      <c r="G297" s="247">
        <v>2</v>
      </c>
      <c r="H297" s="194">
        <f>IF(VLOOKUP(J297,'HOURLY RATES'!B$116:C$124,2,0)=0,$J$3,VLOOKUP(J297,'HOURLY RATES'!B$116:C$124,2,0))</f>
        <v>0</v>
      </c>
      <c r="I297" s="249">
        <f t="shared" si="252"/>
        <v>2</v>
      </c>
      <c r="J297" s="181" t="s">
        <v>16</v>
      </c>
      <c r="K297" s="197">
        <f>(0.602)*2.5</f>
        <v>1.5049999999999999</v>
      </c>
      <c r="L297" s="192">
        <f t="shared" si="253"/>
        <v>3.01</v>
      </c>
      <c r="M297" s="183">
        <f>IF(VLOOKUP(E297,'HOURLY RATES'!C$6:D$105,2,0)=0,$E$3,VLOOKUP(E297,'HOURLY RATES'!C$6:D$105,2,0))</f>
        <v>57.866505900000007</v>
      </c>
      <c r="N297" s="195">
        <f t="shared" si="254"/>
        <v>174.17818275900001</v>
      </c>
      <c r="O297" s="209">
        <v>79.5</v>
      </c>
      <c r="P297" s="186">
        <f t="shared" si="255"/>
        <v>159</v>
      </c>
      <c r="Q297" s="187">
        <f t="shared" si="256"/>
        <v>333.17818275900004</v>
      </c>
      <c r="R297" s="188"/>
      <c r="X297" s="210"/>
    </row>
    <row r="298" spans="1:24" s="11" customFormat="1" x14ac:dyDescent="0.2">
      <c r="A298" s="285" t="str">
        <f>IF(J298&lt;&gt;"",1+MAX($A$20:A297),"")</f>
        <v/>
      </c>
      <c r="B298" s="297"/>
      <c r="C298" s="297"/>
      <c r="D298" s="206"/>
      <c r="E298" s="190"/>
      <c r="F298" s="306"/>
      <c r="G298" s="247"/>
      <c r="H298" s="194"/>
      <c r="I298" s="249"/>
      <c r="J298" s="181"/>
      <c r="K298" s="197"/>
      <c r="L298" s="208"/>
      <c r="M298" s="183"/>
      <c r="N298" s="195"/>
      <c r="O298" s="209"/>
      <c r="P298" s="186"/>
      <c r="Q298" s="187"/>
      <c r="R298" s="188"/>
      <c r="X298" s="210"/>
    </row>
    <row r="299" spans="1:24" s="11" customFormat="1" x14ac:dyDescent="0.2">
      <c r="A299" s="285" t="str">
        <f>IF(J299&lt;&gt;"",1+MAX($A$20:A298),"")</f>
        <v/>
      </c>
      <c r="B299" s="297"/>
      <c r="C299" s="297"/>
      <c r="D299" s="206"/>
      <c r="E299" s="190"/>
      <c r="F299" s="308" t="s">
        <v>278</v>
      </c>
      <c r="G299" s="247"/>
      <c r="H299" s="194"/>
      <c r="I299" s="249"/>
      <c r="J299" s="181"/>
      <c r="K299" s="197"/>
      <c r="L299" s="208"/>
      <c r="M299" s="183"/>
      <c r="N299" s="195"/>
      <c r="O299" s="209"/>
      <c r="P299" s="186"/>
      <c r="Q299" s="187"/>
      <c r="R299" s="188"/>
      <c r="X299" s="210"/>
    </row>
    <row r="300" spans="1:24" s="11" customFormat="1" x14ac:dyDescent="0.2">
      <c r="A300" s="285">
        <f>IF(J300&lt;&gt;"",1+MAX($A$20:A299),"")</f>
        <v>154</v>
      </c>
      <c r="B300" s="297"/>
      <c r="C300" s="297"/>
      <c r="D300" s="206" t="s">
        <v>44</v>
      </c>
      <c r="E300" s="190" t="s">
        <v>146</v>
      </c>
      <c r="F300" s="306" t="s">
        <v>386</v>
      </c>
      <c r="G300" s="286">
        <f>SUM(G286:G287)*16</f>
        <v>160</v>
      </c>
      <c r="H300" s="194">
        <f>IF(VLOOKUP(J300,'HOURLY RATES'!B$116:C$124,2,0)=0,$J$3,VLOOKUP(J300,'HOURLY RATES'!B$116:C$124,2,0))</f>
        <v>0.05</v>
      </c>
      <c r="I300" s="249">
        <f t="shared" ref="I300:I304" si="257">(G300*(1+H300))</f>
        <v>168</v>
      </c>
      <c r="J300" s="181" t="s">
        <v>19</v>
      </c>
      <c r="K300" s="197">
        <v>6.7000000000000004E-2</v>
      </c>
      <c r="L300" s="192">
        <f t="shared" ref="L300:L301" si="258">K300*I300</f>
        <v>11.256</v>
      </c>
      <c r="M300" s="183">
        <f>IF(VLOOKUP(E300,'HOURLY RATES'!C$6:D$105,2,0)=0,$E$3,VLOOKUP(E300,'HOURLY RATES'!C$6:D$105,2,0))</f>
        <v>57.866505900000007</v>
      </c>
      <c r="N300" s="195">
        <f t="shared" ref="N300" si="259">M300*L300</f>
        <v>651.34539041040011</v>
      </c>
      <c r="O300" s="209">
        <v>1.1000000000000001</v>
      </c>
      <c r="P300" s="186">
        <f t="shared" ref="P300:P304" si="260">O300*I300</f>
        <v>184.8</v>
      </c>
      <c r="Q300" s="187">
        <f t="shared" ref="Q300:Q304" si="261">P300+N300</f>
        <v>836.14539041040007</v>
      </c>
      <c r="R300" s="188"/>
      <c r="X300" s="210"/>
    </row>
    <row r="301" spans="1:24" s="11" customFormat="1" x14ac:dyDescent="0.2">
      <c r="A301" s="285">
        <f>IF(J301&lt;&gt;"",1+MAX($A$20:A300),"")</f>
        <v>155</v>
      </c>
      <c r="B301" s="297"/>
      <c r="C301" s="297"/>
      <c r="D301" s="206" t="s">
        <v>44</v>
      </c>
      <c r="E301" s="190" t="s">
        <v>146</v>
      </c>
      <c r="F301" s="306" t="s">
        <v>387</v>
      </c>
      <c r="G301" s="286">
        <f>G300*3</f>
        <v>480</v>
      </c>
      <c r="H301" s="194">
        <f>IF(VLOOKUP(J301,'HOURLY RATES'!B$116:C$124,2,0)=0,$J$3,VLOOKUP(J301,'HOURLY RATES'!B$116:C$124,2,0))</f>
        <v>0.05</v>
      </c>
      <c r="I301" s="249">
        <f t="shared" ref="I301" si="262">(G301*(1+H301))</f>
        <v>504</v>
      </c>
      <c r="J301" s="181" t="s">
        <v>19</v>
      </c>
      <c r="K301" s="197">
        <v>1.4999999999999999E-2</v>
      </c>
      <c r="L301" s="192">
        <f t="shared" si="258"/>
        <v>7.56</v>
      </c>
      <c r="M301" s="183">
        <f>IF(VLOOKUP(E301,'HOURLY RATES'!C$6:D$105,2,0)=0,$E$3,VLOOKUP(E301,'HOURLY RATES'!C$6:D$105,2,0))</f>
        <v>57.866505900000007</v>
      </c>
      <c r="N301" s="195">
        <f t="shared" ref="N301" si="263">M301*L301</f>
        <v>437.47078460400002</v>
      </c>
      <c r="O301" s="209">
        <v>0.2</v>
      </c>
      <c r="P301" s="186">
        <f t="shared" ref="P301" si="264">O301*I301</f>
        <v>100.80000000000001</v>
      </c>
      <c r="Q301" s="187">
        <f t="shared" ref="Q301" si="265">P301+N301</f>
        <v>538.27078460400003</v>
      </c>
      <c r="R301" s="188"/>
      <c r="X301" s="210"/>
    </row>
    <row r="302" spans="1:24" s="11" customFormat="1" x14ac:dyDescent="0.2">
      <c r="A302" s="285" t="str">
        <f>IF(J302&lt;&gt;"",1+MAX($A$20:A301),"")</f>
        <v/>
      </c>
      <c r="B302" s="297"/>
      <c r="C302" s="297"/>
      <c r="D302" s="206"/>
      <c r="E302" s="190"/>
      <c r="F302" s="306"/>
      <c r="G302" s="286"/>
      <c r="H302" s="194"/>
      <c r="I302" s="249"/>
      <c r="J302" s="181"/>
      <c r="K302" s="197"/>
      <c r="L302" s="208"/>
      <c r="M302" s="183"/>
      <c r="N302" s="195"/>
      <c r="O302" s="209"/>
      <c r="P302" s="186"/>
      <c r="Q302" s="187"/>
      <c r="R302" s="188"/>
      <c r="X302" s="210"/>
    </row>
    <row r="303" spans="1:24" s="11" customFormat="1" x14ac:dyDescent="0.2">
      <c r="A303" s="285">
        <f>IF(J303&lt;&gt;"",1+MAX($A$20:A302),"")</f>
        <v>156</v>
      </c>
      <c r="B303" s="297"/>
      <c r="C303" s="297"/>
      <c r="D303" s="206" t="s">
        <v>44</v>
      </c>
      <c r="E303" s="190" t="s">
        <v>146</v>
      </c>
      <c r="F303" s="306" t="s">
        <v>388</v>
      </c>
      <c r="G303" s="286">
        <f>SUM(G291,G292,G293,G296,G297,)*16</f>
        <v>272</v>
      </c>
      <c r="H303" s="194">
        <f>IF(VLOOKUP(J303,'HOURLY RATES'!B$116:C$124,2,0)=0,$J$3,VLOOKUP(J303,'HOURLY RATES'!B$116:C$124,2,0))</f>
        <v>0.05</v>
      </c>
      <c r="I303" s="249">
        <f t="shared" si="257"/>
        <v>285.60000000000002</v>
      </c>
      <c r="J303" s="181" t="s">
        <v>19</v>
      </c>
      <c r="K303" s="197">
        <v>6.7000000000000004E-2</v>
      </c>
      <c r="L303" s="192">
        <f t="shared" ref="L303:L304" si="266">K303*I303</f>
        <v>19.135200000000001</v>
      </c>
      <c r="M303" s="183">
        <f>IF(VLOOKUP(E303,'HOURLY RATES'!C$6:D$105,2,0)=0,$E$3,VLOOKUP(E303,'HOURLY RATES'!C$6:D$105,2,0))</f>
        <v>57.866505900000007</v>
      </c>
      <c r="N303" s="195">
        <f t="shared" ref="N303:N304" si="267">M303*L303</f>
        <v>1107.2871636976802</v>
      </c>
      <c r="O303" s="209">
        <v>1.1000000000000001</v>
      </c>
      <c r="P303" s="186">
        <f t="shared" si="260"/>
        <v>314.16000000000003</v>
      </c>
      <c r="Q303" s="187">
        <f t="shared" si="261"/>
        <v>1421.4471636976803</v>
      </c>
      <c r="R303" s="188"/>
      <c r="X303" s="210"/>
    </row>
    <row r="304" spans="1:24" s="11" customFormat="1" x14ac:dyDescent="0.2">
      <c r="A304" s="285">
        <f>IF(J304&lt;&gt;"",1+MAX($A$20:A303),"")</f>
        <v>157</v>
      </c>
      <c r="B304" s="297"/>
      <c r="C304" s="297"/>
      <c r="D304" s="206" t="s">
        <v>44</v>
      </c>
      <c r="E304" s="190" t="s">
        <v>146</v>
      </c>
      <c r="F304" s="306" t="s">
        <v>389</v>
      </c>
      <c r="G304" s="286">
        <f>G303*3</f>
        <v>816</v>
      </c>
      <c r="H304" s="194">
        <f>IF(VLOOKUP(J304,'HOURLY RATES'!B$116:C$124,2,0)=0,$J$3,VLOOKUP(J304,'HOURLY RATES'!B$116:C$124,2,0))</f>
        <v>0.05</v>
      </c>
      <c r="I304" s="249">
        <f t="shared" si="257"/>
        <v>856.80000000000007</v>
      </c>
      <c r="J304" s="181" t="s">
        <v>19</v>
      </c>
      <c r="K304" s="197">
        <v>1.4999999999999999E-2</v>
      </c>
      <c r="L304" s="192">
        <f t="shared" si="266"/>
        <v>12.852</v>
      </c>
      <c r="M304" s="183">
        <f>IF(VLOOKUP(E304,'HOURLY RATES'!C$6:D$105,2,0)=0,$E$3,VLOOKUP(E304,'HOURLY RATES'!C$6:D$105,2,0))</f>
        <v>57.866505900000007</v>
      </c>
      <c r="N304" s="195">
        <f t="shared" si="267"/>
        <v>743.70033382680015</v>
      </c>
      <c r="O304" s="209">
        <v>0.2</v>
      </c>
      <c r="P304" s="186">
        <f t="shared" si="260"/>
        <v>171.36</v>
      </c>
      <c r="Q304" s="187">
        <f t="shared" si="261"/>
        <v>915.06033382680016</v>
      </c>
      <c r="R304" s="188"/>
      <c r="X304" s="210"/>
    </row>
    <row r="305" spans="1:24" s="11" customFormat="1" x14ac:dyDescent="0.2">
      <c r="A305" s="285" t="str">
        <f>IF(J305&lt;&gt;"",1+MAX($A$20:A304),"")</f>
        <v/>
      </c>
      <c r="B305" s="297"/>
      <c r="C305" s="297"/>
      <c r="D305" s="206"/>
      <c r="E305" s="190"/>
      <c r="F305" s="306"/>
      <c r="G305" s="247"/>
      <c r="H305" s="194"/>
      <c r="I305" s="249"/>
      <c r="J305" s="181"/>
      <c r="K305" s="197"/>
      <c r="L305" s="208"/>
      <c r="M305" s="183"/>
      <c r="N305" s="195"/>
      <c r="O305" s="209"/>
      <c r="P305" s="186"/>
      <c r="Q305" s="187"/>
      <c r="R305" s="188"/>
      <c r="X305" s="210"/>
    </row>
    <row r="306" spans="1:24" s="11" customFormat="1" x14ac:dyDescent="0.2">
      <c r="A306" s="285">
        <f>IF(J306&lt;&gt;"",1+MAX($A$20:A305),"")</f>
        <v>158</v>
      </c>
      <c r="B306" s="297"/>
      <c r="C306" s="297"/>
      <c r="D306" s="206" t="s">
        <v>44</v>
      </c>
      <c r="E306" s="190" t="s">
        <v>146</v>
      </c>
      <c r="F306" s="331" t="s">
        <v>385</v>
      </c>
      <c r="G306" s="364">
        <v>361.02</v>
      </c>
      <c r="H306" s="194">
        <f>IF(VLOOKUP(J306,'HOURLY RATES'!B$116:C$124,2,0)=0,$J$3,VLOOKUP(J306,'HOURLY RATES'!B$116:C$124,2,0))</f>
        <v>0.05</v>
      </c>
      <c r="I306" s="249">
        <f t="shared" ref="I306" si="268">(G306*(1+H306))</f>
        <v>379.07099999999997</v>
      </c>
      <c r="J306" s="181" t="s">
        <v>17</v>
      </c>
      <c r="K306" s="197">
        <f>0.4/2.25</f>
        <v>0.17777777777777778</v>
      </c>
      <c r="L306" s="192">
        <f>K306*I306</f>
        <v>67.3904</v>
      </c>
      <c r="M306" s="183">
        <f>IF(VLOOKUP(E306,'HOURLY RATES'!C$6:D$105,2,0)=0,$E$3,VLOOKUP(E306,'HOURLY RATES'!C$6:D$105,2,0))</f>
        <v>57.866505900000007</v>
      </c>
      <c r="N306" s="195">
        <f t="shared" ref="N306" si="269">M306*L306</f>
        <v>3899.6469792033604</v>
      </c>
      <c r="O306" s="209">
        <f>5/2.25</f>
        <v>2.2222222222222223</v>
      </c>
      <c r="P306" s="186">
        <f t="shared" ref="P306" si="270">O306*I306</f>
        <v>842.38</v>
      </c>
      <c r="Q306" s="187">
        <f t="shared" ref="Q306" si="271">P306+N306</f>
        <v>4742.0269792033605</v>
      </c>
      <c r="R306" s="188"/>
      <c r="X306" s="210"/>
    </row>
    <row r="307" spans="1:24" s="11" customFormat="1" ht="16.5" thickBot="1" x14ac:dyDescent="0.25">
      <c r="A307" s="211" t="str">
        <f>IF(J307&lt;&gt;"",1+MAX($A$14:A108),"")</f>
        <v/>
      </c>
      <c r="B307" s="212"/>
      <c r="C307" s="212"/>
      <c r="D307" s="212"/>
      <c r="E307" s="212"/>
      <c r="F307" s="213"/>
      <c r="G307" s="214"/>
      <c r="H307" s="215"/>
      <c r="I307" s="216"/>
      <c r="J307" s="217"/>
      <c r="K307" s="218"/>
      <c r="L307" s="219"/>
      <c r="M307" s="220"/>
      <c r="N307" s="221"/>
      <c r="O307" s="222"/>
      <c r="P307" s="223"/>
      <c r="Q307" s="224"/>
      <c r="R307" s="225"/>
      <c r="X307" s="210"/>
    </row>
    <row r="308" spans="1:24" ht="16.5" thickBot="1" x14ac:dyDescent="0.25">
      <c r="A308" s="399" t="s">
        <v>4</v>
      </c>
      <c r="B308" s="400"/>
      <c r="C308" s="22"/>
      <c r="D308" s="22"/>
      <c r="E308" s="148"/>
      <c r="F308" s="24"/>
      <c r="G308" s="23"/>
      <c r="H308" s="23"/>
      <c r="I308" s="23"/>
      <c r="J308" s="24"/>
      <c r="K308" s="25" t="s">
        <v>126</v>
      </c>
      <c r="L308" s="268">
        <f>SUM(L18:L307)</f>
        <v>1349.1458080700124</v>
      </c>
      <c r="M308" s="24" t="s">
        <v>25</v>
      </c>
      <c r="N308" s="246">
        <f>SUM(N18:N307)</f>
        <v>62423.605769157795</v>
      </c>
      <c r="O308" s="24" t="s">
        <v>24</v>
      </c>
      <c r="P308" s="246">
        <f>SUM(P18:P307)</f>
        <v>38284.60823446772</v>
      </c>
      <c r="Q308" s="226">
        <f>SUM(Q18:Q307)</f>
        <v>100708.2140036255</v>
      </c>
      <c r="R308" s="226">
        <f>SUM(R18:R307)</f>
        <v>100708.21400362553</v>
      </c>
      <c r="S308" s="11"/>
      <c r="T308" s="11"/>
      <c r="U308" s="11"/>
      <c r="V308" s="11"/>
      <c r="W308" s="11"/>
    </row>
    <row r="309" spans="1:24" ht="17.25" thickTop="1" thickBot="1" x14ac:dyDescent="0.25">
      <c r="A309" s="401" t="s">
        <v>159</v>
      </c>
      <c r="B309" s="402"/>
      <c r="C309" s="227"/>
      <c r="D309" s="227"/>
      <c r="E309" s="228"/>
      <c r="F309" s="229"/>
      <c r="G309" s="230"/>
      <c r="H309" s="230"/>
      <c r="I309" s="230"/>
      <c r="J309" s="227"/>
      <c r="K309" s="227"/>
      <c r="L309" s="227"/>
      <c r="M309" s="256">
        <f>D5</f>
        <v>9.5000000000000001E-2</v>
      </c>
      <c r="N309" s="231"/>
      <c r="O309" s="231"/>
      <c r="P309" s="231">
        <f>P308*M309</f>
        <v>3637.0377822744335</v>
      </c>
      <c r="Q309" s="231">
        <f>P309+N309</f>
        <v>3637.0377822744335</v>
      </c>
      <c r="R309" s="232">
        <f>Q309</f>
        <v>3637.0377822744335</v>
      </c>
    </row>
    <row r="310" spans="1:24" ht="17.25" thickTop="1" thickBot="1" x14ac:dyDescent="0.25">
      <c r="A310" s="254" t="s">
        <v>266</v>
      </c>
      <c r="B310" s="255"/>
      <c r="C310" s="227"/>
      <c r="D310" s="227"/>
      <c r="E310" s="228"/>
      <c r="F310" s="229"/>
      <c r="G310" s="230"/>
      <c r="H310" s="230"/>
      <c r="I310" s="230"/>
      <c r="J310" s="227"/>
      <c r="K310" s="227"/>
      <c r="L310" s="227"/>
      <c r="M310" s="257">
        <f>D6</f>
        <v>0.1</v>
      </c>
      <c r="N310" s="231"/>
      <c r="O310" s="231"/>
      <c r="P310" s="231">
        <f>P308*M310</f>
        <v>3828.4608234467723</v>
      </c>
      <c r="Q310" s="231">
        <f>P310+N310</f>
        <v>3828.4608234467723</v>
      </c>
      <c r="R310" s="232">
        <f>Q310</f>
        <v>3828.4608234467723</v>
      </c>
    </row>
    <row r="311" spans="1:24" ht="17.25" thickTop="1" thickBot="1" x14ac:dyDescent="0.25">
      <c r="A311" s="254" t="s">
        <v>267</v>
      </c>
      <c r="B311" s="255"/>
      <c r="C311" s="227"/>
      <c r="D311" s="227"/>
      <c r="E311" s="228"/>
      <c r="F311" s="229"/>
      <c r="G311" s="230"/>
      <c r="H311" s="230"/>
      <c r="I311" s="230"/>
      <c r="J311" s="227"/>
      <c r="K311" s="227"/>
      <c r="L311" s="227"/>
      <c r="M311" s="257">
        <f>D7</f>
        <v>0.2</v>
      </c>
      <c r="N311" s="231">
        <f>N308*M311</f>
        <v>12484.721153831561</v>
      </c>
      <c r="O311" s="231"/>
      <c r="P311" s="231"/>
      <c r="Q311" s="231">
        <f>P311+N311</f>
        <v>12484.721153831561</v>
      </c>
      <c r="R311" s="232">
        <f>Q311</f>
        <v>12484.721153831561</v>
      </c>
    </row>
    <row r="312" spans="1:24" ht="17.25" thickTop="1" thickBot="1" x14ac:dyDescent="0.25">
      <c r="A312" s="401" t="s">
        <v>262</v>
      </c>
      <c r="B312" s="402"/>
      <c r="C312" s="227"/>
      <c r="D312" s="227"/>
      <c r="E312" s="228"/>
      <c r="F312" s="229"/>
      <c r="G312" s="230"/>
      <c r="H312" s="230"/>
      <c r="I312" s="230"/>
      <c r="J312" s="227"/>
      <c r="K312" s="227"/>
      <c r="L312" s="227"/>
      <c r="M312" s="256">
        <f>D8</f>
        <v>1.4999999999999999E-2</v>
      </c>
      <c r="N312" s="231">
        <f>(N308+N309+N310+N311)*M312</f>
        <v>1123.6249038448404</v>
      </c>
      <c r="O312" s="231"/>
      <c r="P312" s="231">
        <f>(P308+P309+P310+P311)*M312</f>
        <v>686.25160260283394</v>
      </c>
      <c r="Q312" s="231">
        <f>P312+N312</f>
        <v>1809.8765064476743</v>
      </c>
      <c r="R312" s="232">
        <f>Q312</f>
        <v>1809.8765064476743</v>
      </c>
    </row>
    <row r="313" spans="1:24" ht="17.25" thickTop="1" thickBot="1" x14ac:dyDescent="0.25">
      <c r="A313" s="403" t="s">
        <v>87</v>
      </c>
      <c r="B313" s="404"/>
      <c r="C313" s="233"/>
      <c r="D313" s="233"/>
      <c r="E313" s="234"/>
      <c r="F313" s="235"/>
      <c r="G313" s="236"/>
      <c r="H313" s="236"/>
      <c r="I313" s="236"/>
      <c r="J313" s="233"/>
      <c r="K313" s="233"/>
      <c r="L313" s="233"/>
      <c r="M313" s="235"/>
      <c r="N313" s="237">
        <f>SUM(N308:N312)</f>
        <v>76031.951826834207</v>
      </c>
      <c r="O313" s="235"/>
      <c r="P313" s="237">
        <f>SUM(P308:P312)</f>
        <v>46436.358442791759</v>
      </c>
      <c r="Q313" s="237">
        <f>SUM(Q308:Q312)</f>
        <v>122468.31026962594</v>
      </c>
      <c r="R313" s="238">
        <f>SUM(R308:R312)</f>
        <v>122468.31026962597</v>
      </c>
    </row>
    <row r="314" spans="1:24" x14ac:dyDescent="0.2">
      <c r="A314" s="10"/>
      <c r="F314" s="141"/>
      <c r="G314" s="6"/>
      <c r="H314" s="9"/>
      <c r="Q314" s="9"/>
    </row>
    <row r="315" spans="1:24" x14ac:dyDescent="0.2">
      <c r="A315" s="10"/>
      <c r="F315" s="141"/>
      <c r="G315" s="6"/>
      <c r="H315" s="9"/>
      <c r="Q315" s="9"/>
    </row>
    <row r="316" spans="1:24" x14ac:dyDescent="0.2">
      <c r="A316" s="10"/>
      <c r="E316" s="141"/>
      <c r="F316" s="141"/>
      <c r="G316" s="6"/>
      <c r="H316" s="9"/>
      <c r="Q316" s="9"/>
    </row>
    <row r="317" spans="1:24" x14ac:dyDescent="0.2">
      <c r="A317" s="10"/>
      <c r="E317" s="141"/>
      <c r="F317" s="141"/>
      <c r="G317" s="6"/>
      <c r="H317" s="9"/>
      <c r="Q317" s="9"/>
    </row>
    <row r="318" spans="1:24" x14ac:dyDescent="0.2">
      <c r="A318" s="10"/>
      <c r="F318" s="141"/>
      <c r="G318" s="6"/>
      <c r="H318" s="9"/>
      <c r="Q318" s="9"/>
    </row>
    <row r="319" spans="1:24" x14ac:dyDescent="0.2">
      <c r="A319" s="10"/>
      <c r="F319" s="141"/>
      <c r="G319" s="6"/>
      <c r="H319" s="9"/>
      <c r="Q319" s="9"/>
    </row>
    <row r="320" spans="1:24" x14ac:dyDescent="0.2">
      <c r="A320" s="10"/>
      <c r="F320" s="141"/>
      <c r="G320" s="6"/>
      <c r="H320" s="9"/>
      <c r="Q320" s="9"/>
    </row>
    <row r="321" spans="1:17" x14ac:dyDescent="0.2">
      <c r="A321" s="10"/>
      <c r="F321" s="141"/>
      <c r="G321" s="6"/>
      <c r="H321" s="9"/>
      <c r="Q321" s="9"/>
    </row>
    <row r="322" spans="1:17" x14ac:dyDescent="0.2">
      <c r="A322" s="10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Q322" s="9"/>
    </row>
    <row r="323" spans="1:17" x14ac:dyDescent="0.2">
      <c r="A323" s="10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Q323" s="9"/>
    </row>
    <row r="324" spans="1:17" x14ac:dyDescent="0.2">
      <c r="A324" s="10"/>
      <c r="F324" s="141"/>
      <c r="G324" s="141"/>
      <c r="H324" s="141"/>
      <c r="I324" s="141"/>
      <c r="J324" s="141"/>
      <c r="K324" s="141"/>
      <c r="L324" s="141"/>
      <c r="M324" s="141"/>
      <c r="N324" s="141"/>
      <c r="Q324" s="9"/>
    </row>
    <row r="325" spans="1:17" x14ac:dyDescent="0.2">
      <c r="A325" s="10"/>
      <c r="F325" s="141"/>
      <c r="G325" s="141"/>
      <c r="H325" s="141"/>
      <c r="I325" s="141"/>
      <c r="J325" s="141"/>
      <c r="K325" s="141"/>
      <c r="L325" s="141"/>
      <c r="M325" s="141"/>
      <c r="N325" s="141"/>
      <c r="Q325" s="9"/>
    </row>
    <row r="326" spans="1:17" x14ac:dyDescent="0.2">
      <c r="A326" s="10"/>
      <c r="F326" s="141"/>
      <c r="G326" s="141"/>
      <c r="H326" s="141"/>
      <c r="I326" s="141"/>
      <c r="J326" s="141"/>
      <c r="K326" s="141"/>
      <c r="L326" s="141"/>
      <c r="M326" s="141"/>
      <c r="N326" s="141"/>
      <c r="Q326" s="9"/>
    </row>
    <row r="327" spans="1:17" x14ac:dyDescent="0.2">
      <c r="A327" s="10"/>
      <c r="F327" s="141"/>
      <c r="G327" s="141"/>
      <c r="H327" s="141"/>
      <c r="I327" s="141"/>
      <c r="J327" s="141"/>
      <c r="K327" s="141"/>
      <c r="L327" s="141"/>
      <c r="M327" s="141"/>
      <c r="N327" s="141"/>
      <c r="Q327" s="9"/>
    </row>
    <row r="328" spans="1:17" x14ac:dyDescent="0.2">
      <c r="A328" s="10"/>
      <c r="F328" s="141"/>
      <c r="G328" s="141"/>
      <c r="H328" s="141"/>
      <c r="I328" s="141"/>
      <c r="J328" s="141"/>
      <c r="K328" s="141"/>
      <c r="L328" s="141"/>
      <c r="M328" s="141"/>
      <c r="N328" s="141"/>
      <c r="O328" s="9"/>
      <c r="P328" s="9"/>
      <c r="Q328" s="9"/>
    </row>
    <row r="329" spans="1:17" x14ac:dyDescent="0.2">
      <c r="A329" s="10"/>
      <c r="F329" s="141"/>
      <c r="G329" s="141"/>
      <c r="H329" s="141"/>
      <c r="I329" s="141"/>
      <c r="J329" s="141"/>
      <c r="K329" s="141"/>
      <c r="L329" s="141"/>
      <c r="M329" s="141"/>
      <c r="N329" s="141"/>
      <c r="O329" s="9"/>
      <c r="P329" s="9"/>
      <c r="Q329" s="9"/>
    </row>
    <row r="330" spans="1:17" x14ac:dyDescent="0.2">
      <c r="F330" s="141"/>
      <c r="G330" s="141"/>
      <c r="H330" s="141"/>
      <c r="I330" s="141"/>
      <c r="J330" s="141"/>
      <c r="K330" s="141"/>
      <c r="L330" s="141"/>
      <c r="M330" s="141"/>
      <c r="N330" s="141"/>
      <c r="O330" s="9"/>
      <c r="P330" s="9"/>
      <c r="Q330" s="9"/>
    </row>
    <row r="331" spans="1:17" x14ac:dyDescent="0.2">
      <c r="F331" s="141"/>
      <c r="G331" s="141"/>
      <c r="H331" s="141"/>
      <c r="I331" s="141"/>
      <c r="J331" s="141"/>
      <c r="K331" s="141"/>
      <c r="L331" s="141"/>
      <c r="M331" s="141"/>
      <c r="N331" s="141"/>
      <c r="O331" s="9"/>
      <c r="P331" s="9"/>
      <c r="Q331" s="9"/>
    </row>
    <row r="332" spans="1:17" x14ac:dyDescent="0.2">
      <c r="F332" s="141"/>
      <c r="G332" s="141"/>
      <c r="H332" s="141"/>
      <c r="I332" s="141"/>
      <c r="J332" s="141"/>
      <c r="K332" s="141"/>
      <c r="L332" s="141"/>
      <c r="M332" s="141"/>
      <c r="N332" s="141"/>
    </row>
    <row r="333" spans="1:17" x14ac:dyDescent="0.2">
      <c r="F333" s="141"/>
      <c r="G333" s="141"/>
      <c r="H333" s="141"/>
      <c r="I333" s="141"/>
      <c r="J333" s="141"/>
      <c r="K333" s="141"/>
      <c r="L333" s="141"/>
      <c r="M333" s="141"/>
      <c r="N333" s="141"/>
    </row>
    <row r="334" spans="1:17" x14ac:dyDescent="0.2">
      <c r="F334" s="141"/>
      <c r="G334" s="141"/>
      <c r="H334" s="141"/>
      <c r="I334" s="141"/>
      <c r="J334" s="141"/>
      <c r="K334" s="141"/>
      <c r="L334" s="141"/>
      <c r="M334" s="141"/>
      <c r="N334" s="141"/>
    </row>
    <row r="335" spans="1:17" x14ac:dyDescent="0.2">
      <c r="F335" s="141"/>
      <c r="G335" s="141"/>
      <c r="H335" s="141"/>
      <c r="I335" s="141"/>
      <c r="J335" s="141"/>
      <c r="K335" s="141"/>
      <c r="L335" s="141"/>
      <c r="M335" s="141"/>
      <c r="N335" s="141"/>
    </row>
    <row r="336" spans="1:17" x14ac:dyDescent="0.2">
      <c r="F336" s="141"/>
      <c r="G336" s="141"/>
      <c r="H336" s="141"/>
      <c r="I336" s="141"/>
      <c r="J336" s="141"/>
      <c r="K336" s="141"/>
      <c r="L336" s="141"/>
      <c r="M336" s="141"/>
      <c r="N336" s="141"/>
    </row>
    <row r="337" spans="6:14" x14ac:dyDescent="0.2">
      <c r="F337" s="141"/>
      <c r="G337" s="141"/>
      <c r="H337" s="141"/>
      <c r="I337" s="141"/>
      <c r="J337" s="141"/>
      <c r="K337" s="141"/>
      <c r="L337" s="141"/>
      <c r="M337" s="141"/>
      <c r="N337" s="141"/>
    </row>
    <row r="338" spans="6:14" x14ac:dyDescent="0.2">
      <c r="F338" s="141"/>
      <c r="G338" s="141"/>
      <c r="H338" s="141"/>
      <c r="I338" s="141"/>
      <c r="J338" s="141"/>
      <c r="K338" s="141"/>
      <c r="L338" s="141"/>
      <c r="M338" s="141"/>
      <c r="N338" s="141"/>
    </row>
    <row r="339" spans="6:14" x14ac:dyDescent="0.2">
      <c r="F339" s="141"/>
      <c r="G339" s="141"/>
      <c r="H339" s="141"/>
      <c r="I339" s="141"/>
      <c r="J339" s="141"/>
      <c r="K339" s="141"/>
      <c r="L339" s="141"/>
      <c r="M339" s="141"/>
      <c r="N339" s="141"/>
    </row>
    <row r="340" spans="6:14" x14ac:dyDescent="0.2">
      <c r="F340" s="141"/>
      <c r="G340" s="141"/>
      <c r="H340" s="141"/>
      <c r="I340" s="141"/>
      <c r="J340" s="141"/>
      <c r="K340" s="141"/>
      <c r="L340" s="141"/>
      <c r="M340" s="141"/>
      <c r="N340" s="141"/>
    </row>
    <row r="341" spans="6:14" x14ac:dyDescent="0.2">
      <c r="F341" s="141"/>
      <c r="G341" s="141"/>
      <c r="H341" s="141"/>
      <c r="I341" s="141"/>
      <c r="J341" s="141"/>
      <c r="K341" s="141"/>
      <c r="L341" s="141"/>
      <c r="M341" s="141"/>
      <c r="N341" s="141"/>
    </row>
    <row r="342" spans="6:14" x14ac:dyDescent="0.2">
      <c r="F342" s="141"/>
      <c r="G342" s="141"/>
      <c r="H342" s="141"/>
      <c r="I342" s="141"/>
      <c r="J342" s="141"/>
      <c r="K342" s="141"/>
      <c r="L342" s="141"/>
      <c r="M342" s="141"/>
      <c r="N342" s="141"/>
    </row>
    <row r="343" spans="6:14" x14ac:dyDescent="0.2">
      <c r="F343" s="141"/>
      <c r="G343" s="141"/>
      <c r="H343" s="141"/>
      <c r="I343" s="141"/>
      <c r="J343" s="141"/>
      <c r="K343" s="141"/>
      <c r="L343" s="141"/>
      <c r="M343" s="141"/>
      <c r="N343" s="141"/>
    </row>
    <row r="344" spans="6:14" x14ac:dyDescent="0.2">
      <c r="F344" s="141"/>
      <c r="G344" s="141"/>
      <c r="H344" s="141"/>
      <c r="I344" s="141"/>
      <c r="J344" s="141"/>
      <c r="K344" s="141"/>
      <c r="L344" s="141"/>
      <c r="M344" s="141"/>
      <c r="N344" s="141"/>
    </row>
    <row r="345" spans="6:14" x14ac:dyDescent="0.2">
      <c r="F345" s="141"/>
      <c r="G345" s="141"/>
      <c r="H345" s="141"/>
      <c r="I345" s="141"/>
      <c r="J345" s="141"/>
      <c r="K345" s="141"/>
      <c r="L345" s="141"/>
      <c r="M345" s="141"/>
      <c r="N345" s="141"/>
    </row>
    <row r="346" spans="6:14" x14ac:dyDescent="0.2">
      <c r="F346" s="141"/>
      <c r="G346" s="141"/>
      <c r="H346" s="141"/>
      <c r="I346" s="141"/>
      <c r="J346" s="141"/>
      <c r="K346" s="141"/>
      <c r="L346" s="141"/>
      <c r="M346" s="141"/>
      <c r="N346" s="141"/>
    </row>
    <row r="347" spans="6:14" x14ac:dyDescent="0.2">
      <c r="F347" s="141"/>
      <c r="G347" s="141"/>
      <c r="H347" s="141"/>
      <c r="I347" s="141"/>
      <c r="J347" s="141"/>
      <c r="K347" s="141"/>
      <c r="L347" s="141"/>
      <c r="M347" s="141"/>
      <c r="N347" s="141"/>
    </row>
    <row r="348" spans="6:14" x14ac:dyDescent="0.2">
      <c r="F348" s="141"/>
      <c r="G348" s="141"/>
      <c r="H348" s="141"/>
      <c r="I348" s="141"/>
      <c r="J348" s="141"/>
      <c r="K348" s="141"/>
      <c r="L348" s="141"/>
      <c r="M348" s="141"/>
      <c r="N348" s="141"/>
    </row>
    <row r="349" spans="6:14" x14ac:dyDescent="0.2">
      <c r="F349" s="141"/>
      <c r="G349" s="141"/>
      <c r="H349" s="141"/>
      <c r="I349" s="141"/>
      <c r="J349" s="141"/>
      <c r="K349" s="141"/>
      <c r="L349" s="141"/>
      <c r="M349" s="141"/>
      <c r="N349" s="141"/>
    </row>
    <row r="350" spans="6:14" x14ac:dyDescent="0.2">
      <c r="F350" s="141"/>
      <c r="G350" s="141"/>
      <c r="H350" s="141"/>
      <c r="I350" s="141"/>
      <c r="J350" s="141"/>
      <c r="K350" s="141"/>
      <c r="L350" s="141"/>
      <c r="M350" s="141"/>
      <c r="N350" s="141"/>
    </row>
    <row r="351" spans="6:14" x14ac:dyDescent="0.2">
      <c r="F351" s="141"/>
      <c r="G351" s="141"/>
      <c r="H351" s="141"/>
      <c r="I351" s="141"/>
      <c r="J351" s="141"/>
      <c r="K351" s="141"/>
      <c r="L351" s="141"/>
      <c r="M351" s="141"/>
      <c r="N351" s="141"/>
    </row>
    <row r="352" spans="6:14" x14ac:dyDescent="0.2">
      <c r="F352" s="141"/>
      <c r="G352" s="141"/>
      <c r="H352" s="141"/>
      <c r="I352" s="141"/>
      <c r="J352" s="141"/>
      <c r="K352" s="141"/>
      <c r="L352" s="141"/>
      <c r="M352" s="141"/>
      <c r="N352" s="141"/>
    </row>
    <row r="353" spans="6:14" x14ac:dyDescent="0.2">
      <c r="F353" s="141"/>
      <c r="G353" s="141"/>
      <c r="H353" s="141"/>
      <c r="I353" s="141"/>
      <c r="J353" s="141"/>
      <c r="K353" s="141"/>
      <c r="L353" s="141"/>
      <c r="M353" s="141"/>
      <c r="N353" s="141"/>
    </row>
    <row r="354" spans="6:14" x14ac:dyDescent="0.2">
      <c r="F354" s="141"/>
      <c r="G354" s="141"/>
      <c r="H354" s="141"/>
      <c r="I354" s="141"/>
      <c r="J354" s="141"/>
      <c r="K354" s="141"/>
      <c r="L354" s="141"/>
      <c r="M354" s="141"/>
      <c r="N354" s="141"/>
    </row>
  </sheetData>
  <mergeCells count="7">
    <mergeCell ref="A2:R2"/>
    <mergeCell ref="A308:B308"/>
    <mergeCell ref="A309:B309"/>
    <mergeCell ref="A313:B313"/>
    <mergeCell ref="E16:F16"/>
    <mergeCell ref="B3:E3"/>
    <mergeCell ref="A312:B312"/>
  </mergeCells>
  <phoneticPr fontId="77" type="noConversion"/>
  <dataValidations count="2">
    <dataValidation type="list" allowBlank="1" showInputMessage="1" showErrorMessage="1" sqref="E63">
      <formula1>#REF!</formula1>
    </dataValidation>
    <dataValidation type="list" allowBlank="1" showInputMessage="1" showErrorMessage="1" sqref="E116">
      <formula1>$E$795:$E$884</formula1>
    </dataValidation>
  </dataValidations>
  <hyperlinks>
    <hyperlink ref="B3:E3" location="'COST SUMMARY'!A1" display="CLICK HERE TO GO BACK TO COST SUMMARY"/>
  </hyperlinks>
  <printOptions horizontalCentered="1"/>
  <pageMargins left="0.43307086614173201" right="0.43307086614173201" top="0.39370078740157499" bottom="0.39370078740157499" header="0.196850393700787" footer="0.196850393700787"/>
  <pageSetup paperSize="9" scale="29" orientation="portrait" r:id="rId1"/>
  <headerFooter>
    <oddFooter>&amp;C&amp;P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'HOURLY RATES'!$B$116:$B$126</xm:f>
          </x14:formula1>
          <xm:sqref>J19:J65 J113 J244 J156:J166 J171:J175 J168 J198:J205 J115:J150 J246:J306 J152:J153 J177:J196 J68:J109 J207:J240</xm:sqref>
        </x14:dataValidation>
        <x14:dataValidation type="list" allowBlank="1" showInputMessage="1" showErrorMessage="1">
          <x14:formula1>
            <xm:f>'HOURLY RATES'!$C$6:$C$105</xm:f>
          </x14:formula1>
          <xm:sqref>E21:E32 E60:E62 E54:E57 E47:E51 E34:E36 E39:E44 E65 E117:E121 E208 E270:E282 E115 E284:E306 E123:E132 E247:E268 E68:E76 E78 E80:E87 E90:E92 E94:E109 E134:E150 E158:E165 E172:E175 E179:E182 E240 E184:E196 E199:E205 E210:E227 E229:E238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/>
  </sheetPr>
  <dimension ref="B1:M126"/>
  <sheetViews>
    <sheetView zoomScale="70" zoomScaleNormal="70" workbookViewId="0">
      <selection activeCell="H16" sqref="H16"/>
    </sheetView>
  </sheetViews>
  <sheetFormatPr defaultRowHeight="15" x14ac:dyDescent="0.2"/>
  <cols>
    <col min="2" max="2" width="11.21875" customWidth="1"/>
    <col min="3" max="3" width="33.6640625" customWidth="1"/>
    <col min="4" max="4" width="12.33203125" customWidth="1"/>
  </cols>
  <sheetData>
    <row r="1" spans="2:13" ht="25.5" customHeight="1" x14ac:dyDescent="0.2">
      <c r="B1" s="79" t="s">
        <v>209</v>
      </c>
      <c r="C1" s="80"/>
      <c r="D1" s="80"/>
      <c r="E1" s="80"/>
      <c r="F1" s="80"/>
      <c r="G1" s="80"/>
      <c r="H1" s="80"/>
      <c r="I1" s="81"/>
      <c r="J1" s="82"/>
      <c r="K1" s="82"/>
      <c r="L1" s="82"/>
      <c r="M1" s="83"/>
    </row>
    <row r="2" spans="2:13" ht="16.5" customHeight="1" x14ac:dyDescent="0.2">
      <c r="B2" s="407" t="s">
        <v>204</v>
      </c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9"/>
    </row>
    <row r="3" spans="2:13" ht="18" customHeight="1" thickBot="1" x14ac:dyDescent="0.25">
      <c r="B3" s="410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2"/>
    </row>
    <row r="4" spans="2:13" ht="24.75" customHeight="1" thickBot="1" x14ac:dyDescent="0.25">
      <c r="B4" s="413" t="s">
        <v>275</v>
      </c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5"/>
    </row>
    <row r="5" spans="2:13" ht="16.5" thickBot="1" x14ac:dyDescent="0.3">
      <c r="B5" s="84" t="s">
        <v>202</v>
      </c>
      <c r="C5" s="84" t="s">
        <v>207</v>
      </c>
      <c r="D5" s="84" t="s">
        <v>203</v>
      </c>
    </row>
    <row r="6" spans="2:13" ht="16.5" thickBot="1" x14ac:dyDescent="0.3">
      <c r="B6" s="112" t="s">
        <v>208</v>
      </c>
      <c r="C6" s="112" t="s">
        <v>181</v>
      </c>
      <c r="D6" s="146">
        <v>55</v>
      </c>
      <c r="F6" s="416" t="s">
        <v>248</v>
      </c>
      <c r="G6" s="417"/>
      <c r="H6" s="417"/>
      <c r="I6" s="417"/>
      <c r="J6" s="418"/>
    </row>
    <row r="7" spans="2:13" ht="15.75" x14ac:dyDescent="0.2">
      <c r="B7" s="21" t="s">
        <v>45</v>
      </c>
      <c r="C7" s="112" t="s">
        <v>242</v>
      </c>
      <c r="D7" s="146">
        <v>52.3397654479</v>
      </c>
    </row>
    <row r="8" spans="2:13" ht="15.75" x14ac:dyDescent="0.2">
      <c r="B8" s="21" t="s">
        <v>21</v>
      </c>
      <c r="C8" s="112" t="s">
        <v>243</v>
      </c>
      <c r="D8" s="146">
        <v>39.452196131249998</v>
      </c>
    </row>
    <row r="9" spans="2:13" ht="15.75" x14ac:dyDescent="0.2">
      <c r="B9" s="21" t="s">
        <v>33</v>
      </c>
      <c r="C9" s="112" t="s">
        <v>125</v>
      </c>
      <c r="D9" s="146">
        <v>50.463434233729991</v>
      </c>
    </row>
    <row r="10" spans="2:13" ht="15.75" x14ac:dyDescent="0.2">
      <c r="B10" s="21" t="s">
        <v>38</v>
      </c>
      <c r="C10" s="112" t="s">
        <v>164</v>
      </c>
      <c r="D10" s="146">
        <v>66.116282749999996</v>
      </c>
    </row>
    <row r="11" spans="2:13" ht="15.75" x14ac:dyDescent="0.2">
      <c r="B11" s="21" t="s">
        <v>45</v>
      </c>
      <c r="C11" s="112" t="s">
        <v>140</v>
      </c>
      <c r="D11" s="146">
        <v>65.617838950781248</v>
      </c>
    </row>
    <row r="12" spans="2:13" ht="15.75" x14ac:dyDescent="0.2">
      <c r="B12" s="21" t="s">
        <v>34</v>
      </c>
      <c r="C12" s="112" t="s">
        <v>59</v>
      </c>
      <c r="D12" s="146">
        <v>52.3397654479</v>
      </c>
    </row>
    <row r="13" spans="2:13" ht="15.75" x14ac:dyDescent="0.2">
      <c r="B13" s="21" t="s">
        <v>32</v>
      </c>
      <c r="C13" s="112" t="s">
        <v>127</v>
      </c>
      <c r="D13" s="146">
        <v>52.3397654479</v>
      </c>
    </row>
    <row r="14" spans="2:13" ht="15.75" x14ac:dyDescent="0.2">
      <c r="B14" s="21" t="s">
        <v>21</v>
      </c>
      <c r="C14" s="112" t="s">
        <v>253</v>
      </c>
      <c r="D14" s="146">
        <v>39.452196131249998</v>
      </c>
    </row>
    <row r="15" spans="2:13" ht="15.75" x14ac:dyDescent="0.2">
      <c r="B15" s="21" t="s">
        <v>42</v>
      </c>
      <c r="C15" s="112" t="s">
        <v>238</v>
      </c>
      <c r="D15" s="146">
        <v>59.520692107012508</v>
      </c>
    </row>
    <row r="16" spans="2:13" ht="15.75" x14ac:dyDescent="0.2">
      <c r="B16" s="21" t="s">
        <v>32</v>
      </c>
      <c r="C16" s="112" t="s">
        <v>239</v>
      </c>
      <c r="D16" s="146">
        <v>49.722777175505001</v>
      </c>
    </row>
    <row r="17" spans="2:4" ht="15.75" x14ac:dyDescent="0.2">
      <c r="B17" s="21" t="s">
        <v>32</v>
      </c>
      <c r="C17" s="112" t="s">
        <v>240</v>
      </c>
      <c r="D17" s="146">
        <v>54.621734641258755</v>
      </c>
    </row>
    <row r="18" spans="2:4" ht="15.75" x14ac:dyDescent="0.2">
      <c r="B18" s="21" t="s">
        <v>21</v>
      </c>
      <c r="C18" s="112" t="s">
        <v>254</v>
      </c>
      <c r="D18" s="146">
        <v>27.070846687499998</v>
      </c>
    </row>
    <row r="19" spans="2:4" ht="15.75" x14ac:dyDescent="0.2">
      <c r="B19" s="21" t="s">
        <v>46</v>
      </c>
      <c r="C19" s="112" t="s">
        <v>255</v>
      </c>
      <c r="D19" s="146">
        <v>100.87908323062501</v>
      </c>
    </row>
    <row r="20" spans="2:4" ht="15.75" x14ac:dyDescent="0.2">
      <c r="B20" s="21" t="s">
        <v>120</v>
      </c>
      <c r="C20" s="112" t="s">
        <v>131</v>
      </c>
      <c r="D20" s="146">
        <v>30.137830594374996</v>
      </c>
    </row>
    <row r="21" spans="2:4" ht="15.75" x14ac:dyDescent="0.2">
      <c r="B21" s="21" t="s">
        <v>39</v>
      </c>
      <c r="C21" s="112" t="s">
        <v>216</v>
      </c>
      <c r="D21" s="146">
        <v>47.703551812500002</v>
      </c>
    </row>
    <row r="22" spans="2:4" ht="15.75" x14ac:dyDescent="0.2">
      <c r="B22" s="21" t="s">
        <v>34</v>
      </c>
      <c r="C22" s="112" t="s">
        <v>142</v>
      </c>
      <c r="D22" s="146">
        <v>57.738444654679682</v>
      </c>
    </row>
    <row r="23" spans="2:4" ht="15.75" x14ac:dyDescent="0.2">
      <c r="B23" s="21" t="s">
        <v>26</v>
      </c>
      <c r="C23" s="112" t="s">
        <v>73</v>
      </c>
      <c r="D23" s="146">
        <v>39.452196131249998</v>
      </c>
    </row>
    <row r="24" spans="2:4" ht="15.75" x14ac:dyDescent="0.2">
      <c r="B24" s="21" t="s">
        <v>38</v>
      </c>
      <c r="C24" s="112" t="s">
        <v>212</v>
      </c>
      <c r="D24" s="146">
        <v>24.876326343750002</v>
      </c>
    </row>
    <row r="25" spans="2:4" ht="15.75" x14ac:dyDescent="0.2">
      <c r="B25" s="21" t="s">
        <v>38</v>
      </c>
      <c r="C25" s="112" t="s">
        <v>199</v>
      </c>
      <c r="D25" s="146">
        <v>34.204948722656255</v>
      </c>
    </row>
    <row r="26" spans="2:4" ht="15.75" x14ac:dyDescent="0.2">
      <c r="B26" s="21" t="s">
        <v>46</v>
      </c>
      <c r="C26" s="112" t="s">
        <v>195</v>
      </c>
      <c r="D26" s="146">
        <v>100.87908323062501</v>
      </c>
    </row>
    <row r="27" spans="2:4" ht="15.75" x14ac:dyDescent="0.2">
      <c r="B27" s="21" t="s">
        <v>26</v>
      </c>
      <c r="C27" s="112" t="s">
        <v>138</v>
      </c>
      <c r="D27" s="146">
        <v>52.3397654479</v>
      </c>
    </row>
    <row r="28" spans="2:4" ht="15.75" x14ac:dyDescent="0.2">
      <c r="B28" s="21" t="s">
        <v>21</v>
      </c>
      <c r="C28" s="112" t="s">
        <v>123</v>
      </c>
      <c r="D28" s="146">
        <v>39.452196131249998</v>
      </c>
    </row>
    <row r="29" spans="2:4" ht="15.75" x14ac:dyDescent="0.2">
      <c r="B29" s="21" t="s">
        <v>46</v>
      </c>
      <c r="C29" s="112" t="s">
        <v>124</v>
      </c>
      <c r="D29" s="146">
        <v>100.87908323062501</v>
      </c>
    </row>
    <row r="30" spans="2:4" ht="15.75" x14ac:dyDescent="0.2">
      <c r="B30" s="21" t="s">
        <v>44</v>
      </c>
      <c r="C30" s="112" t="s">
        <v>146</v>
      </c>
      <c r="D30" s="146">
        <v>57.866505900000007</v>
      </c>
    </row>
    <row r="31" spans="2:4" ht="15.75" x14ac:dyDescent="0.2">
      <c r="B31" s="21" t="s">
        <v>128</v>
      </c>
      <c r="C31" s="112" t="s">
        <v>129</v>
      </c>
      <c r="D31" s="146">
        <v>57.866505900000007</v>
      </c>
    </row>
    <row r="32" spans="2:4" ht="15.75" x14ac:dyDescent="0.2">
      <c r="B32" s="21" t="s">
        <v>117</v>
      </c>
      <c r="C32" s="112" t="s">
        <v>244</v>
      </c>
      <c r="D32" s="146">
        <v>112.89225976874999</v>
      </c>
    </row>
    <row r="33" spans="2:4" ht="15.75" x14ac:dyDescent="0.2">
      <c r="B33" s="21" t="s">
        <v>33</v>
      </c>
      <c r="C33" s="112" t="s">
        <v>167</v>
      </c>
      <c r="D33" s="146">
        <v>39.452196131249998</v>
      </c>
    </row>
    <row r="34" spans="2:4" ht="15.75" x14ac:dyDescent="0.2">
      <c r="B34" s="21" t="s">
        <v>46</v>
      </c>
      <c r="C34" s="112" t="s">
        <v>70</v>
      </c>
      <c r="D34" s="146">
        <v>23.480424450000001</v>
      </c>
    </row>
    <row r="35" spans="2:4" ht="15.75" x14ac:dyDescent="0.2">
      <c r="B35" s="21" t="s">
        <v>76</v>
      </c>
      <c r="C35" s="112" t="s">
        <v>196</v>
      </c>
      <c r="D35" s="146">
        <v>47.703551812500002</v>
      </c>
    </row>
    <row r="36" spans="2:4" ht="15.75" x14ac:dyDescent="0.2">
      <c r="B36" s="21" t="s">
        <v>21</v>
      </c>
      <c r="C36" s="112" t="s">
        <v>57</v>
      </c>
      <c r="D36" s="146">
        <v>39.119376616250001</v>
      </c>
    </row>
    <row r="37" spans="2:4" ht="15.75" x14ac:dyDescent="0.2">
      <c r="B37" s="21" t="s">
        <v>45</v>
      </c>
      <c r="C37" s="112" t="s">
        <v>197</v>
      </c>
      <c r="D37" s="146">
        <v>57.573741992690003</v>
      </c>
    </row>
    <row r="38" spans="2:4" ht="15.75" x14ac:dyDescent="0.2">
      <c r="B38" s="21" t="s">
        <v>76</v>
      </c>
      <c r="C38" s="112" t="s">
        <v>218</v>
      </c>
      <c r="D38" s="146">
        <v>54.820506125000001</v>
      </c>
    </row>
    <row r="39" spans="2:4" ht="15.75" x14ac:dyDescent="0.2">
      <c r="B39" s="21" t="s">
        <v>76</v>
      </c>
      <c r="C39" s="112" t="s">
        <v>217</v>
      </c>
      <c r="D39" s="146">
        <v>52.3397654479</v>
      </c>
    </row>
    <row r="40" spans="2:4" ht="15.75" x14ac:dyDescent="0.2">
      <c r="B40" s="21" t="s">
        <v>76</v>
      </c>
      <c r="C40" s="112" t="s">
        <v>229</v>
      </c>
      <c r="D40" s="146">
        <v>53.580135786450001</v>
      </c>
    </row>
    <row r="41" spans="2:4" ht="15.75" x14ac:dyDescent="0.2">
      <c r="B41" s="21" t="s">
        <v>32</v>
      </c>
      <c r="C41" s="112" t="s">
        <v>67</v>
      </c>
      <c r="D41" s="146">
        <v>52.3397654479</v>
      </c>
    </row>
    <row r="42" spans="2:4" ht="15.75" x14ac:dyDescent="0.2">
      <c r="B42" s="21" t="s">
        <v>75</v>
      </c>
      <c r="C42" s="112" t="s">
        <v>256</v>
      </c>
      <c r="D42" s="146">
        <v>63.652695880781245</v>
      </c>
    </row>
    <row r="43" spans="2:4" ht="15.75" x14ac:dyDescent="0.2">
      <c r="B43" s="21" t="s">
        <v>118</v>
      </c>
      <c r="C43" s="112" t="s">
        <v>119</v>
      </c>
      <c r="D43" s="146">
        <v>51.901884517382811</v>
      </c>
    </row>
    <row r="44" spans="2:4" ht="15.75" x14ac:dyDescent="0.2">
      <c r="B44" s="21" t="s">
        <v>45</v>
      </c>
      <c r="C44" s="112" t="s">
        <v>47</v>
      </c>
      <c r="D44" s="146">
        <v>69.340909784374986</v>
      </c>
    </row>
    <row r="45" spans="2:4" ht="15.75" x14ac:dyDescent="0.2">
      <c r="B45" s="21" t="s">
        <v>21</v>
      </c>
      <c r="C45" s="112" t="s">
        <v>58</v>
      </c>
      <c r="D45" s="146">
        <v>29.059931249999998</v>
      </c>
    </row>
    <row r="46" spans="2:4" ht="15.75" x14ac:dyDescent="0.2">
      <c r="B46" s="21" t="s">
        <v>45</v>
      </c>
      <c r="C46" s="112" t="s">
        <v>257</v>
      </c>
      <c r="D46" s="146">
        <v>47.216887461843747</v>
      </c>
    </row>
    <row r="47" spans="2:4" ht="15.75" x14ac:dyDescent="0.2">
      <c r="B47" s="21" t="s">
        <v>75</v>
      </c>
      <c r="C47" s="112" t="s">
        <v>137</v>
      </c>
      <c r="D47" s="146">
        <v>43.805541911249996</v>
      </c>
    </row>
    <row r="48" spans="2:4" ht="15.75" x14ac:dyDescent="0.2">
      <c r="B48" s="21" t="s">
        <v>21</v>
      </c>
      <c r="C48" s="112" t="s">
        <v>136</v>
      </c>
      <c r="D48" s="146">
        <v>39.452196131249998</v>
      </c>
    </row>
    <row r="49" spans="2:4" ht="15.75" x14ac:dyDescent="0.2">
      <c r="B49" s="21" t="s">
        <v>32</v>
      </c>
      <c r="C49" s="112" t="s">
        <v>63</v>
      </c>
      <c r="D49" s="146">
        <v>39.452196131249998</v>
      </c>
    </row>
    <row r="50" spans="2:4" ht="15.75" x14ac:dyDescent="0.2">
      <c r="B50" s="21" t="s">
        <v>32</v>
      </c>
      <c r="C50" s="112" t="s">
        <v>64</v>
      </c>
      <c r="D50" s="146">
        <v>39.452196131249998</v>
      </c>
    </row>
    <row r="51" spans="2:4" ht="15.75" x14ac:dyDescent="0.2">
      <c r="B51" s="21" t="s">
        <v>34</v>
      </c>
      <c r="C51" s="112" t="s">
        <v>35</v>
      </c>
      <c r="D51" s="146">
        <v>29.773850163749998</v>
      </c>
    </row>
    <row r="52" spans="2:4" ht="15.75" x14ac:dyDescent="0.2">
      <c r="B52" s="21" t="s">
        <v>26</v>
      </c>
      <c r="C52" s="112" t="s">
        <v>165</v>
      </c>
      <c r="D52" s="146">
        <v>46.454850771875009</v>
      </c>
    </row>
    <row r="53" spans="2:4" ht="15.75" x14ac:dyDescent="0.2">
      <c r="B53" s="21" t="s">
        <v>38</v>
      </c>
      <c r="C53" s="112" t="s">
        <v>169</v>
      </c>
      <c r="D53" s="146">
        <v>67.769189818749993</v>
      </c>
    </row>
    <row r="54" spans="2:4" ht="15.75" x14ac:dyDescent="0.2">
      <c r="B54" s="21" t="s">
        <v>42</v>
      </c>
      <c r="C54" s="112" t="s">
        <v>55</v>
      </c>
      <c r="D54" s="146">
        <v>39.452196131249998</v>
      </c>
    </row>
    <row r="55" spans="2:4" ht="15.75" x14ac:dyDescent="0.2">
      <c r="B55" s="21" t="s">
        <v>21</v>
      </c>
      <c r="C55" s="112" t="s">
        <v>56</v>
      </c>
      <c r="D55" s="146">
        <v>39.119376616250001</v>
      </c>
    </row>
    <row r="56" spans="2:4" ht="15.75" x14ac:dyDescent="0.2">
      <c r="B56" s="21" t="s">
        <v>45</v>
      </c>
      <c r="C56" s="112" t="s">
        <v>145</v>
      </c>
      <c r="D56" s="146">
        <v>52.3397654479</v>
      </c>
    </row>
    <row r="57" spans="2:4" ht="15.75" x14ac:dyDescent="0.2">
      <c r="B57" s="21" t="s">
        <v>76</v>
      </c>
      <c r="C57" s="112" t="s">
        <v>69</v>
      </c>
      <c r="D57" s="146">
        <v>30.7389495</v>
      </c>
    </row>
    <row r="58" spans="2:4" ht="15.75" x14ac:dyDescent="0.2">
      <c r="B58" s="21" t="s">
        <v>42</v>
      </c>
      <c r="C58" s="112" t="s">
        <v>214</v>
      </c>
      <c r="D58" s="146">
        <v>55.39718353083866</v>
      </c>
    </row>
    <row r="59" spans="2:4" ht="15.75" x14ac:dyDescent="0.2">
      <c r="B59" s="21" t="s">
        <v>76</v>
      </c>
      <c r="C59" s="112" t="s">
        <v>155</v>
      </c>
      <c r="D59" s="146">
        <v>18.443369700000002</v>
      </c>
    </row>
    <row r="60" spans="2:4" ht="15.75" x14ac:dyDescent="0.2">
      <c r="B60" s="21" t="s">
        <v>34</v>
      </c>
      <c r="C60" s="112" t="s">
        <v>215</v>
      </c>
      <c r="D60" s="146">
        <v>52.3397654479</v>
      </c>
    </row>
    <row r="61" spans="2:4" ht="15.75" x14ac:dyDescent="0.2">
      <c r="B61" s="21" t="s">
        <v>74</v>
      </c>
      <c r="C61" s="112" t="s">
        <v>233</v>
      </c>
      <c r="D61" s="146">
        <v>69.507889875000004</v>
      </c>
    </row>
    <row r="62" spans="2:4" ht="15.75" x14ac:dyDescent="0.2">
      <c r="B62" s="21" t="s">
        <v>74</v>
      </c>
      <c r="C62" s="112" t="s">
        <v>232</v>
      </c>
      <c r="D62" s="146">
        <v>76.458678862499994</v>
      </c>
    </row>
    <row r="63" spans="2:4" ht="15.75" x14ac:dyDescent="0.2">
      <c r="B63" s="21" t="s">
        <v>74</v>
      </c>
      <c r="C63" s="112" t="s">
        <v>220</v>
      </c>
      <c r="D63" s="146">
        <v>69.507889875000004</v>
      </c>
    </row>
    <row r="64" spans="2:4" ht="15.75" x14ac:dyDescent="0.2">
      <c r="B64" s="21" t="s">
        <v>43</v>
      </c>
      <c r="C64" s="112" t="s">
        <v>231</v>
      </c>
      <c r="D64" s="146">
        <v>62.899461887499989</v>
      </c>
    </row>
    <row r="65" spans="2:4" ht="15.75" x14ac:dyDescent="0.2">
      <c r="B65" s="21" t="s">
        <v>32</v>
      </c>
      <c r="C65" s="112" t="s">
        <v>141</v>
      </c>
      <c r="D65" s="146">
        <v>52.3397654479</v>
      </c>
    </row>
    <row r="66" spans="2:4" ht="15.75" x14ac:dyDescent="0.2">
      <c r="B66" s="21" t="s">
        <v>75</v>
      </c>
      <c r="C66" s="112" t="s">
        <v>166</v>
      </c>
      <c r="D66" s="146">
        <v>56.180054676899999</v>
      </c>
    </row>
    <row r="67" spans="2:4" ht="15.75" x14ac:dyDescent="0.2">
      <c r="B67" s="21" t="s">
        <v>75</v>
      </c>
      <c r="C67" s="112" t="s">
        <v>234</v>
      </c>
      <c r="D67" s="146">
        <v>59.520692107012508</v>
      </c>
    </row>
    <row r="68" spans="2:4" ht="15.75" x14ac:dyDescent="0.2">
      <c r="B68" s="21" t="s">
        <v>32</v>
      </c>
      <c r="C68" s="112" t="s">
        <v>235</v>
      </c>
      <c r="D68" s="146">
        <v>49.722777175505001</v>
      </c>
    </row>
    <row r="69" spans="2:4" ht="15.75" x14ac:dyDescent="0.2">
      <c r="B69" s="21" t="s">
        <v>32</v>
      </c>
      <c r="C69" s="112" t="s">
        <v>236</v>
      </c>
      <c r="D69" s="146">
        <v>54.621734641258755</v>
      </c>
    </row>
    <row r="70" spans="2:4" ht="15.75" x14ac:dyDescent="0.2">
      <c r="B70" s="21" t="s">
        <v>76</v>
      </c>
      <c r="C70" s="112" t="s">
        <v>65</v>
      </c>
      <c r="D70" s="146">
        <v>47.703551812500002</v>
      </c>
    </row>
    <row r="71" spans="2:4" ht="15.75" x14ac:dyDescent="0.2">
      <c r="B71" s="21" t="s">
        <v>32</v>
      </c>
      <c r="C71" s="112" t="s">
        <v>82</v>
      </c>
      <c r="D71" s="146">
        <v>48.841058519531252</v>
      </c>
    </row>
    <row r="72" spans="2:4" ht="15.75" x14ac:dyDescent="0.2">
      <c r="B72" s="21" t="s">
        <v>46</v>
      </c>
      <c r="C72" s="112" t="s">
        <v>261</v>
      </c>
      <c r="D72" s="146">
        <v>100.87908323062501</v>
      </c>
    </row>
    <row r="73" spans="2:4" ht="15.75" x14ac:dyDescent="0.2">
      <c r="B73" s="21" t="s">
        <v>33</v>
      </c>
      <c r="C73" s="112" t="s">
        <v>211</v>
      </c>
      <c r="D73" s="146">
        <v>51.423897026249996</v>
      </c>
    </row>
    <row r="74" spans="2:4" ht="15.75" x14ac:dyDescent="0.2">
      <c r="B74" s="21" t="s">
        <v>36</v>
      </c>
      <c r="C74" s="112" t="s">
        <v>122</v>
      </c>
      <c r="D74" s="146">
        <v>65.804944878750007</v>
      </c>
    </row>
    <row r="75" spans="2:4" ht="15.75" x14ac:dyDescent="0.2">
      <c r="B75" s="21" t="s">
        <v>115</v>
      </c>
      <c r="C75" s="112" t="s">
        <v>139</v>
      </c>
      <c r="D75" s="146">
        <v>47.703551812500002</v>
      </c>
    </row>
    <row r="76" spans="2:4" ht="15.75" x14ac:dyDescent="0.2">
      <c r="B76" s="21" t="s">
        <v>39</v>
      </c>
      <c r="C76" s="112" t="s">
        <v>210</v>
      </c>
      <c r="D76" s="146">
        <v>47.703551812500002</v>
      </c>
    </row>
    <row r="77" spans="2:4" ht="15.75" x14ac:dyDescent="0.2">
      <c r="B77" s="21" t="s">
        <v>115</v>
      </c>
      <c r="C77" s="112" t="s">
        <v>158</v>
      </c>
      <c r="D77" s="146">
        <v>128.93329758749999</v>
      </c>
    </row>
    <row r="78" spans="2:4" ht="15.75" x14ac:dyDescent="0.2">
      <c r="B78" s="21" t="s">
        <v>32</v>
      </c>
      <c r="C78" s="112" t="s">
        <v>51</v>
      </c>
      <c r="D78" s="146">
        <v>39.452196131249998</v>
      </c>
    </row>
    <row r="79" spans="2:4" ht="15.75" x14ac:dyDescent="0.2">
      <c r="B79" s="21" t="s">
        <v>42</v>
      </c>
      <c r="C79" s="112" t="s">
        <v>54</v>
      </c>
      <c r="D79" s="146">
        <v>30.829358175000003</v>
      </c>
    </row>
    <row r="80" spans="2:4" ht="15.75" x14ac:dyDescent="0.2">
      <c r="B80" s="21" t="s">
        <v>32</v>
      </c>
      <c r="C80" s="112" t="s">
        <v>37</v>
      </c>
      <c r="D80" s="146">
        <v>39.452196131249998</v>
      </c>
    </row>
    <row r="81" spans="2:4" ht="15.75" x14ac:dyDescent="0.2">
      <c r="B81" s="21" t="s">
        <v>46</v>
      </c>
      <c r="C81" s="112" t="s">
        <v>156</v>
      </c>
      <c r="D81" s="146">
        <v>32.469629850000004</v>
      </c>
    </row>
    <row r="82" spans="2:4" ht="15.75" x14ac:dyDescent="0.2">
      <c r="B82" s="21" t="s">
        <v>42</v>
      </c>
      <c r="C82" s="112" t="s">
        <v>53</v>
      </c>
      <c r="D82" s="146">
        <v>38.412385790625002</v>
      </c>
    </row>
    <row r="83" spans="2:4" ht="15.75" x14ac:dyDescent="0.2">
      <c r="B83" s="21" t="s">
        <v>39</v>
      </c>
      <c r="C83" s="112" t="s">
        <v>144</v>
      </c>
      <c r="D83" s="146">
        <v>47.703551812500002</v>
      </c>
    </row>
    <row r="84" spans="2:4" ht="15.75" x14ac:dyDescent="0.2">
      <c r="B84" s="21" t="s">
        <v>44</v>
      </c>
      <c r="C84" s="112" t="s">
        <v>198</v>
      </c>
      <c r="D84" s="146">
        <v>57.866505900000007</v>
      </c>
    </row>
    <row r="85" spans="2:4" ht="15.75" x14ac:dyDescent="0.2">
      <c r="B85" s="21" t="s">
        <v>34</v>
      </c>
      <c r="C85" s="112" t="s">
        <v>200</v>
      </c>
      <c r="D85" s="146">
        <v>52.3397654479</v>
      </c>
    </row>
    <row r="86" spans="2:4" ht="15.75" x14ac:dyDescent="0.2">
      <c r="B86" s="21" t="s">
        <v>21</v>
      </c>
      <c r="C86" s="112" t="s">
        <v>66</v>
      </c>
      <c r="D86" s="146">
        <v>39.119376616250001</v>
      </c>
    </row>
    <row r="87" spans="2:4" ht="15.75" x14ac:dyDescent="0.2">
      <c r="B87" s="21" t="s">
        <v>45</v>
      </c>
      <c r="C87" s="112" t="s">
        <v>143</v>
      </c>
      <c r="D87" s="146">
        <v>54.314850936500001</v>
      </c>
    </row>
    <row r="88" spans="2:4" ht="15.75" x14ac:dyDescent="0.2">
      <c r="B88" s="21" t="s">
        <v>26</v>
      </c>
      <c r="C88" s="112" t="s">
        <v>258</v>
      </c>
      <c r="D88" s="146">
        <v>52.3397654479</v>
      </c>
    </row>
    <row r="89" spans="2:4" ht="15.75" x14ac:dyDescent="0.2">
      <c r="B89" s="21" t="s">
        <v>115</v>
      </c>
      <c r="C89" s="112" t="s">
        <v>116</v>
      </c>
      <c r="D89" s="146">
        <v>65.617838950781248</v>
      </c>
    </row>
    <row r="90" spans="2:4" ht="15.75" x14ac:dyDescent="0.2">
      <c r="B90" s="21" t="s">
        <v>75</v>
      </c>
      <c r="C90" s="112" t="s">
        <v>194</v>
      </c>
      <c r="D90" s="146">
        <v>56.180054676899999</v>
      </c>
    </row>
    <row r="91" spans="2:4" ht="15.75" x14ac:dyDescent="0.2">
      <c r="B91" s="21" t="s">
        <v>32</v>
      </c>
      <c r="C91" s="112" t="s">
        <v>193</v>
      </c>
      <c r="D91" s="146">
        <v>52.3397654479</v>
      </c>
    </row>
    <row r="92" spans="2:4" ht="15.75" x14ac:dyDescent="0.2">
      <c r="B92" s="21" t="s">
        <v>26</v>
      </c>
      <c r="C92" s="112" t="s">
        <v>61</v>
      </c>
      <c r="D92" s="146">
        <v>46.454850771875009</v>
      </c>
    </row>
    <row r="93" spans="2:4" ht="15.75" x14ac:dyDescent="0.2">
      <c r="B93" s="21" t="s">
        <v>75</v>
      </c>
      <c r="C93" s="112" t="s">
        <v>50</v>
      </c>
      <c r="D93" s="146">
        <v>65.617838950781248</v>
      </c>
    </row>
    <row r="94" spans="2:4" ht="15.75" x14ac:dyDescent="0.2">
      <c r="B94" s="21" t="s">
        <v>42</v>
      </c>
      <c r="C94" s="112" t="s">
        <v>219</v>
      </c>
      <c r="D94" s="146">
        <v>38.745424084980456</v>
      </c>
    </row>
    <row r="95" spans="2:4" ht="15.75" x14ac:dyDescent="0.2">
      <c r="B95" s="21" t="s">
        <v>21</v>
      </c>
      <c r="C95" s="112" t="s">
        <v>60</v>
      </c>
      <c r="D95" s="146">
        <v>26.105504906250001</v>
      </c>
    </row>
    <row r="96" spans="2:4" ht="15.75" x14ac:dyDescent="0.2">
      <c r="B96" s="21" t="s">
        <v>45</v>
      </c>
      <c r="C96" s="112" t="s">
        <v>246</v>
      </c>
      <c r="D96" s="146">
        <v>52.3397654479</v>
      </c>
    </row>
    <row r="97" spans="2:4" ht="15.75" x14ac:dyDescent="0.2">
      <c r="B97" s="21" t="s">
        <v>247</v>
      </c>
      <c r="C97" s="112" t="s">
        <v>259</v>
      </c>
      <c r="D97" s="146">
        <v>39.452196131249998</v>
      </c>
    </row>
    <row r="98" spans="2:4" ht="15.75" x14ac:dyDescent="0.2">
      <c r="B98" s="21" t="s">
        <v>32</v>
      </c>
      <c r="C98" s="112" t="s">
        <v>83</v>
      </c>
      <c r="D98" s="146">
        <v>47.614719468750003</v>
      </c>
    </row>
    <row r="99" spans="2:4" ht="15.75" x14ac:dyDescent="0.2">
      <c r="B99" s="21" t="s">
        <v>32</v>
      </c>
      <c r="C99" s="112" t="s">
        <v>72</v>
      </c>
      <c r="D99" s="146">
        <v>40.812616687500004</v>
      </c>
    </row>
    <row r="100" spans="2:4" ht="15.75" x14ac:dyDescent="0.2">
      <c r="B100" s="21" t="s">
        <v>114</v>
      </c>
      <c r="C100" s="112" t="s">
        <v>121</v>
      </c>
      <c r="D100" s="146">
        <v>67.252722153750014</v>
      </c>
    </row>
    <row r="101" spans="2:4" ht="15.75" x14ac:dyDescent="0.2">
      <c r="B101" s="21" t="s">
        <v>21</v>
      </c>
      <c r="C101" s="112" t="s">
        <v>68</v>
      </c>
      <c r="D101" s="146">
        <v>39.119376616250001</v>
      </c>
    </row>
    <row r="102" spans="2:4" ht="15.75" x14ac:dyDescent="0.2">
      <c r="B102" s="21" t="s">
        <v>42</v>
      </c>
      <c r="C102" s="112" t="s">
        <v>237</v>
      </c>
      <c r="D102" s="146">
        <v>69.507889875000004</v>
      </c>
    </row>
    <row r="103" spans="2:4" ht="15.75" x14ac:dyDescent="0.2">
      <c r="B103" s="21" t="s">
        <v>26</v>
      </c>
      <c r="C103" s="112" t="s">
        <v>52</v>
      </c>
      <c r="D103" s="146">
        <v>52.3397654479</v>
      </c>
    </row>
    <row r="104" spans="2:4" ht="15.75" x14ac:dyDescent="0.2">
      <c r="B104" s="21" t="s">
        <v>45</v>
      </c>
      <c r="C104" s="112" t="s">
        <v>241</v>
      </c>
      <c r="D104" s="146">
        <v>52.3397654479</v>
      </c>
    </row>
    <row r="105" spans="2:4" ht="15.75" x14ac:dyDescent="0.25">
      <c r="B105" s="21" t="s">
        <v>205</v>
      </c>
      <c r="C105" s="112" t="s">
        <v>201</v>
      </c>
      <c r="D105" s="147"/>
    </row>
    <row r="106" spans="2:4" ht="15.75" x14ac:dyDescent="0.25">
      <c r="B106" s="21" t="s">
        <v>20</v>
      </c>
      <c r="C106" s="112" t="s">
        <v>201</v>
      </c>
      <c r="D106" s="147"/>
    </row>
    <row r="115" spans="2:3" ht="21" x14ac:dyDescent="0.2">
      <c r="B115" s="18" t="s">
        <v>111</v>
      </c>
      <c r="C115" s="18" t="s">
        <v>110</v>
      </c>
    </row>
    <row r="116" spans="2:3" ht="15.75" x14ac:dyDescent="0.2">
      <c r="B116" s="19" t="s">
        <v>16</v>
      </c>
      <c r="C116" s="20">
        <f>'BASE BID'!D$11</f>
        <v>0</v>
      </c>
    </row>
    <row r="117" spans="2:3" ht="15.75" x14ac:dyDescent="0.2">
      <c r="B117" s="19" t="s">
        <v>19</v>
      </c>
      <c r="C117" s="20">
        <f>'BASE BID'!D$12</f>
        <v>0.05</v>
      </c>
    </row>
    <row r="118" spans="2:3" ht="15.75" x14ac:dyDescent="0.2">
      <c r="B118" s="19" t="s">
        <v>17</v>
      </c>
      <c r="C118" s="20">
        <f>'BASE BID'!D$12</f>
        <v>0.05</v>
      </c>
    </row>
    <row r="119" spans="2:3" ht="15.75" x14ac:dyDescent="0.2">
      <c r="B119" s="19" t="s">
        <v>225</v>
      </c>
      <c r="C119" s="20">
        <f>'BASE BID'!D$12</f>
        <v>0.05</v>
      </c>
    </row>
    <row r="120" spans="2:3" ht="15.75" x14ac:dyDescent="0.2">
      <c r="B120" s="19" t="s">
        <v>112</v>
      </c>
      <c r="C120" s="20">
        <f>'BASE BID'!D$12</f>
        <v>0.05</v>
      </c>
    </row>
    <row r="121" spans="2:3" ht="15.75" x14ac:dyDescent="0.2">
      <c r="B121" s="19" t="s">
        <v>157</v>
      </c>
      <c r="C121" s="20">
        <f>'BASE BID'!D$12</f>
        <v>0.05</v>
      </c>
    </row>
    <row r="122" spans="2:3" ht="15.75" x14ac:dyDescent="0.2">
      <c r="B122" s="19" t="s">
        <v>41</v>
      </c>
      <c r="C122" s="20">
        <f>'BASE BID'!D$12</f>
        <v>0.05</v>
      </c>
    </row>
    <row r="123" spans="2:3" ht="15.75" x14ac:dyDescent="0.2">
      <c r="B123" s="19" t="s">
        <v>18</v>
      </c>
      <c r="C123" s="20">
        <f>'BASE BID'!D$11</f>
        <v>0</v>
      </c>
    </row>
    <row r="124" spans="2:3" ht="15.75" x14ac:dyDescent="0.2">
      <c r="B124" s="19"/>
      <c r="C124" s="19"/>
    </row>
    <row r="125" spans="2:3" ht="15.75" x14ac:dyDescent="0.2">
      <c r="B125" s="19"/>
      <c r="C125" s="19"/>
    </row>
    <row r="126" spans="2:3" ht="15.75" x14ac:dyDescent="0.2">
      <c r="B126" s="19"/>
      <c r="C126" s="19"/>
    </row>
  </sheetData>
  <sortState ref="B8:D104">
    <sortCondition ref="C8:C97"/>
  </sortState>
  <mergeCells count="3">
    <mergeCell ref="B2:M3"/>
    <mergeCell ref="B4:M4"/>
    <mergeCell ref="F6:J6"/>
  </mergeCells>
  <hyperlinks>
    <hyperlink ref="F6:I6" location="'COST SUMMARY'!A1" display="CLICK HERE TO GO BACK TO COST SUMMARY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i = " h t t p : / / w w w . w 3 . o r g / 2 0 0 1 / X M L S c h e m a - i n s t a n c e "   x m l n s : x s d = " h t t p : / / w w w . w 3 . o r g / 2 0 0 1 / X M L S c h e m a " > < T o k e n s / > < / S w i f t T o k e n s > 
</file>

<file path=customXml/itemProps1.xml><?xml version="1.0" encoding="utf-8"?>
<ds:datastoreItem xmlns:ds="http://schemas.openxmlformats.org/officeDocument/2006/customXml" ds:itemID="{A243C8C7-DEAB-4CAD-B0CD-4BBA24E3443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COST SUMMARY</vt:lpstr>
      <vt:lpstr>BASE BID</vt:lpstr>
      <vt:lpstr>HOURLY RATES</vt:lpstr>
      <vt:lpstr>'BASE BID'!Print_Area</vt:lpstr>
      <vt:lpstr>'COST SUMMARY'!Print_Area</vt:lpstr>
      <vt:lpstr>'BASE BID'!Print_Titles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2013-07-08T09:36:48Z</dcterms:created>
  <dcterms:modified xsi:type="dcterms:W3CDTF">2023-10-03T16:23:37Z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{A243C8C7-DEAB-4CAD-B0CD-4BBA24E3443E}</vt:lpwstr>
  </property>
</Properties>
</file>