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6806C8C4-879D-C644-8E49-67279E69F425}" xr6:coauthVersionLast="36" xr6:coauthVersionMax="36" xr10:uidLastSave="{00000000-0000-0000-0000-000000000000}"/>
  <bookViews>
    <workbookView xWindow="0" yWindow="460" windowWidth="24480" windowHeight="17540" xr2:uid="{00000000-000D-0000-FFFF-FFFF00000000}"/>
  </bookViews>
  <sheets>
    <sheet name="Birat BF" sheetId="1" r:id="rId1"/>
    <sheet name="BF bb" sheetId="3" r:id="rId2"/>
    <sheet name="EAF bb" sheetId="4" r:id="rId3"/>
    <sheet name="BF EAF bb" sheetId="5" r:id="rId4"/>
    <sheet name="Reference Values" sheetId="2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G10" i="1"/>
  <c r="C10" i="1" l="1"/>
  <c r="I10" i="1" s="1"/>
  <c r="D10" i="1" l="1"/>
  <c r="G6" i="1"/>
  <c r="G5" i="1"/>
  <c r="D5" i="1"/>
  <c r="E10" i="1"/>
  <c r="O9" i="1" l="1"/>
  <c r="O8" i="1"/>
  <c r="N8" i="1"/>
  <c r="N9" i="1"/>
  <c r="G9" i="1"/>
  <c r="G8" i="1"/>
  <c r="F8" i="1"/>
  <c r="F9" i="1"/>
  <c r="C9" i="1"/>
  <c r="C8" i="1"/>
  <c r="F4" i="1" l="1"/>
  <c r="O7" i="1" l="1"/>
  <c r="C7" i="1"/>
  <c r="E6" i="1" l="1"/>
  <c r="E5" i="1"/>
  <c r="E4" i="1" s="1"/>
  <c r="E7" i="1" l="1"/>
  <c r="E8" i="1"/>
  <c r="E9" i="1"/>
  <c r="B14" i="5"/>
  <c r="B10" i="5"/>
  <c r="B13" i="5"/>
  <c r="B12" i="5"/>
  <c r="B11" i="5"/>
  <c r="I6" i="1"/>
  <c r="H6" i="1"/>
  <c r="G7" i="1"/>
  <c r="D6" i="1"/>
  <c r="I7" i="1" l="1"/>
  <c r="I9" i="1"/>
  <c r="I8" i="1"/>
  <c r="D7" i="1"/>
  <c r="D8" i="1"/>
  <c r="D9" i="1"/>
  <c r="H7" i="1"/>
  <c r="H9" i="1"/>
  <c r="H8" i="1"/>
  <c r="B9" i="5"/>
  <c r="B8" i="5"/>
  <c r="B7" i="5"/>
  <c r="B4" i="5"/>
  <c r="C3" i="3"/>
  <c r="B3" i="3"/>
  <c r="C4" i="4"/>
  <c r="B4" i="4"/>
  <c r="N4" i="1" l="1"/>
  <c r="M4" i="1"/>
  <c r="L4" i="1"/>
  <c r="K4" i="1"/>
  <c r="D4" i="1"/>
  <c r="C4" i="1"/>
  <c r="I5" i="1"/>
  <c r="I4" i="1" s="1"/>
  <c r="H5" i="1"/>
  <c r="H4" i="1" s="1"/>
  <c r="G4" i="1"/>
  <c r="B19" i="2"/>
  <c r="C6" i="2" s="1"/>
  <c r="B18" i="2"/>
  <c r="B10" i="2"/>
  <c r="C10" i="2" l="1"/>
  <c r="B6" i="1"/>
  <c r="B5" i="1"/>
  <c r="B4" i="1" s="1"/>
  <c r="C7" i="2"/>
  <c r="C4" i="2"/>
  <c r="C8" i="2"/>
  <c r="C11" i="2"/>
  <c r="C5" i="2"/>
  <c r="C9" i="2"/>
  <c r="C12" i="2"/>
  <c r="B7" i="1" l="1"/>
  <c r="B8" i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 Birat 2010 the ratio of CO2 from limestone to CaCO3 is 0.373, instead of 0.44 (full oxidation). Therefore, it was assumed that there was a portion left non-reacted and exited via slag</t>
        </r>
      </text>
    </comment>
    <comment ref="B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total electricity minus that estimated required for CO2 capture/compression, based on other numbers in the paper. (t CO2 out/cap eff)*[kWh/t CO2] And converted from kWh to GJ.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Additional electricity used for oxygen seperation.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 this scenario, the natural gas used for heat is assumed to be used entirely for </t>
        </r>
      </text>
    </comment>
    <comment ref="B10" authorId="1" shapeId="0" xr:uid="{00000000-0006-0000-0000-000003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natural gas import to power plant * power plant efficiency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<sst xmlns="http://schemas.openxmlformats.org/spreadsheetml/2006/main" count="135" uniqueCount="89">
  <si>
    <t>scenario</t>
  </si>
  <si>
    <t>meta-unit</t>
  </si>
  <si>
    <t>meta-notes</t>
  </si>
  <si>
    <t>scrap use</t>
  </si>
  <si>
    <t>sinter cofire rate</t>
  </si>
  <si>
    <t>BF cofire rate</t>
  </si>
  <si>
    <t>CaCO3 demand</t>
  </si>
  <si>
    <t>biofuel type</t>
  </si>
  <si>
    <t>GJ / t HRC</t>
  </si>
  <si>
    <t>t scrap / t HRC</t>
  </si>
  <si>
    <t>t CaCO3 / t fresh steel</t>
  </si>
  <si>
    <t>default</t>
  </si>
  <si>
    <t>electricity import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</si>
  <si>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</si>
  <si>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</si>
  <si>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</si>
  <si>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</si>
  <si>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</si>
  <si>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</si>
  <si>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</si>
  <si>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</si>
  <si>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</si>
  <si>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</si>
  <si>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</si>
  <si>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</si>
  <si>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</si>
  <si>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</si>
  <si>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</si>
  <si>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</si>
  <si>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</si>
  <si>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</si>
  <si>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charcoal</t>
  </si>
  <si>
    <t>EU-BAT-minimum</t>
  </si>
  <si>
    <t>EU-BAT-median</t>
  </si>
  <si>
    <t>meta-units</t>
  </si>
  <si>
    <t>meta-scenario notes</t>
  </si>
  <si>
    <t>Process CO2</t>
  </si>
  <si>
    <t>Scenario</t>
  </si>
  <si>
    <t>t CO2 / t steel</t>
  </si>
  <si>
    <t>GJ Electricity / t steel</t>
  </si>
  <si>
    <t>EUROFER 2010</t>
  </si>
  <si>
    <t>Electricity Import</t>
  </si>
  <si>
    <t>EUROFER 1990</t>
  </si>
  <si>
    <t>EUFOFER 2030_Max-No CCS</t>
  </si>
  <si>
    <t>EUFOFER 2030_Base</t>
  </si>
  <si>
    <t>EUFOFER 2030_Max-CCS</t>
  </si>
  <si>
    <t>natural gas</t>
  </si>
  <si>
    <t>GJ/t steel</t>
  </si>
  <si>
    <t>EUFOFER 2050_Base</t>
  </si>
  <si>
    <t>EUFOFER 2050_Max-No CCS</t>
  </si>
  <si>
    <t>EUFOFER 2050_Max-CCS</t>
  </si>
  <si>
    <t>EUROFER 2030_Economic</t>
  </si>
  <si>
    <t>EUROFER 2050_Economic</t>
  </si>
  <si>
    <t>IEAGHG 2013</t>
  </si>
  <si>
    <t>IEAGHG 2013_EOP-L1</t>
  </si>
  <si>
    <t>IEAGHG 2013_EOP-L2</t>
  </si>
  <si>
    <t>IEAGHG 2013_OBF</t>
  </si>
  <si>
    <t>C in CaCO3 to slag</t>
  </si>
  <si>
    <t>%</t>
  </si>
  <si>
    <t>birat-tgr-63vpsa</t>
  </si>
  <si>
    <t>birat-tgr-63vpsa-50bio</t>
  </si>
  <si>
    <t>birat-base</t>
  </si>
  <si>
    <t>secondary fuel type</t>
  </si>
  <si>
    <t>fossil fuel type</t>
  </si>
  <si>
    <t>t fossil fuel / t fresh steel</t>
  </si>
  <si>
    <t>coal</t>
  </si>
  <si>
    <t>Sinter Plant Fuel Demand</t>
  </si>
  <si>
    <t>Coke Oven Fuel Demand</t>
  </si>
  <si>
    <t>BF Fuel Demand</t>
  </si>
  <si>
    <t>coke oven cofire rate</t>
  </si>
  <si>
    <t>birat-tgr-63vpsa-100bio</t>
  </si>
  <si>
    <t>birat-tgr-100vpsa-100bio</t>
  </si>
  <si>
    <t>other energy use</t>
  </si>
  <si>
    <t>coking coal</t>
  </si>
  <si>
    <t>% calcination CO2 
not emitted</t>
  </si>
  <si>
    <t>fresh steel is 1 – scrap %</t>
  </si>
  <si>
    <t>ieaghg-reference</t>
  </si>
  <si>
    <t>none</t>
  </si>
  <si>
    <t>global-BF-base</t>
  </si>
  <si>
    <t>China-BF-base</t>
  </si>
  <si>
    <t>EU-BF-base</t>
  </si>
  <si>
    <t>India-BF-base</t>
  </si>
  <si>
    <t>Japan-BF-base</t>
  </si>
  <si>
    <t>Russia-BF-base</t>
  </si>
  <si>
    <t>SouthKorea-BF-base</t>
  </si>
  <si>
    <t>USA-BF-base</t>
  </si>
  <si>
    <t>fueltype</t>
  </si>
  <si>
    <t>t BF fuel/t fresh steel</t>
  </si>
  <si>
    <t>PCI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</si>
</sst>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1" applyFont="1"/>
    <xf numFmtId="0" fontId="1" fillId="0" borderId="0" xfId="1"/>
    <xf numFmtId="0" fontId="1" fillId="0" borderId="1" xfId="1" applyBorder="1"/>
    <xf numFmtId="0" fontId="2" fillId="0" borderId="2" xfId="1" applyFont="1" applyBorder="1"/>
    <xf numFmtId="0" fontId="2" fillId="0" borderId="3" xfId="1" applyFont="1" applyBorder="1"/>
    <xf numFmtId="0" fontId="1" fillId="0" borderId="4" xfId="1" applyBorder="1"/>
    <xf numFmtId="2" fontId="1" fillId="0" borderId="0" xfId="1" applyNumberFormat="1" applyBorder="1"/>
    <xf numFmtId="164" fontId="1" fillId="0" borderId="5" xfId="1" applyNumberFormat="1" applyBorder="1" applyAlignment="1">
      <alignment horizontal="right"/>
    </xf>
    <xf numFmtId="0" fontId="1" fillId="0" borderId="6" xfId="1" applyBorder="1"/>
    <xf numFmtId="2" fontId="1" fillId="0" borderId="7" xfId="1" applyNumberFormat="1" applyBorder="1"/>
    <xf numFmtId="2" fontId="1" fillId="0" borderId="8" xfId="1" applyNumberFormat="1" applyBorder="1"/>
    <xf numFmtId="2" fontId="1" fillId="0" borderId="0" xfId="1" applyNumberFormat="1"/>
    <xf numFmtId="2" fontId="2" fillId="0" borderId="3" xfId="1" applyNumberFormat="1" applyFont="1" applyBorder="1"/>
    <xf numFmtId="2" fontId="2" fillId="0" borderId="0" xfId="1" applyNumberFormat="1" applyFont="1" applyBorder="1"/>
    <xf numFmtId="2" fontId="1" fillId="0" borderId="5" xfId="1" applyNumberFormat="1" applyBorder="1"/>
    <xf numFmtId="165" fontId="1" fillId="0" borderId="5" xfId="1" applyNumberForma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66" fontId="0" fillId="0" borderId="0" xfId="0" applyNumberFormat="1" applyAlignment="1">
      <alignment horizontal="right"/>
    </xf>
    <xf numFmtId="9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2" applyNumberFormat="1" applyFon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7" sqref="J17"/>
    </sheetView>
  </sheetViews>
  <sheetFormatPr baseColWidth="10" defaultColWidth="8.83203125" defaultRowHeight="15" x14ac:dyDescent="0.2"/>
  <cols>
    <col min="1" max="1" width="20.83203125" bestFit="1" customWidth="1"/>
    <col min="2" max="2" width="17.83203125" bestFit="1" customWidth="1"/>
    <col min="3" max="3" width="13.33203125" bestFit="1" customWidth="1"/>
    <col min="4" max="4" width="19.5" bestFit="1" customWidth="1"/>
    <col min="5" max="5" width="16.1640625" customWidth="1"/>
    <col min="6" max="6" width="13.83203125" customWidth="1"/>
    <col min="7" max="7" width="20.83203125" bestFit="1" customWidth="1"/>
    <col min="8" max="8" width="20" bestFit="1" customWidth="1"/>
    <col min="9" max="9" width="19.5" bestFit="1" customWidth="1"/>
    <col min="10" max="10" width="19.5" customWidth="1"/>
    <col min="11" max="11" width="15.83203125" bestFit="1" customWidth="1"/>
    <col min="12" max="12" width="14.83203125" bestFit="1" customWidth="1"/>
    <col min="13" max="13" width="12.6640625" bestFit="1" customWidth="1"/>
  </cols>
  <sheetData>
    <row r="1" spans="1:16" s="1" customFormat="1" x14ac:dyDescent="0.2">
      <c r="A1" s="1" t="s">
        <v>0</v>
      </c>
      <c r="B1" s="1" t="s">
        <v>12</v>
      </c>
      <c r="C1" s="1" t="s">
        <v>3</v>
      </c>
      <c r="D1" s="1" t="s">
        <v>6</v>
      </c>
      <c r="E1" s="1" t="s">
        <v>57</v>
      </c>
      <c r="F1" s="1" t="s">
        <v>63</v>
      </c>
      <c r="G1" s="1" t="s">
        <v>66</v>
      </c>
      <c r="H1" s="1" t="s">
        <v>67</v>
      </c>
      <c r="I1" s="1" t="s">
        <v>68</v>
      </c>
      <c r="J1" s="1" t="s">
        <v>86</v>
      </c>
      <c r="K1" s="1" t="s">
        <v>4</v>
      </c>
      <c r="L1" s="1" t="s">
        <v>69</v>
      </c>
      <c r="M1" s="1" t="s">
        <v>5</v>
      </c>
      <c r="N1" s="1" t="s">
        <v>7</v>
      </c>
      <c r="O1" s="1" t="s">
        <v>72</v>
      </c>
      <c r="P1" s="1" t="s">
        <v>62</v>
      </c>
    </row>
    <row r="2" spans="1:16" ht="32" x14ac:dyDescent="0.2">
      <c r="A2" t="s">
        <v>1</v>
      </c>
      <c r="B2" t="s">
        <v>8</v>
      </c>
      <c r="C2" t="s">
        <v>9</v>
      </c>
      <c r="D2" t="s">
        <v>10</v>
      </c>
      <c r="E2" s="24" t="s">
        <v>74</v>
      </c>
      <c r="G2" t="s">
        <v>64</v>
      </c>
      <c r="H2" t="s">
        <v>64</v>
      </c>
      <c r="I2" t="s">
        <v>64</v>
      </c>
      <c r="J2" t="s">
        <v>87</v>
      </c>
      <c r="K2" t="s">
        <v>58</v>
      </c>
      <c r="L2" t="s">
        <v>58</v>
      </c>
      <c r="M2" t="s">
        <v>58</v>
      </c>
      <c r="O2" t="s">
        <v>47</v>
      </c>
    </row>
    <row r="3" spans="1:16" x14ac:dyDescent="0.2">
      <c r="A3" t="s">
        <v>2</v>
      </c>
      <c r="D3" t="s">
        <v>75</v>
      </c>
      <c r="G3" t="s">
        <v>75</v>
      </c>
      <c r="H3" t="s">
        <v>75</v>
      </c>
      <c r="I3" t="s">
        <v>75</v>
      </c>
    </row>
    <row r="4" spans="1:16" x14ac:dyDescent="0.2">
      <c r="A4" t="s">
        <v>11</v>
      </c>
      <c r="B4">
        <f>B5</f>
        <v>0.25919999999999999</v>
      </c>
      <c r="C4">
        <f t="shared" ref="C4:N4" si="0">C5</f>
        <v>0.13800000000000001</v>
      </c>
      <c r="D4" s="23">
        <f t="shared" si="0"/>
        <v>0.28074245939675174</v>
      </c>
      <c r="E4" s="21">
        <f t="shared" si="0"/>
        <v>0.15909090909090906</v>
      </c>
      <c r="F4" s="21" t="str">
        <f t="shared" si="0"/>
        <v>coal</v>
      </c>
      <c r="G4" s="23">
        <f t="shared" si="0"/>
        <v>1.3921113689095129E-2</v>
      </c>
      <c r="H4" s="23">
        <f t="shared" si="0"/>
        <v>0.44315545243619492</v>
      </c>
      <c r="I4" s="23">
        <f t="shared" si="0"/>
        <v>0.21693735498839908</v>
      </c>
      <c r="J4" s="23" t="s">
        <v>88</v>
      </c>
      <c r="K4">
        <f t="shared" si="0"/>
        <v>0</v>
      </c>
      <c r="L4">
        <f t="shared" si="0"/>
        <v>0</v>
      </c>
      <c r="M4">
        <f t="shared" si="0"/>
        <v>0</v>
      </c>
      <c r="N4" t="str">
        <f t="shared" si="0"/>
        <v>charcoal</v>
      </c>
      <c r="O4">
        <v>0</v>
      </c>
      <c r="P4" t="s">
        <v>46</v>
      </c>
    </row>
    <row r="5" spans="1:16" x14ac:dyDescent="0.2">
      <c r="A5" t="s">
        <v>61</v>
      </c>
      <c r="B5">
        <f>72*'Reference Values'!$B$18</f>
        <v>0.25919999999999999</v>
      </c>
      <c r="C5">
        <v>0.13800000000000001</v>
      </c>
      <c r="D5" s="23">
        <f>(0.109+0.133)/(1-C5)</f>
        <v>0.28074245939675174</v>
      </c>
      <c r="E5" s="21">
        <f>1-(37/44)</f>
        <v>0.15909090909090906</v>
      </c>
      <c r="F5" s="21" t="s">
        <v>65</v>
      </c>
      <c r="G5" s="23">
        <f>0.012/(1-C5)</f>
        <v>1.3921113689095129E-2</v>
      </c>
      <c r="H5" s="23">
        <f>382/(1000-138)</f>
        <v>0.44315545243619492</v>
      </c>
      <c r="I5" s="23">
        <f>187/(1000-138)</f>
        <v>0.21693735498839908</v>
      </c>
      <c r="J5" s="23" t="s">
        <v>88</v>
      </c>
      <c r="K5">
        <v>0</v>
      </c>
      <c r="L5">
        <v>0</v>
      </c>
      <c r="M5">
        <v>0</v>
      </c>
      <c r="N5" t="s">
        <v>31</v>
      </c>
      <c r="O5">
        <v>0</v>
      </c>
      <c r="P5" t="s">
        <v>46</v>
      </c>
    </row>
    <row r="6" spans="1:16" x14ac:dyDescent="0.2">
      <c r="A6" t="s">
        <v>59</v>
      </c>
      <c r="B6">
        <f>(586-(0.812/0.8)*310)*'Reference Values'!$B$18</f>
        <v>0.97686000000000006</v>
      </c>
      <c r="C6">
        <v>0.13800000000000001</v>
      </c>
      <c r="D6" s="23">
        <f>(109+133)/(1000-138)</f>
        <v>0.28074245939675174</v>
      </c>
      <c r="E6" s="21">
        <f>1-(37/44)</f>
        <v>0.15909090909090906</v>
      </c>
      <c r="F6" s="21" t="s">
        <v>65</v>
      </c>
      <c r="G6" s="23">
        <f>0.024/(1-C6)</f>
        <v>2.7842227378190258E-2</v>
      </c>
      <c r="H6" s="23">
        <f>258/(1000-138)</f>
        <v>0.29930394431554525</v>
      </c>
      <c r="I6" s="23">
        <f>144/(1000-138)</f>
        <v>0.16705336426914152</v>
      </c>
      <c r="J6" s="23" t="s">
        <v>88</v>
      </c>
      <c r="K6">
        <v>0</v>
      </c>
      <c r="L6">
        <v>0</v>
      </c>
      <c r="M6">
        <v>0</v>
      </c>
      <c r="N6" t="s">
        <v>31</v>
      </c>
      <c r="O6">
        <v>1.7</v>
      </c>
      <c r="P6" t="s">
        <v>46</v>
      </c>
    </row>
    <row r="7" spans="1:16" x14ac:dyDescent="0.2">
      <c r="A7" t="s">
        <v>60</v>
      </c>
      <c r="B7">
        <f t="shared" ref="B7:I7" si="1">B6</f>
        <v>0.97686000000000006</v>
      </c>
      <c r="C7">
        <f t="shared" si="1"/>
        <v>0.13800000000000001</v>
      </c>
      <c r="D7" s="23">
        <f t="shared" si="1"/>
        <v>0.28074245939675174</v>
      </c>
      <c r="E7" s="23">
        <f t="shared" si="1"/>
        <v>0.15909090909090906</v>
      </c>
      <c r="F7" s="21" t="s">
        <v>65</v>
      </c>
      <c r="G7" s="23">
        <f t="shared" si="1"/>
        <v>2.7842227378190258E-2</v>
      </c>
      <c r="H7" s="23">
        <f t="shared" si="1"/>
        <v>0.29930394431554525</v>
      </c>
      <c r="I7" s="23">
        <f t="shared" si="1"/>
        <v>0.16705336426914152</v>
      </c>
      <c r="J7" s="23" t="s">
        <v>88</v>
      </c>
      <c r="K7" s="22">
        <v>0.5</v>
      </c>
      <c r="L7" s="22">
        <v>0.5</v>
      </c>
      <c r="M7" s="22">
        <v>0.5</v>
      </c>
      <c r="N7" t="s">
        <v>31</v>
      </c>
      <c r="O7">
        <f>O6</f>
        <v>1.7</v>
      </c>
      <c r="P7" t="s">
        <v>46</v>
      </c>
    </row>
    <row r="8" spans="1:16" x14ac:dyDescent="0.2">
      <c r="A8" t="s">
        <v>70</v>
      </c>
      <c r="B8">
        <f t="shared" ref="B8:I9" si="2">B$6</f>
        <v>0.97686000000000006</v>
      </c>
      <c r="C8">
        <f t="shared" si="2"/>
        <v>0.13800000000000001</v>
      </c>
      <c r="D8" s="23">
        <f t="shared" si="2"/>
        <v>0.28074245939675174</v>
      </c>
      <c r="E8" s="23">
        <f t="shared" si="2"/>
        <v>0.15909090909090906</v>
      </c>
      <c r="F8" s="25" t="str">
        <f t="shared" si="2"/>
        <v>coal</v>
      </c>
      <c r="G8" s="23">
        <f t="shared" si="2"/>
        <v>2.7842227378190258E-2</v>
      </c>
      <c r="H8" s="23">
        <f t="shared" si="2"/>
        <v>0.29930394431554525</v>
      </c>
      <c r="I8" s="23">
        <f t="shared" si="2"/>
        <v>0.16705336426914152</v>
      </c>
      <c r="J8" s="23" t="s">
        <v>88</v>
      </c>
      <c r="K8" s="22">
        <v>1</v>
      </c>
      <c r="L8" s="22">
        <v>1</v>
      </c>
      <c r="M8" s="22">
        <v>1</v>
      </c>
      <c r="N8" t="str">
        <f t="shared" ref="N8:O9" si="3">N$6</f>
        <v>charcoal</v>
      </c>
      <c r="O8">
        <f t="shared" si="3"/>
        <v>1.7</v>
      </c>
      <c r="P8" t="s">
        <v>31</v>
      </c>
    </row>
    <row r="9" spans="1:16" x14ac:dyDescent="0.2">
      <c r="A9" t="s">
        <v>71</v>
      </c>
      <c r="B9">
        <f t="shared" si="2"/>
        <v>0.97686000000000006</v>
      </c>
      <c r="C9">
        <f t="shared" si="2"/>
        <v>0.13800000000000001</v>
      </c>
      <c r="D9" s="23">
        <f t="shared" si="2"/>
        <v>0.28074245939675174</v>
      </c>
      <c r="E9" s="23">
        <f t="shared" si="2"/>
        <v>0.15909090909090906</v>
      </c>
      <c r="F9" s="25" t="str">
        <f t="shared" si="2"/>
        <v>coal</v>
      </c>
      <c r="G9" s="23">
        <f t="shared" si="2"/>
        <v>2.7842227378190258E-2</v>
      </c>
      <c r="H9" s="23">
        <f t="shared" si="2"/>
        <v>0.29930394431554525</v>
      </c>
      <c r="I9" s="23">
        <f t="shared" si="2"/>
        <v>0.16705336426914152</v>
      </c>
      <c r="J9" s="23" t="s">
        <v>88</v>
      </c>
      <c r="K9" s="22">
        <v>1</v>
      </c>
      <c r="L9" s="22">
        <v>1</v>
      </c>
      <c r="M9" s="22">
        <v>1</v>
      </c>
      <c r="N9" t="str">
        <f t="shared" si="3"/>
        <v>charcoal</v>
      </c>
      <c r="O9">
        <f t="shared" si="3"/>
        <v>1.7</v>
      </c>
      <c r="P9" t="s">
        <v>31</v>
      </c>
    </row>
    <row r="10" spans="1:16" x14ac:dyDescent="0.2">
      <c r="A10" t="s">
        <v>76</v>
      </c>
      <c r="B10">
        <v>0</v>
      </c>
      <c r="C10" s="23">
        <f>0.1169+0.0731</f>
        <v>0.19</v>
      </c>
      <c r="D10" s="23">
        <f>0.305/(1-C10)</f>
        <v>0.37654320987654316</v>
      </c>
      <c r="E10" s="23">
        <f>3/42.6</f>
        <v>7.0422535211267609E-2</v>
      </c>
      <c r="F10" s="21" t="s">
        <v>73</v>
      </c>
      <c r="G10" s="23">
        <f>0</f>
        <v>0</v>
      </c>
      <c r="H10" s="23">
        <f>0.478342726/(1-C10)</f>
        <v>0.59054657530864196</v>
      </c>
      <c r="I10" s="23">
        <f>0.1376816/(1-C10)</f>
        <v>0.16997728395061726</v>
      </c>
      <c r="J10" s="23" t="s">
        <v>88</v>
      </c>
      <c r="K10" s="22">
        <v>0</v>
      </c>
      <c r="L10" s="22">
        <v>0</v>
      </c>
      <c r="M10" s="22">
        <v>0</v>
      </c>
      <c r="N10" t="s">
        <v>77</v>
      </c>
      <c r="O10" s="26">
        <v>0</v>
      </c>
      <c r="P10" t="s">
        <v>77</v>
      </c>
    </row>
    <row r="11" spans="1:16" x14ac:dyDescent="0.2">
      <c r="A11" t="s">
        <v>78</v>
      </c>
      <c r="F11" s="21"/>
    </row>
    <row r="12" spans="1:16" x14ac:dyDescent="0.2">
      <c r="A12" t="s">
        <v>79</v>
      </c>
    </row>
    <row r="13" spans="1:16" x14ac:dyDescent="0.2">
      <c r="A13" t="s">
        <v>80</v>
      </c>
    </row>
    <row r="14" spans="1:16" x14ac:dyDescent="0.2">
      <c r="A14" t="s">
        <v>81</v>
      </c>
    </row>
    <row r="15" spans="1:16" x14ac:dyDescent="0.2">
      <c r="A15" t="s">
        <v>82</v>
      </c>
    </row>
    <row r="16" spans="1:16" x14ac:dyDescent="0.2">
      <c r="A16" t="s">
        <v>83</v>
      </c>
    </row>
    <row r="17" spans="1:1" x14ac:dyDescent="0.2">
      <c r="A17" t="s">
        <v>84</v>
      </c>
    </row>
    <row r="18" spans="1:1" x14ac:dyDescent="0.2">
      <c r="A18" t="s">
        <v>85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3.5" bestFit="1" customWidth="1"/>
    <col min="2" max="2" width="13.1640625" bestFit="1" customWidth="1"/>
    <col min="3" max="3" width="19.6640625" bestFit="1" customWidth="1"/>
  </cols>
  <sheetData>
    <row r="1" spans="1:4" x14ac:dyDescent="0.2">
      <c r="A1" s="20" t="s">
        <v>37</v>
      </c>
      <c r="B1" s="1" t="s">
        <v>36</v>
      </c>
      <c r="C1" s="1" t="s">
        <v>41</v>
      </c>
      <c r="D1" s="1" t="s">
        <v>35</v>
      </c>
    </row>
    <row r="2" spans="1:4" x14ac:dyDescent="0.2">
      <c r="A2" s="19" t="s">
        <v>34</v>
      </c>
      <c r="B2" t="s">
        <v>38</v>
      </c>
      <c r="C2" t="s">
        <v>39</v>
      </c>
    </row>
    <row r="3" spans="1:4" x14ac:dyDescent="0.2">
      <c r="A3" s="19" t="s">
        <v>11</v>
      </c>
      <c r="B3">
        <f>B4</f>
        <v>1.8879999999999999</v>
      </c>
      <c r="C3">
        <f>C4</f>
        <v>0</v>
      </c>
    </row>
    <row r="4" spans="1:4" x14ac:dyDescent="0.2">
      <c r="A4" t="s">
        <v>40</v>
      </c>
      <c r="B4">
        <v>1.8879999999999999</v>
      </c>
      <c r="C4">
        <v>0</v>
      </c>
    </row>
    <row r="5" spans="1:4" x14ac:dyDescent="0.2">
      <c r="A5" t="s">
        <v>42</v>
      </c>
      <c r="B5">
        <v>1.968</v>
      </c>
      <c r="C5">
        <v>0</v>
      </c>
    </row>
    <row r="6" spans="1:4" x14ac:dyDescent="0.2">
      <c r="A6" t="s">
        <v>53</v>
      </c>
      <c r="B6">
        <v>2.0939999999999999</v>
      </c>
      <c r="C6">
        <v>0</v>
      </c>
    </row>
    <row r="7" spans="1:4" x14ac:dyDescent="0.2">
      <c r="A7" t="s">
        <v>54</v>
      </c>
      <c r="B7">
        <v>1.046</v>
      </c>
      <c r="C7">
        <v>0</v>
      </c>
    </row>
    <row r="8" spans="1:4" x14ac:dyDescent="0.2">
      <c r="A8" t="s">
        <v>55</v>
      </c>
      <c r="B8">
        <v>0.83140000000000003</v>
      </c>
      <c r="C8">
        <v>0</v>
      </c>
    </row>
    <row r="9" spans="1:4" x14ac:dyDescent="0.2">
      <c r="A9" t="s">
        <v>56</v>
      </c>
      <c r="B9">
        <v>1.119</v>
      </c>
      <c r="C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6.83203125" bestFit="1" customWidth="1"/>
    <col min="2" max="2" width="13.1640625" bestFit="1" customWidth="1"/>
    <col min="3" max="3" width="29.1640625" bestFit="1" customWidth="1"/>
  </cols>
  <sheetData>
    <row r="1" spans="1:4" x14ac:dyDescent="0.2">
      <c r="A1" s="20" t="s">
        <v>37</v>
      </c>
      <c r="B1" s="1" t="s">
        <v>36</v>
      </c>
      <c r="C1" s="1" t="s">
        <v>41</v>
      </c>
      <c r="D1" s="1" t="s">
        <v>35</v>
      </c>
    </row>
    <row r="2" spans="1:4" x14ac:dyDescent="0.2">
      <c r="A2" s="19" t="s">
        <v>34</v>
      </c>
      <c r="B2" t="s">
        <v>38</v>
      </c>
      <c r="C2" t="s">
        <v>39</v>
      </c>
    </row>
    <row r="3" spans="1:4" x14ac:dyDescent="0.2">
      <c r="A3" s="19" t="s">
        <v>2</v>
      </c>
    </row>
    <row r="4" spans="1:4" x14ac:dyDescent="0.2">
      <c r="A4" s="18" t="s">
        <v>11</v>
      </c>
      <c r="B4">
        <f>B8</f>
        <v>0.66700000000000004</v>
      </c>
      <c r="C4">
        <f>C8</f>
        <v>0</v>
      </c>
    </row>
    <row r="5" spans="1:4" x14ac:dyDescent="0.2">
      <c r="A5" t="s">
        <v>33</v>
      </c>
      <c r="B5">
        <v>0.12</v>
      </c>
      <c r="C5">
        <v>1.98</v>
      </c>
    </row>
    <row r="6" spans="1:4" x14ac:dyDescent="0.2">
      <c r="A6" t="s">
        <v>32</v>
      </c>
      <c r="B6">
        <v>7.0000000000000007E-2</v>
      </c>
      <c r="C6">
        <v>1.44</v>
      </c>
    </row>
    <row r="7" spans="1:4" x14ac:dyDescent="0.2">
      <c r="A7" t="s">
        <v>40</v>
      </c>
      <c r="B7">
        <v>0.45500000000000002</v>
      </c>
      <c r="C7">
        <v>0</v>
      </c>
    </row>
    <row r="8" spans="1:4" x14ac:dyDescent="0.2">
      <c r="A8" t="s">
        <v>42</v>
      </c>
      <c r="B8">
        <v>0.66700000000000004</v>
      </c>
      <c r="C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C36" sqref="C36"/>
    </sheetView>
  </sheetViews>
  <sheetFormatPr baseColWidth="10" defaultColWidth="8.83203125" defaultRowHeight="15" x14ac:dyDescent="0.2"/>
  <cols>
    <col min="1" max="1" width="25.5" bestFit="1" customWidth="1"/>
    <col min="2" max="2" width="13.1640625" bestFit="1" customWidth="1"/>
    <col min="3" max="3" width="29.1640625" bestFit="1" customWidth="1"/>
  </cols>
  <sheetData>
    <row r="1" spans="1:4" x14ac:dyDescent="0.2">
      <c r="A1" s="20" t="s">
        <v>37</v>
      </c>
      <c r="B1" s="1" t="s">
        <v>36</v>
      </c>
      <c r="C1" s="1" t="s">
        <v>41</v>
      </c>
      <c r="D1" s="1" t="s">
        <v>35</v>
      </c>
    </row>
    <row r="2" spans="1:4" x14ac:dyDescent="0.2">
      <c r="A2" s="19" t="s">
        <v>34</v>
      </c>
      <c r="B2" t="s">
        <v>38</v>
      </c>
      <c r="C2" t="s">
        <v>39</v>
      </c>
    </row>
    <row r="3" spans="1:4" x14ac:dyDescent="0.2">
      <c r="A3" s="19" t="s">
        <v>2</v>
      </c>
    </row>
    <row r="4" spans="1:4" x14ac:dyDescent="0.2">
      <c r="A4" s="18" t="s">
        <v>11</v>
      </c>
      <c r="B4">
        <f>B5</f>
        <v>1.2929999999999999</v>
      </c>
      <c r="C4">
        <v>0</v>
      </c>
    </row>
    <row r="5" spans="1:4" x14ac:dyDescent="0.2">
      <c r="A5" t="s">
        <v>40</v>
      </c>
      <c r="B5">
        <v>1.2929999999999999</v>
      </c>
      <c r="C5">
        <v>0</v>
      </c>
    </row>
    <row r="6" spans="1:4" x14ac:dyDescent="0.2">
      <c r="A6" t="s">
        <v>42</v>
      </c>
      <c r="B6">
        <v>1.508</v>
      </c>
      <c r="C6">
        <v>0</v>
      </c>
    </row>
    <row r="7" spans="1:4" x14ac:dyDescent="0.2">
      <c r="A7" t="s">
        <v>44</v>
      </c>
      <c r="B7">
        <f>$B$6*(1-0.19)</f>
        <v>1.2214800000000001</v>
      </c>
      <c r="C7">
        <v>0</v>
      </c>
    </row>
    <row r="8" spans="1:4" x14ac:dyDescent="0.2">
      <c r="A8" t="s">
        <v>43</v>
      </c>
      <c r="B8">
        <f>$B$6*(1-0.31)</f>
        <v>1.0405199999999999</v>
      </c>
      <c r="C8">
        <v>0</v>
      </c>
    </row>
    <row r="9" spans="1:4" x14ac:dyDescent="0.2">
      <c r="A9" t="s">
        <v>45</v>
      </c>
      <c r="B9">
        <f>$B$6*(1-0.22)</f>
        <v>1.17624</v>
      </c>
      <c r="C9">
        <v>0</v>
      </c>
    </row>
    <row r="10" spans="1:4" x14ac:dyDescent="0.2">
      <c r="A10" t="s">
        <v>51</v>
      </c>
      <c r="B10">
        <f>$B$6*(1-0.22)</f>
        <v>1.17624</v>
      </c>
      <c r="C10">
        <v>0</v>
      </c>
    </row>
    <row r="11" spans="1:4" x14ac:dyDescent="0.2">
      <c r="A11" t="s">
        <v>48</v>
      </c>
      <c r="B11">
        <f>$B$6*(1-0.24)</f>
        <v>1.14608</v>
      </c>
      <c r="C11">
        <v>0</v>
      </c>
    </row>
    <row r="12" spans="1:4" x14ac:dyDescent="0.2">
      <c r="A12" t="s">
        <v>49</v>
      </c>
      <c r="B12">
        <f>$B$6*(1-0.48)</f>
        <v>0.78416000000000008</v>
      </c>
      <c r="C12">
        <v>0</v>
      </c>
    </row>
    <row r="13" spans="1:4" x14ac:dyDescent="0.2">
      <c r="A13" t="s">
        <v>50</v>
      </c>
      <c r="B13">
        <f>$B$6*(1-0.63)</f>
        <v>0.55796000000000001</v>
      </c>
      <c r="C13">
        <v>0</v>
      </c>
    </row>
    <row r="14" spans="1:4" x14ac:dyDescent="0.2">
      <c r="A14" t="s">
        <v>52</v>
      </c>
      <c r="B14">
        <f>$B$6*(1-0.28)</f>
        <v>1.0857600000000001</v>
      </c>
      <c r="C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F13" sqref="A1:XFD1048576"/>
    </sheetView>
  </sheetViews>
  <sheetFormatPr baseColWidth="10" defaultColWidth="8.83203125" defaultRowHeight="15" x14ac:dyDescent="0.2"/>
  <sheetData>
    <row r="1" spans="1:3" x14ac:dyDescent="0.2">
      <c r="A1" s="2" t="s">
        <v>13</v>
      </c>
      <c r="B1" s="3"/>
      <c r="C1" s="3"/>
    </row>
    <row r="2" spans="1:3" x14ac:dyDescent="0.2">
      <c r="A2" s="2" t="s">
        <v>14</v>
      </c>
      <c r="B2" s="3"/>
      <c r="C2" s="3"/>
    </row>
    <row r="3" spans="1:3" x14ac:dyDescent="0.2">
      <c r="A3" s="4"/>
      <c r="B3" s="5" t="s">
        <v>15</v>
      </c>
      <c r="C3" s="6" t="s">
        <v>16</v>
      </c>
    </row>
    <row r="4" spans="1:3" x14ac:dyDescent="0.2">
      <c r="A4" s="7" t="s">
        <v>17</v>
      </c>
      <c r="B4" s="8">
        <v>12</v>
      </c>
      <c r="C4" s="9">
        <f>(B4*$B$19)/1000/1000</f>
        <v>5.3537967341839917E-4</v>
      </c>
    </row>
    <row r="5" spans="1:3" x14ac:dyDescent="0.2">
      <c r="A5" s="7" t="s">
        <v>18</v>
      </c>
      <c r="B5" s="8">
        <v>16.042459999999998</v>
      </c>
      <c r="C5" s="9">
        <f t="shared" ref="C5:C12" si="0">(B5*$B$19)/1000/1000</f>
        <v>7.1573391630231102E-4</v>
      </c>
    </row>
    <row r="6" spans="1:3" x14ac:dyDescent="0.2">
      <c r="A6" s="7" t="s">
        <v>19</v>
      </c>
      <c r="B6" s="8">
        <v>28.010100000000001</v>
      </c>
      <c r="C6" s="9">
        <f t="shared" si="0"/>
        <v>1.2496698492013921E-3</v>
      </c>
    </row>
    <row r="7" spans="1:3" x14ac:dyDescent="0.2">
      <c r="A7" s="7" t="s">
        <v>20</v>
      </c>
      <c r="B7" s="8">
        <v>44.009500000000003</v>
      </c>
      <c r="C7" s="9">
        <f t="shared" si="0"/>
        <v>1.963482644775587E-3</v>
      </c>
    </row>
    <row r="8" spans="1:3" x14ac:dyDescent="0.2">
      <c r="A8" s="7" t="s">
        <v>21</v>
      </c>
      <c r="B8" s="8">
        <v>2.0158800000000001</v>
      </c>
      <c r="C8" s="9">
        <f t="shared" si="0"/>
        <v>8.9938431337556905E-5</v>
      </c>
    </row>
    <row r="9" spans="1:3" x14ac:dyDescent="0.2">
      <c r="A9" s="7" t="s">
        <v>22</v>
      </c>
      <c r="B9" s="8">
        <v>18.015280000000001</v>
      </c>
      <c r="C9" s="9">
        <f t="shared" si="0"/>
        <v>8.0375122691175155E-4</v>
      </c>
    </row>
    <row r="10" spans="1:3" x14ac:dyDescent="0.2">
      <c r="A10" s="7" t="s">
        <v>23</v>
      </c>
      <c r="B10" s="8">
        <f>(78.12+92.15+106.7)/3</f>
        <v>92.323333333333338</v>
      </c>
      <c r="C10" s="9">
        <f t="shared" si="0"/>
        <v>4.1190030040748338E-3</v>
      </c>
    </row>
    <row r="11" spans="1:3" x14ac:dyDescent="0.2">
      <c r="A11" s="7" t="s">
        <v>24</v>
      </c>
      <c r="B11" s="8">
        <v>28.013400000000001</v>
      </c>
      <c r="C11" s="9">
        <f t="shared" si="0"/>
        <v>1.2498170786115822E-3</v>
      </c>
    </row>
    <row r="12" spans="1:3" x14ac:dyDescent="0.2">
      <c r="A12" s="7" t="s">
        <v>25</v>
      </c>
      <c r="B12" s="8">
        <v>31.998799999999999</v>
      </c>
      <c r="C12" s="9">
        <f t="shared" si="0"/>
        <v>1.4276255911483892E-3</v>
      </c>
    </row>
    <row r="13" spans="1:3" x14ac:dyDescent="0.2">
      <c r="A13" s="10"/>
      <c r="B13" s="11"/>
      <c r="C13" s="12"/>
    </row>
    <row r="14" spans="1:3" x14ac:dyDescent="0.2">
      <c r="A14" s="3"/>
      <c r="B14" s="13"/>
      <c r="C14" s="13"/>
    </row>
    <row r="15" spans="1:3" x14ac:dyDescent="0.2">
      <c r="A15" s="2" t="s">
        <v>26</v>
      </c>
      <c r="B15" s="13"/>
      <c r="C15" s="13"/>
    </row>
    <row r="16" spans="1:3" x14ac:dyDescent="0.2">
      <c r="A16" s="4"/>
      <c r="B16" s="14" t="s">
        <v>27</v>
      </c>
      <c r="C16" s="15"/>
    </row>
    <row r="17" spans="1:3" x14ac:dyDescent="0.2">
      <c r="A17" s="7" t="s">
        <v>28</v>
      </c>
      <c r="B17" s="16">
        <v>3.6</v>
      </c>
      <c r="C17" s="8"/>
    </row>
    <row r="18" spans="1:3" x14ac:dyDescent="0.2">
      <c r="A18" s="7" t="s">
        <v>29</v>
      </c>
      <c r="B18" s="17">
        <f>B17/1000</f>
        <v>3.5999999999999999E-3</v>
      </c>
      <c r="C18" s="8"/>
    </row>
    <row r="19" spans="1:3" x14ac:dyDescent="0.2">
      <c r="A19" s="10" t="s">
        <v>30</v>
      </c>
      <c r="B19" s="12">
        <f>1/0.022414</f>
        <v>44.614972784866602</v>
      </c>
      <c r="C19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Birat BF</vt:lpstr>
      <vt:lpstr>BF bb</vt:lpstr>
      <vt:lpstr>EAF bb</vt:lpstr>
      <vt:lpstr>BF EAF bb</vt:lpstr>
      <vt:lpstr>Reference Values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Tanzer - TBM</dc:creator>
  <cp:lastModifiedBy>Microsoft Office User</cp:lastModifiedBy>
  <dcterms:created xsi:type="dcterms:W3CDTF">2019-03-21T13:21:28Z</dcterms:created>
  <dcterms:modified xsi:type="dcterms:W3CDTF">2019-05-02T11:43:19Z</dcterms:modified>
</cp:coreProperties>
</file>