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80" yWindow="465" windowWidth="25665" windowHeight="17535" tabRatio="598" activeTab="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" l="1"/>
  <c r="C5" i="9"/>
  <c r="B5" i="9"/>
  <c r="C4" i="9"/>
  <c r="B4" i="9"/>
  <c r="C5" i="8"/>
  <c r="B5" i="8"/>
  <c r="C4" i="8"/>
  <c r="N5" i="20"/>
  <c r="M5" i="20"/>
  <c r="L5" i="20"/>
  <c r="K5" i="20"/>
  <c r="J5" i="20"/>
  <c r="I5" i="20"/>
  <c r="H5" i="20"/>
  <c r="E5" i="20"/>
  <c r="D5" i="20"/>
  <c r="C5" i="20"/>
  <c r="B5" i="20"/>
  <c r="K13" i="15"/>
  <c r="K12" i="15"/>
  <c r="N11" i="20" l="1"/>
  <c r="N10" i="20"/>
  <c r="N8" i="20"/>
  <c r="N7" i="20"/>
  <c r="M11" i="20" l="1"/>
  <c r="M10" i="20"/>
  <c r="M8" i="20"/>
  <c r="M7" i="20"/>
  <c r="I10" i="20" l="1"/>
  <c r="J11" i="16" l="1"/>
  <c r="J8" i="16"/>
  <c r="D11" i="16"/>
  <c r="D8" i="16"/>
  <c r="C11" i="16"/>
  <c r="C8" i="16"/>
  <c r="H14" i="3"/>
  <c r="H17" i="3"/>
  <c r="G17" i="3"/>
  <c r="G14" i="3"/>
  <c r="G16" i="3" s="1"/>
  <c r="B5" i="19"/>
  <c r="E7" i="19"/>
  <c r="E6" i="19"/>
  <c r="C5" i="19"/>
  <c r="G19" i="3"/>
  <c r="G18" i="3"/>
  <c r="D11" i="15"/>
  <c r="G15" i="3" l="1"/>
  <c r="B19" i="2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8" i="20"/>
  <c r="H8" i="20"/>
  <c r="G8" i="20"/>
  <c r="E8" i="20"/>
  <c r="C8" i="20"/>
  <c r="B8" i="20"/>
  <c r="L7" i="20"/>
  <c r="K7" i="20"/>
  <c r="H7" i="20"/>
  <c r="G7" i="20"/>
  <c r="E7" i="20"/>
  <c r="C7" i="20"/>
  <c r="B7" i="20"/>
  <c r="L8" i="20"/>
  <c r="J7" i="20"/>
  <c r="I7" i="20"/>
  <c r="F7" i="20"/>
  <c r="B11" i="20"/>
  <c r="B10" i="20"/>
  <c r="C11" i="20"/>
  <c r="C10" i="20"/>
  <c r="E11" i="20"/>
  <c r="E10" i="20"/>
  <c r="F11" i="20"/>
  <c r="F10" i="20"/>
  <c r="G11" i="20"/>
  <c r="G10" i="20"/>
  <c r="H11" i="20"/>
  <c r="H10" i="20"/>
  <c r="I11" i="20"/>
  <c r="J11" i="20"/>
  <c r="J10" i="20"/>
  <c r="K11" i="20"/>
  <c r="K10" i="20"/>
  <c r="L11" i="20"/>
  <c r="L10" i="20"/>
  <c r="I8" i="20" l="1"/>
  <c r="J8" i="20"/>
  <c r="F8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3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7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0" i="9"/>
  <c r="C20" i="9"/>
  <c r="B20" i="9"/>
  <c r="D19" i="9"/>
  <c r="C19" i="9"/>
  <c r="B19" i="9"/>
  <c r="D17" i="9"/>
  <c r="C17" i="9"/>
  <c r="B17" i="9"/>
  <c r="D16" i="9"/>
  <c r="C16" i="9"/>
  <c r="B16" i="9"/>
  <c r="B20" i="8"/>
  <c r="B19" i="8"/>
  <c r="B17" i="8"/>
  <c r="B16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6" i="9"/>
  <c r="C8" i="18"/>
  <c r="C5" i="18"/>
  <c r="E5" i="12"/>
  <c r="D8" i="15"/>
  <c r="D9" i="15" s="1"/>
  <c r="D5" i="15"/>
  <c r="D7" i="15" s="1"/>
  <c r="F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4" i="8"/>
  <c r="B13" i="8"/>
  <c r="B11" i="8"/>
  <c r="B10" i="8"/>
  <c r="D14" i="9"/>
  <c r="C14" i="9"/>
  <c r="B14" i="9"/>
  <c r="D13" i="9"/>
  <c r="C13" i="9"/>
  <c r="B13" i="9"/>
  <c r="D11" i="9"/>
  <c r="C11" i="9"/>
  <c r="B11" i="9"/>
  <c r="D10" i="9"/>
  <c r="C10" i="9"/>
  <c r="B10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Q13" i="15"/>
  <c r="H13" i="15"/>
  <c r="E13" i="15"/>
  <c r="C13" i="15"/>
  <c r="L12" i="15"/>
  <c r="Q12" i="15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8" i="9"/>
  <c r="C8" i="9"/>
  <c r="C7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7" i="8"/>
  <c r="B8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8" i="3" l="1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5" i="8"/>
  <c r="H13" i="3"/>
  <c r="H12" i="3"/>
  <c r="H7" i="3"/>
  <c r="H6" i="3"/>
  <c r="C18" i="8"/>
  <c r="C6" i="8"/>
  <c r="C8" i="8" s="1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7" i="8"/>
  <c r="K9" i="16"/>
  <c r="K8" i="16"/>
  <c r="K10" i="16"/>
  <c r="F5" i="15"/>
  <c r="F8" i="15"/>
  <c r="D7" i="12"/>
  <c r="D6" i="12"/>
  <c r="C9" i="8"/>
  <c r="C6" i="17"/>
  <c r="C7" i="17"/>
  <c r="D9" i="12"/>
  <c r="D10" i="12"/>
  <c r="E9" i="15"/>
  <c r="E10" i="15" s="1"/>
  <c r="C12" i="8"/>
  <c r="F12" i="15"/>
  <c r="F13" i="15"/>
  <c r="E7" i="15"/>
  <c r="K6" i="16"/>
  <c r="K7" i="16"/>
  <c r="K5" i="16"/>
  <c r="C20" i="8" l="1"/>
  <c r="C19" i="8"/>
  <c r="C17" i="8"/>
  <c r="C16" i="8"/>
  <c r="C11" i="8"/>
  <c r="C10" i="8"/>
  <c r="F10" i="15"/>
  <c r="F9" i="15"/>
  <c r="F6" i="15"/>
  <c r="F7" i="15"/>
  <c r="C14" i="8"/>
  <c r="C13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tc={512BAB74-508F-CE42-9AB5-ED06EC68B18F}</author>
    <author>tc={340145CC-7D5C-E244-9FA4-2F8AE791E33D}</author>
  </authors>
  <commentList>
    <comment ref="K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  <comment ref="K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<sst xmlns="http://schemas.openxmlformats.org/spreadsheetml/2006/main" count="558" uniqueCount="181">
  <si>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</si>
  <si>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</si>
  <si>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</si>
  <si>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</si>
  <si>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</si>
  <si>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</si>
  <si>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</si>
  <si>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</si>
  <si>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</si>
  <si>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</si>
  <si>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</si>
  <si>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</si>
  <si>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</si>
  <si>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</si>
  <si>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</si>
  <si>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</si>
  <si>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</si>
  <si>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</si>
  <si>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</si>
  <si>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</si>
  <si>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</si>
  <si>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</si>
  <si>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</si>
  <si>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</si>
  <si>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</si>
  <si>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</si>
  <si>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</si>
  <si>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</si>
  <si>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</si>
  <si>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</si>
  <si>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</si>
  <si>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</si>
  <si>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</si>
  <si>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</si>
  <si>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</si>
  <si>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</si>
  <si>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</si>
  <si>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</si>
  <si>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</si>
  <si>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</si>
  <si>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</si>
  <si>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</si>
  <si>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</si>
  <si>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</si>
  <si>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</si>
  <si>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</si>
  <si>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</si>
  <si>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</si>
  <si>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</si>
  <si>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</si>
  <si>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</si>
  <si>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</si>
  <si>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</si>
  <si>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</si>
  <si>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</si>
  <si>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</si>
  <si>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</si>
  <si>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</si>
  <si>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</si>
  <si>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</si>
  <si>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</si>
  <si>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</si>
  <si>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</si>
  <si>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</si>
  <si>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</si>
  <si>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</si>
  <si>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</si>
  <si>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</si>
  <si>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</si>
  <si>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</si>
  <si>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</si>
  <si>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</si>
  <si>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</si>
  <si>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</si>
  <si>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</si>
  <si>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</si>
  <si>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</si>
  <si>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</si>
  <si>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</si>
  <si>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</si>
  <si>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</si>
  <si>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</si>
  <si>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</si>
  <si>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</si>
  <si>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</si>
  <si>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</si>
  <si>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</si>
  <si>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</si>
  <si>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</si>
  <si>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</si>
  <si>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</si>
  <si>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</si>
  <si>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</si>
  <si>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</si>
  <si>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</si>
  <si>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</si>
  <si>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</si>
  <si>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</si>
  <si>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</si>
  <si>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</si>
  <si>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</si>
  <si>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</si>
  <si>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</si>
  <si>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</si>
  <si>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</si>
  <si>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</si>
  <si>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</si>
  <si>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</si>
  <si>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</si>
  <si>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</si>
  <si>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</si>
  <si>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</si>
  <si>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</si>
  <si>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</si>
  <si>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</si>
  <si>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</si>
  <si>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</si>
  <si>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</si>
  <si>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</si>
  <si>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</si>
  <si>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</si>
  <si>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</si>
  <si>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</si>
  <si>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</si>
  <si>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</si>
  <si>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</si>
  <si>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</si>
  <si>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</si>
  <si>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</si>
  <si>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</si>
  <si>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</si>
  <si>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</si>
  <si>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</si>
  <si>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</si>
  <si>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</si>
  <si>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</si>
  <si>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</si>
  <si>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</si>
  <si>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</si>
  <si>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</si>
  <si>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</si>
  <si>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</si>
  <si>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</si>
  <si>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</si>
  <si>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</si>
  <si>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</si>
  <si>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</si>
  <si>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</si>
  <si>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</si>
  <si>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</si>
  <si>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</si>
  <si>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</si>
  <si>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</si>
  <si>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</si>
  <si>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</si>
  <si>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</si>
  <si>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</si>
  <si>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</si>
  <si>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</si>
  <si>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</si>
  <si>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</si>
  <si>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</si>
  <si>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</si>
  <si>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</si>
  <si>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</si>
  <si>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</si>
  <si>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</si>
  <si>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</si>
  <si>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MEA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</si>
  <si>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</si>
  <si>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</si>
  <si>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</si>
  <si>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</si>
  <si>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</si>
  <si>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</si>
  <si>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</si>
  <si>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</si>
  <si>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</si>
  <si>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compression only; capture already included in  DRI + Syngas Upgrading Numbers…alt number for CO2 compression: 120kwh/t CO2</t>
  </si>
  <si>
    <t>syngas_only</t>
  </si>
  <si>
    <t>wood chips (EU no swiss, dry)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</si>
</sst>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4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4" fillId="0" borderId="0" xfId="0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3" fillId="0" borderId="9" xfId="3" applyFont="1" applyBorder="1"/>
    <xf numFmtId="0" fontId="3" fillId="0" borderId="9" xfId="0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0" fontId="21" fillId="0" borderId="0" xfId="0" applyFont="1"/>
    <xf numFmtId="165" fontId="1" fillId="0" borderId="9" xfId="0" applyNumberFormat="1" applyFon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5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5.75" thickBot="1" x14ac:dyDescent="0.3">
      <c r="A4" s="72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151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1" t="s">
        <v>152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70" t="s">
        <v>155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4" t="s">
        <v>153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70" t="s">
        <v>156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4" t="s">
        <v>120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4" t="s">
        <v>154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4" t="s">
        <v>157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5" t="s">
        <v>112</v>
      </c>
      <c r="C1" s="97" t="s">
        <v>9</v>
      </c>
      <c r="D1" s="42" t="s">
        <v>106</v>
      </c>
      <c r="E1" t="s">
        <v>89</v>
      </c>
    </row>
    <row r="2" spans="1:5" x14ac:dyDescent="0.25">
      <c r="A2" s="56" t="s">
        <v>1</v>
      </c>
      <c r="C2" s="55" t="s">
        <v>70</v>
      </c>
      <c r="E2" t="s">
        <v>165</v>
      </c>
    </row>
    <row r="3" spans="1:5" x14ac:dyDescent="0.25">
      <c r="A3" s="56" t="s">
        <v>2</v>
      </c>
    </row>
    <row r="4" spans="1:5" s="30" customFormat="1" ht="15.75" thickBot="1" x14ac:dyDescent="0.3">
      <c r="A4" s="30" t="s">
        <v>3</v>
      </c>
      <c r="B4" s="46"/>
      <c r="C4" s="46"/>
      <c r="D4" s="46"/>
    </row>
    <row r="5" spans="1:5" x14ac:dyDescent="0.25">
      <c r="A5" s="33" t="s">
        <v>151</v>
      </c>
      <c r="B5" s="98">
        <f>(2.1+2.1+2.6)*Ref!$C$12</f>
        <v>9.7078540198090469E-3</v>
      </c>
      <c r="C5" s="58">
        <f>(10.3+25+105.3)*Ref!B$18</f>
        <v>0.50615999999999994</v>
      </c>
      <c r="D5" s="115">
        <v>5.0000000000000001E-3</v>
      </c>
      <c r="E5">
        <f>1-(1000/1080)</f>
        <v>7.407407407407407E-2</v>
      </c>
    </row>
    <row r="6" spans="1:5" x14ac:dyDescent="0.25">
      <c r="A6" s="25" t="s">
        <v>152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155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8">
        <f>(2.1+2.1+2.6)*Ref!$C$12</f>
        <v>9.7078540198090469E-3</v>
      </c>
      <c r="C8" s="58">
        <f>(10.3+25+105.3)*Ref!B$18</f>
        <v>0.50615999999999994</v>
      </c>
      <c r="D8" s="115">
        <v>5.0000000000000001E-3</v>
      </c>
      <c r="E8">
        <f>1-(1000/1080)</f>
        <v>7.407407407407407E-2</v>
      </c>
    </row>
    <row r="9" spans="1:5" x14ac:dyDescent="0.25">
      <c r="A9" s="61" t="s">
        <v>153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4" t="s">
        <v>156</v>
      </c>
      <c r="B10" s="69">
        <f>B8</f>
        <v>9.7078540198090469E-3</v>
      </c>
      <c r="C10" s="69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3" t="s">
        <v>120</v>
      </c>
      <c r="B11" s="98">
        <f>(2.1+2.1+2.6)*Ref!$C$12</f>
        <v>9.7078540198090469E-3</v>
      </c>
      <c r="C11" s="58">
        <f>(10.3+25+105.3)*Ref!B$18</f>
        <v>0.50615999999999994</v>
      </c>
      <c r="D11" s="115">
        <v>5.0000000000000001E-3</v>
      </c>
      <c r="E11">
        <f>1-(1000/1080)</f>
        <v>7.407407407407407E-2</v>
      </c>
    </row>
    <row r="12" spans="1:5" x14ac:dyDescent="0.25">
      <c r="A12" s="54" t="s">
        <v>154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4" t="s">
        <v>157</v>
      </c>
      <c r="B13" s="69">
        <f>B11</f>
        <v>9.7078540198090469E-3</v>
      </c>
      <c r="C13" s="69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142</v>
      </c>
      <c r="B14" s="98">
        <f>(2.1+2.1+2.6)*Ref!$C$12</f>
        <v>9.7078540198090469E-3</v>
      </c>
      <c r="C14" s="58">
        <f>(10.3+25+105.3)*Ref!B$18</f>
        <v>0.50615999999999994</v>
      </c>
      <c r="D14" s="115">
        <v>5.0000000000000001E-3</v>
      </c>
      <c r="E14">
        <f>1-(1000/1080)</f>
        <v>7.407407407407407E-2</v>
      </c>
    </row>
    <row r="15" spans="1:5" x14ac:dyDescent="0.25">
      <c r="A15" s="21" t="s">
        <v>143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144</v>
      </c>
      <c r="B16" s="69">
        <f>B14</f>
        <v>9.7078540198090469E-3</v>
      </c>
      <c r="C16" s="69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145</v>
      </c>
      <c r="B17" s="98">
        <f>(2.1+2.1+2.6)*Ref!$C$12</f>
        <v>9.7078540198090469E-3</v>
      </c>
      <c r="C17" s="58">
        <f>(10.3+25+105.3)*Ref!B$18</f>
        <v>0.50615999999999994</v>
      </c>
      <c r="D17" s="115">
        <v>5.0000000000000001E-3</v>
      </c>
      <c r="E17">
        <f>1-(1000/1080)</f>
        <v>7.407407407407407E-2</v>
      </c>
    </row>
    <row r="18" spans="1:5" x14ac:dyDescent="0.25">
      <c r="A18" s="21" t="s">
        <v>146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147</v>
      </c>
      <c r="B19" s="69">
        <f>B17</f>
        <v>9.7078540198090469E-3</v>
      </c>
      <c r="C19" s="69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6" sqref="C6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5" t="s">
        <v>57</v>
      </c>
      <c r="C1" s="97" t="s">
        <v>9</v>
      </c>
      <c r="D1" s="42" t="s">
        <v>74</v>
      </c>
    </row>
    <row r="2" spans="1:4" x14ac:dyDescent="0.25">
      <c r="A2" s="56" t="s">
        <v>1</v>
      </c>
      <c r="C2" s="55" t="s">
        <v>70</v>
      </c>
    </row>
    <row r="3" spans="1:4" x14ac:dyDescent="0.25">
      <c r="A3" s="56" t="s">
        <v>2</v>
      </c>
    </row>
    <row r="4" spans="1:4" x14ac:dyDescent="0.25">
      <c r="A4" s="21" t="s">
        <v>3</v>
      </c>
      <c r="B4" s="98">
        <v>0.9</v>
      </c>
      <c r="C4" s="58">
        <f>0.55*Ref!B$18/Ref!$C$12</f>
        <v>1.3869182594347289</v>
      </c>
    </row>
    <row r="5" spans="1:4" s="46" customFormat="1" ht="15.75" thickBot="1" x14ac:dyDescent="0.3">
      <c r="A5" s="38" t="s">
        <v>179</v>
      </c>
      <c r="B5" s="69">
        <f>B4</f>
        <v>0.9</v>
      </c>
      <c r="C5" s="125">
        <f>C4</f>
        <v>1.3869182594347289</v>
      </c>
    </row>
    <row r="6" spans="1:4" s="42" customFormat="1" x14ac:dyDescent="0.25">
      <c r="A6" s="33" t="s">
        <v>151</v>
      </c>
      <c r="B6" s="98">
        <v>0.9</v>
      </c>
      <c r="C6" s="58">
        <f>0.55*Ref!B$18/Ref!$C$12</f>
        <v>1.3869182594347289</v>
      </c>
      <c r="D6" s="99"/>
    </row>
    <row r="7" spans="1:4" s="21" customFormat="1" x14ac:dyDescent="0.25">
      <c r="A7" s="25" t="s">
        <v>152</v>
      </c>
      <c r="B7" s="22">
        <f t="shared" ref="B7:C8" si="0">B$6</f>
        <v>0.9</v>
      </c>
      <c r="C7" s="22">
        <f t="shared" si="0"/>
        <v>1.3869182594347289</v>
      </c>
    </row>
    <row r="8" spans="1:4" s="30" customFormat="1" ht="15.75" thickBot="1" x14ac:dyDescent="0.3">
      <c r="A8" s="31" t="s">
        <v>155</v>
      </c>
      <c r="B8" s="29">
        <f t="shared" si="0"/>
        <v>0.9</v>
      </c>
      <c r="C8" s="29">
        <f t="shared" si="0"/>
        <v>1.3869182594347289</v>
      </c>
    </row>
    <row r="9" spans="1:4" s="21" customFormat="1" x14ac:dyDescent="0.25">
      <c r="A9" s="33" t="s">
        <v>119</v>
      </c>
      <c r="B9" s="98">
        <v>0.9</v>
      </c>
      <c r="C9" s="98">
        <f>(0.55*Ref!B18/Ref!C12*(38/158.3))+(0.47*Ref!B18/Ref!C12*(120.3/158.3))</f>
        <v>1.2336109450282529</v>
      </c>
      <c r="D9" s="99"/>
    </row>
    <row r="10" spans="1:4" s="42" customFormat="1" x14ac:dyDescent="0.25">
      <c r="A10" s="61" t="s">
        <v>153</v>
      </c>
      <c r="B10" s="23">
        <f>B9</f>
        <v>0.9</v>
      </c>
      <c r="C10" s="23">
        <f>C9</f>
        <v>1.2336109450282529</v>
      </c>
      <c r="D10" s="20"/>
    </row>
    <row r="11" spans="1:4" s="30" customFormat="1" ht="15.75" thickBot="1" x14ac:dyDescent="0.3">
      <c r="A11" s="64" t="s">
        <v>156</v>
      </c>
      <c r="B11" s="69">
        <f>B9</f>
        <v>0.9</v>
      </c>
      <c r="C11" s="69">
        <f>C9</f>
        <v>1.2336109450282529</v>
      </c>
      <c r="D11" s="46"/>
    </row>
    <row r="12" spans="1:4" s="21" customFormat="1" x14ac:dyDescent="0.25">
      <c r="A12" s="63" t="s">
        <v>120</v>
      </c>
      <c r="B12" s="20">
        <v>0.9</v>
      </c>
      <c r="C12" s="98">
        <f>(0.55*Ref!B18/Ref!C12*(38/158.3))+(0.47*Ref!B18/Ref!C12*(120.3/158.3))</f>
        <v>1.2336109450282529</v>
      </c>
      <c r="D12" s="20"/>
    </row>
    <row r="13" spans="1:4" s="21" customFormat="1" x14ac:dyDescent="0.25">
      <c r="A13" s="54" t="s">
        <v>154</v>
      </c>
      <c r="B13" s="23">
        <f>B12</f>
        <v>0.9</v>
      </c>
      <c r="C13" s="23">
        <f>C12</f>
        <v>1.2336109450282529</v>
      </c>
      <c r="D13" s="20"/>
    </row>
    <row r="14" spans="1:4" s="71" customFormat="1" ht="15.75" thickBot="1" x14ac:dyDescent="0.3">
      <c r="A14" s="64" t="s">
        <v>157</v>
      </c>
      <c r="B14" s="69">
        <f>B12</f>
        <v>0.9</v>
      </c>
      <c r="C14" s="69">
        <f>C12</f>
        <v>1.2336109450282529</v>
      </c>
      <c r="D14" s="46"/>
    </row>
    <row r="15" spans="1:4" s="21" customFormat="1" x14ac:dyDescent="0.25">
      <c r="A15" s="21" t="s">
        <v>142</v>
      </c>
      <c r="B15" s="20">
        <v>0.9</v>
      </c>
      <c r="C15" s="58">
        <f>0.55*Ref!B$18/Ref!$C$12</f>
        <v>1.3869182594347289</v>
      </c>
      <c r="D15" s="20"/>
    </row>
    <row r="16" spans="1:4" s="21" customFormat="1" x14ac:dyDescent="0.25">
      <c r="A16" s="21" t="s">
        <v>143</v>
      </c>
      <c r="B16" s="20">
        <f>B15</f>
        <v>0.9</v>
      </c>
      <c r="C16" s="23">
        <f>C15</f>
        <v>1.3869182594347289</v>
      </c>
      <c r="D16" s="20"/>
    </row>
    <row r="17" spans="1:4" s="30" customFormat="1" ht="15.75" thickBot="1" x14ac:dyDescent="0.3">
      <c r="A17" s="30" t="s">
        <v>144</v>
      </c>
      <c r="B17" s="46">
        <f>B15</f>
        <v>0.9</v>
      </c>
      <c r="C17" s="69">
        <f>C15</f>
        <v>1.3869182594347289</v>
      </c>
      <c r="D17" s="46"/>
    </row>
    <row r="18" spans="1:4" s="42" customFormat="1" x14ac:dyDescent="0.25">
      <c r="A18" s="21" t="s">
        <v>145</v>
      </c>
      <c r="B18" s="20">
        <v>0.9</v>
      </c>
      <c r="C18" s="58">
        <f>0.55*Ref!B$18/Ref!$C$12</f>
        <v>1.3869182594347289</v>
      </c>
      <c r="D18" s="20"/>
    </row>
    <row r="19" spans="1:4" s="21" customFormat="1" x14ac:dyDescent="0.25">
      <c r="A19" s="21" t="s">
        <v>146</v>
      </c>
      <c r="B19" s="20">
        <f>B18</f>
        <v>0.9</v>
      </c>
      <c r="C19" s="23">
        <f>C18</f>
        <v>1.3869182594347289</v>
      </c>
      <c r="D19" s="20"/>
    </row>
    <row r="20" spans="1:4" s="30" customFormat="1" ht="15.75" thickBot="1" x14ac:dyDescent="0.3">
      <c r="A20" s="30" t="s">
        <v>147</v>
      </c>
      <c r="B20" s="46">
        <f>B18</f>
        <v>0.9</v>
      </c>
      <c r="C20" s="69">
        <f>C18</f>
        <v>1.3869182594347289</v>
      </c>
      <c r="D20" s="46"/>
    </row>
    <row r="21" spans="1:4" s="21" customFormat="1" x14ac:dyDescent="0.25">
      <c r="C21" s="20"/>
      <c r="D21" s="20"/>
    </row>
    <row r="22" spans="1:4" s="42" customFormat="1" x14ac:dyDescent="0.25">
      <c r="A22" s="21"/>
      <c r="B22" s="20"/>
      <c r="C22" s="20"/>
      <c r="D22" s="20"/>
    </row>
    <row r="23" spans="1:4" s="21" customFormat="1" x14ac:dyDescent="0.25">
      <c r="B23" s="20"/>
      <c r="C23" s="20"/>
      <c r="D23" s="20"/>
    </row>
    <row r="24" spans="1:4" s="21" customFormat="1" x14ac:dyDescent="0.25"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42" customFormat="1" x14ac:dyDescent="0.25">
      <c r="A26" s="21"/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21" customFormat="1" x14ac:dyDescent="0.25"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4" spans="1:4" s="42" customFormat="1" x14ac:dyDescent="0.25">
      <c r="A34" s="21"/>
      <c r="B34" s="20"/>
      <c r="C34" s="20"/>
      <c r="D34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G19" sqref="G19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100" t="s">
        <v>56</v>
      </c>
      <c r="C1" s="100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6" t="s">
        <v>1</v>
      </c>
      <c r="B2" s="55" t="s">
        <v>63</v>
      </c>
      <c r="C2" s="55" t="s">
        <v>76</v>
      </c>
      <c r="G2" s="100"/>
    </row>
    <row r="3" spans="1:10" x14ac:dyDescent="0.25">
      <c r="A3" s="56" t="s">
        <v>2</v>
      </c>
    </row>
    <row r="4" spans="1:10" x14ac:dyDescent="0.25">
      <c r="A4" s="21" t="s">
        <v>3</v>
      </c>
      <c r="B4" s="20">
        <f>B6</f>
        <v>0.56599999999999995</v>
      </c>
      <c r="C4" s="10">
        <f>C6</f>
        <v>0.81069042316258355</v>
      </c>
      <c r="D4" s="55" t="s">
        <v>95</v>
      </c>
    </row>
    <row r="5" spans="1:10" s="46" customFormat="1" ht="15.75" thickBot="1" x14ac:dyDescent="0.3">
      <c r="A5" s="30" t="s">
        <v>179</v>
      </c>
      <c r="B5" s="46">
        <f>B4</f>
        <v>0.56599999999999995</v>
      </c>
      <c r="C5" s="47">
        <f>C4</f>
        <v>0.81069042316258355</v>
      </c>
      <c r="D5" s="114" t="str">
        <f>D4</f>
        <v>natural gas - IPCC</v>
      </c>
    </row>
    <row r="6" spans="1:10" s="42" customFormat="1" x14ac:dyDescent="0.25">
      <c r="A6" s="33" t="s">
        <v>151</v>
      </c>
      <c r="B6" s="83">
        <v>0.56599999999999995</v>
      </c>
      <c r="C6" s="48">
        <f>1-(0.85/(0.85+0.66+2.98))</f>
        <v>0.81069042316258355</v>
      </c>
      <c r="D6" s="83" t="s">
        <v>95</v>
      </c>
    </row>
    <row r="7" spans="1:10" s="21" customFormat="1" x14ac:dyDescent="0.25">
      <c r="A7" s="25" t="s">
        <v>152</v>
      </c>
      <c r="B7" s="83">
        <v>0.56599999999999995</v>
      </c>
      <c r="C7" s="10">
        <f t="shared" ref="C7" si="0">C$6</f>
        <v>0.81069042316258355</v>
      </c>
      <c r="D7" s="21" t="str">
        <f>D6</f>
        <v>natural gas - IPCC</v>
      </c>
    </row>
    <row r="8" spans="1:10" s="30" customFormat="1" ht="15.75" thickBot="1" x14ac:dyDescent="0.3">
      <c r="A8" s="31" t="s">
        <v>155</v>
      </c>
      <c r="B8" s="84">
        <v>0.56599999999999995</v>
      </c>
      <c r="C8" s="47">
        <f t="shared" ref="C8:D8" si="1">C$6</f>
        <v>0.81069042316258355</v>
      </c>
      <c r="D8" s="46" t="str">
        <f t="shared" si="1"/>
        <v>natural gas - IPCC</v>
      </c>
    </row>
    <row r="9" spans="1:10" s="21" customFormat="1" x14ac:dyDescent="0.25">
      <c r="A9" s="33" t="s">
        <v>119</v>
      </c>
      <c r="B9" s="83">
        <v>0.56599999999999995</v>
      </c>
      <c r="C9" s="42">
        <v>0</v>
      </c>
      <c r="D9" s="83" t="s">
        <v>95</v>
      </c>
      <c r="E9" s="83"/>
      <c r="F9" s="83"/>
      <c r="G9" s="83"/>
      <c r="H9" s="83"/>
      <c r="I9" s="83"/>
      <c r="J9" s="83"/>
    </row>
    <row r="10" spans="1:10" s="42" customFormat="1" x14ac:dyDescent="0.25">
      <c r="A10" s="61" t="s">
        <v>153</v>
      </c>
      <c r="B10" s="20">
        <f>B9</f>
        <v>0.56599999999999995</v>
      </c>
      <c r="C10" s="20">
        <f>C9</f>
        <v>0</v>
      </c>
      <c r="D10" s="20" t="str">
        <f>D9</f>
        <v>natural gas - IPCC</v>
      </c>
      <c r="E10" s="20"/>
      <c r="F10" s="20"/>
      <c r="G10" s="20"/>
      <c r="H10" s="20"/>
      <c r="I10" s="20"/>
      <c r="J10" s="20"/>
    </row>
    <row r="11" spans="1:10" s="30" customFormat="1" ht="15.75" thickBot="1" x14ac:dyDescent="0.3">
      <c r="A11" s="64" t="s">
        <v>156</v>
      </c>
      <c r="B11" s="46">
        <f>B9</f>
        <v>0.56599999999999995</v>
      </c>
      <c r="C11" s="46">
        <f>C9</f>
        <v>0</v>
      </c>
      <c r="D11" s="46" t="str">
        <f>D9</f>
        <v>natural gas - IPCC</v>
      </c>
      <c r="E11" s="46"/>
      <c r="F11" s="46"/>
      <c r="G11" s="46"/>
      <c r="H11" s="46"/>
      <c r="I11" s="46"/>
      <c r="J11" s="46"/>
    </row>
    <row r="12" spans="1:10" s="21" customFormat="1" x14ac:dyDescent="0.25">
      <c r="A12" s="63" t="s">
        <v>120</v>
      </c>
      <c r="B12" s="83">
        <v>0.56599999999999995</v>
      </c>
      <c r="C12" s="42">
        <v>0</v>
      </c>
      <c r="D12" s="83" t="s">
        <v>95</v>
      </c>
      <c r="E12" s="83"/>
      <c r="F12" s="83"/>
      <c r="G12" s="83"/>
      <c r="H12" s="83"/>
      <c r="I12" s="83"/>
      <c r="J12" s="83"/>
    </row>
    <row r="13" spans="1:10" s="21" customFormat="1" x14ac:dyDescent="0.25">
      <c r="A13" s="54" t="s">
        <v>154</v>
      </c>
      <c r="B13" s="20">
        <f>B12</f>
        <v>0.56599999999999995</v>
      </c>
      <c r="C13" s="20">
        <f>C12</f>
        <v>0</v>
      </c>
      <c r="D13" s="20" t="str">
        <f>D12</f>
        <v>natural gas - IPCC</v>
      </c>
      <c r="E13" s="20"/>
      <c r="F13" s="20"/>
      <c r="G13" s="20"/>
      <c r="H13" s="20"/>
      <c r="I13" s="20"/>
      <c r="J13" s="20"/>
    </row>
    <row r="14" spans="1:10" s="71" customFormat="1" ht="15.75" thickBot="1" x14ac:dyDescent="0.3">
      <c r="A14" s="64" t="s">
        <v>157</v>
      </c>
      <c r="B14" s="46">
        <f>B12</f>
        <v>0.56599999999999995</v>
      </c>
      <c r="C14" s="46">
        <f>C12</f>
        <v>0</v>
      </c>
      <c r="D14" s="46" t="str">
        <f>D12</f>
        <v>natural gas - IPCC</v>
      </c>
      <c r="E14" s="46"/>
      <c r="F14" s="46"/>
      <c r="G14" s="46"/>
      <c r="H14" s="46"/>
      <c r="I14" s="46"/>
      <c r="J14" s="46"/>
    </row>
    <row r="15" spans="1:10" s="21" customFormat="1" x14ac:dyDescent="0.25">
      <c r="A15" s="21" t="s">
        <v>142</v>
      </c>
      <c r="B15" s="83">
        <v>0.56599999999999995</v>
      </c>
      <c r="C15" s="42">
        <v>0</v>
      </c>
      <c r="D15" s="83" t="s">
        <v>95</v>
      </c>
      <c r="E15" s="20"/>
      <c r="F15" s="20"/>
      <c r="G15" s="20"/>
      <c r="H15" s="20"/>
      <c r="I15" s="20"/>
      <c r="J15" s="20"/>
    </row>
    <row r="16" spans="1:10" s="21" customFormat="1" x14ac:dyDescent="0.25">
      <c r="A16" s="21" t="s">
        <v>143</v>
      </c>
      <c r="B16" s="20">
        <f>B15</f>
        <v>0.56599999999999995</v>
      </c>
      <c r="C16" s="20">
        <f>C15</f>
        <v>0</v>
      </c>
      <c r="D16" s="20" t="str">
        <f>D15</f>
        <v>natural gas - IPCC</v>
      </c>
      <c r="E16" s="20"/>
      <c r="F16" s="20"/>
      <c r="G16" s="20"/>
      <c r="H16" s="20"/>
      <c r="I16" s="20"/>
      <c r="J16" s="20"/>
    </row>
    <row r="17" spans="1:10" s="30" customFormat="1" ht="15.75" thickBot="1" x14ac:dyDescent="0.3">
      <c r="A17" s="30" t="s">
        <v>144</v>
      </c>
      <c r="B17" s="46">
        <f>B15</f>
        <v>0.56599999999999995</v>
      </c>
      <c r="C17" s="46">
        <f>C15</f>
        <v>0</v>
      </c>
      <c r="D17" s="46" t="str">
        <f>D15</f>
        <v>natural gas - IPCC</v>
      </c>
      <c r="E17" s="46"/>
      <c r="F17" s="46"/>
      <c r="G17" s="46"/>
      <c r="H17" s="46"/>
      <c r="I17" s="46"/>
      <c r="J17" s="46"/>
    </row>
    <row r="18" spans="1:10" s="42" customFormat="1" x14ac:dyDescent="0.25">
      <c r="A18" s="21" t="s">
        <v>145</v>
      </c>
      <c r="B18" s="83">
        <v>0.56599999999999995</v>
      </c>
      <c r="C18" s="42">
        <v>0</v>
      </c>
      <c r="D18" s="83" t="s">
        <v>95</v>
      </c>
      <c r="E18" s="20"/>
      <c r="F18" s="20"/>
      <c r="G18" s="20"/>
      <c r="H18" s="20"/>
      <c r="I18" s="20"/>
      <c r="J18" s="20"/>
    </row>
    <row r="19" spans="1:10" s="21" customFormat="1" x14ac:dyDescent="0.25">
      <c r="A19" s="21" t="s">
        <v>146</v>
      </c>
      <c r="B19" s="20">
        <f>B18</f>
        <v>0.56599999999999995</v>
      </c>
      <c r="C19" s="20">
        <f>C18</f>
        <v>0</v>
      </c>
      <c r="D19" s="20" t="str">
        <f>D18</f>
        <v>natural gas - IPCC</v>
      </c>
      <c r="E19" s="20"/>
      <c r="F19" s="20"/>
      <c r="G19" s="20"/>
      <c r="H19" s="20"/>
      <c r="I19" s="20"/>
      <c r="J19" s="20"/>
    </row>
    <row r="20" spans="1:10" s="30" customFormat="1" ht="15.75" thickBot="1" x14ac:dyDescent="0.3">
      <c r="A20" s="30" t="s">
        <v>147</v>
      </c>
      <c r="B20" s="46">
        <f>B18</f>
        <v>0.56599999999999995</v>
      </c>
      <c r="C20" s="46">
        <f>C18</f>
        <v>0</v>
      </c>
      <c r="D20" s="46" t="str">
        <f>D18</f>
        <v>natural gas - IPCC</v>
      </c>
      <c r="E20" s="46"/>
      <c r="F20" s="46"/>
      <c r="G20" s="46"/>
      <c r="H20" s="46"/>
      <c r="I20" s="46"/>
      <c r="J20" s="46"/>
    </row>
    <row r="21" spans="1:10" s="21" customFormat="1" x14ac:dyDescent="0.25">
      <c r="B21" s="20"/>
      <c r="C21" s="20"/>
      <c r="D21" s="20"/>
      <c r="E21" s="20"/>
      <c r="F21" s="20"/>
      <c r="G21" s="20"/>
      <c r="H21" s="20"/>
      <c r="I21" s="20"/>
      <c r="J21" s="20"/>
    </row>
    <row r="22" spans="1:10" s="42" customFormat="1" x14ac:dyDescent="0.25">
      <c r="A22" s="21"/>
      <c r="B22" s="20"/>
      <c r="C22" s="20"/>
      <c r="D22" s="20"/>
      <c r="E22" s="20"/>
      <c r="F22" s="20"/>
      <c r="G22" s="20"/>
      <c r="H22" s="20"/>
      <c r="I22" s="20"/>
      <c r="J22" s="20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21" customFormat="1" x14ac:dyDescent="0.25"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42" customFormat="1" x14ac:dyDescent="0.25">
      <c r="A26" s="21"/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21" customFormat="1" x14ac:dyDescent="0.25"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42" customFormat="1" x14ac:dyDescent="0.25">
      <c r="A30" s="21"/>
      <c r="B30" s="20"/>
      <c r="C30" s="20"/>
      <c r="D30" s="20"/>
      <c r="E30" s="20"/>
      <c r="F30" s="20"/>
      <c r="G30" s="20"/>
      <c r="H30" s="20"/>
      <c r="I30" s="20"/>
      <c r="J30" s="20"/>
    </row>
    <row r="32" spans="1:10" ht="15.75" customHeight="1" x14ac:dyDescent="0.25"/>
    <row r="34" spans="1:10" s="83" customFormat="1" x14ac:dyDescent="0.25">
      <c r="A34" s="21"/>
      <c r="B34" s="20"/>
      <c r="C34" s="20"/>
      <c r="D34" s="20"/>
      <c r="E34" s="20"/>
      <c r="F34" s="20"/>
      <c r="G34" s="20"/>
      <c r="H34" s="20"/>
      <c r="I34" s="20"/>
      <c r="J34" s="20"/>
    </row>
    <row r="38" spans="1:10" s="83" customFormat="1" x14ac:dyDescent="0.25">
      <c r="A38" s="21"/>
      <c r="B38" s="20"/>
      <c r="C38" s="20"/>
      <c r="D38" s="20"/>
      <c r="E38" s="20"/>
      <c r="F38" s="20"/>
      <c r="G38" s="20"/>
      <c r="H38" s="20"/>
      <c r="I38" s="20"/>
      <c r="J38" s="20"/>
    </row>
    <row r="40" spans="1:10" ht="14.25" customHeight="1" x14ac:dyDescent="0.25"/>
    <row r="42" spans="1:10" s="83" customFormat="1" x14ac:dyDescent="0.25">
      <c r="A42" s="21"/>
      <c r="B42" s="20"/>
      <c r="C42" s="20"/>
      <c r="D42" s="20"/>
      <c r="E42" s="20"/>
      <c r="F42" s="20"/>
      <c r="G42" s="20"/>
      <c r="H42" s="20"/>
      <c r="I42" s="20"/>
      <c r="J42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1" sqref="E21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5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100" t="s">
        <v>56</v>
      </c>
      <c r="C1" s="55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6" t="s">
        <v>1</v>
      </c>
      <c r="B2" s="55" t="s">
        <v>131</v>
      </c>
      <c r="C2" s="55" t="s">
        <v>164</v>
      </c>
      <c r="E2" s="55" t="s">
        <v>132</v>
      </c>
    </row>
    <row r="3" spans="1:7" x14ac:dyDescent="0.25">
      <c r="A3" s="56" t="s">
        <v>2</v>
      </c>
    </row>
    <row r="4" spans="1:7" s="30" customFormat="1" ht="15.75" thickBot="1" x14ac:dyDescent="0.3">
      <c r="A4" s="30" t="s">
        <v>3</v>
      </c>
      <c r="B4" s="46"/>
      <c r="C4" s="46"/>
      <c r="D4" s="46"/>
      <c r="E4" s="114"/>
      <c r="F4" s="46"/>
      <c r="G4" s="46"/>
    </row>
    <row r="5" spans="1:7" s="42" customFormat="1" ht="17.25" customHeight="1" x14ac:dyDescent="0.25">
      <c r="A5" s="33" t="s">
        <v>151</v>
      </c>
      <c r="B5" s="16">
        <v>0.89</v>
      </c>
      <c r="C5" s="48">
        <f>1-(0.5736/(0.5736+2.9763+0.6597))</f>
        <v>0.86374002280501716</v>
      </c>
      <c r="D5" s="42" t="s">
        <v>95</v>
      </c>
      <c r="E5" s="91">
        <f>(25.3/4.6668)*Ref!B$18</f>
        <v>1.9516585240421703E-2</v>
      </c>
    </row>
    <row r="6" spans="1:7" x14ac:dyDescent="0.25">
      <c r="A6" s="25" t="s">
        <v>152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1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155</v>
      </c>
      <c r="B7" s="47">
        <f t="shared" ref="B7:C7" si="1">B$5</f>
        <v>0.89</v>
      </c>
      <c r="C7" s="47">
        <f t="shared" si="1"/>
        <v>0.86374002280501716</v>
      </c>
      <c r="D7" s="30" t="s">
        <v>113</v>
      </c>
      <c r="E7" s="79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1">
        <f>(25.3/4.6668)*Ref!B$18</f>
        <v>1.9516585240421703E-2</v>
      </c>
    </row>
    <row r="9" spans="1:7" s="42" customFormat="1" x14ac:dyDescent="0.25">
      <c r="A9" s="61" t="s">
        <v>153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1">
        <f>E8</f>
        <v>1.9516585240421703E-2</v>
      </c>
      <c r="F9" s="20"/>
      <c r="G9" s="20"/>
    </row>
    <row r="10" spans="1:7" s="30" customFormat="1" ht="15.75" thickBot="1" x14ac:dyDescent="0.3">
      <c r="A10" s="64" t="s">
        <v>156</v>
      </c>
      <c r="B10" s="46">
        <f>B8</f>
        <v>0.9</v>
      </c>
      <c r="C10" s="47">
        <f>C8</f>
        <v>0.69699077294014</v>
      </c>
      <c r="D10" s="38" t="s">
        <v>113</v>
      </c>
      <c r="E10" s="79">
        <f>E8</f>
        <v>1.9516585240421703E-2</v>
      </c>
      <c r="F10" s="46"/>
      <c r="G10" s="46"/>
    </row>
    <row r="11" spans="1:7" x14ac:dyDescent="0.25">
      <c r="A11" s="63" t="s">
        <v>120</v>
      </c>
      <c r="B11" s="101">
        <v>0.9</v>
      </c>
      <c r="C11" s="102">
        <v>0.7</v>
      </c>
      <c r="D11" s="42" t="s">
        <v>95</v>
      </c>
      <c r="E11" s="91">
        <f>(25.3/4.6668)*Ref!B$18</f>
        <v>1.9516585240421703E-2</v>
      </c>
    </row>
    <row r="12" spans="1:7" ht="16.5" customHeight="1" x14ac:dyDescent="0.25">
      <c r="A12" s="54" t="s">
        <v>154</v>
      </c>
      <c r="B12" s="20">
        <f>B11</f>
        <v>0.9</v>
      </c>
      <c r="C12" s="20">
        <f>C11</f>
        <v>0.7</v>
      </c>
      <c r="D12" s="27" t="s">
        <v>113</v>
      </c>
      <c r="E12" s="91">
        <f>E11</f>
        <v>1.9516585240421703E-2</v>
      </c>
    </row>
    <row r="13" spans="1:7" s="71" customFormat="1" ht="15.75" thickBot="1" x14ac:dyDescent="0.3">
      <c r="A13" s="64" t="s">
        <v>157</v>
      </c>
      <c r="B13" s="46">
        <f>B11</f>
        <v>0.9</v>
      </c>
      <c r="C13" s="46">
        <f>C11</f>
        <v>0.7</v>
      </c>
      <c r="D13" s="38" t="s">
        <v>113</v>
      </c>
      <c r="E13" s="79">
        <f>E11</f>
        <v>1.9516585240421703E-2</v>
      </c>
      <c r="F13" s="46"/>
      <c r="G13" s="46"/>
    </row>
    <row r="14" spans="1:7" x14ac:dyDescent="0.25">
      <c r="A14" s="21" t="s">
        <v>142</v>
      </c>
      <c r="B14" s="16">
        <v>0.9</v>
      </c>
      <c r="C14" s="41">
        <f>1-(0.6535/(0.6535+0.8435+0.6597))</f>
        <v>0.69699077294014</v>
      </c>
      <c r="D14" s="42" t="s">
        <v>95</v>
      </c>
      <c r="E14" s="91">
        <f>(25.3/4.6668)*Ref!B$18</f>
        <v>1.9516585240421703E-2</v>
      </c>
      <c r="F14" s="21"/>
      <c r="G14" s="21"/>
    </row>
    <row r="15" spans="1:7" x14ac:dyDescent="0.25">
      <c r="A15" s="21" t="s">
        <v>143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1">
        <f>E14</f>
        <v>1.9516585240421703E-2</v>
      </c>
    </row>
    <row r="16" spans="1:7" s="30" customFormat="1" ht="15.75" thickBot="1" x14ac:dyDescent="0.3">
      <c r="A16" s="30" t="s">
        <v>144</v>
      </c>
      <c r="B16" s="46">
        <f>B14</f>
        <v>0.9</v>
      </c>
      <c r="C16" s="47">
        <f>C14</f>
        <v>0.69699077294014</v>
      </c>
      <c r="D16" s="38" t="s">
        <v>113</v>
      </c>
      <c r="E16" s="79">
        <f>E14</f>
        <v>1.9516585240421703E-2</v>
      </c>
      <c r="F16" s="46"/>
      <c r="G16" s="46"/>
    </row>
    <row r="17" spans="1:7" s="42" customFormat="1" x14ac:dyDescent="0.25">
      <c r="A17" s="21" t="s">
        <v>145</v>
      </c>
      <c r="B17" s="16">
        <v>0.9</v>
      </c>
      <c r="C17" s="41">
        <f>1-(0.6535/(0.6535+0.8435+0.6597))</f>
        <v>0.69699077294014</v>
      </c>
      <c r="D17" s="42" t="s">
        <v>95</v>
      </c>
      <c r="E17" s="91">
        <f>(25.3/4.6668)*Ref!B$18</f>
        <v>1.9516585240421703E-2</v>
      </c>
      <c r="F17" s="20"/>
      <c r="G17" s="20"/>
    </row>
    <row r="18" spans="1:7" x14ac:dyDescent="0.25">
      <c r="A18" s="21" t="s">
        <v>146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1">
        <f>E17</f>
        <v>1.9516585240421703E-2</v>
      </c>
    </row>
    <row r="19" spans="1:7" s="30" customFormat="1" ht="15.75" thickBot="1" x14ac:dyDescent="0.3">
      <c r="A19" s="30" t="s">
        <v>147</v>
      </c>
      <c r="B19" s="46">
        <f>B17</f>
        <v>0.9</v>
      </c>
      <c r="C19" s="47">
        <f>C17</f>
        <v>0.69699077294014</v>
      </c>
      <c r="D19" s="38" t="s">
        <v>113</v>
      </c>
      <c r="E19" s="79">
        <f>E17</f>
        <v>1.9516585240421703E-2</v>
      </c>
      <c r="F19" s="46"/>
      <c r="G19" s="46"/>
    </row>
    <row r="21" spans="1:7" s="42" customFormat="1" x14ac:dyDescent="0.25">
      <c r="A21" s="21"/>
      <c r="B21" s="20"/>
      <c r="C21" s="20"/>
      <c r="D21" s="20"/>
      <c r="E21" s="55"/>
      <c r="F21" s="20"/>
      <c r="G21" s="20"/>
    </row>
    <row r="25" spans="1:7" s="42" customFormat="1" x14ac:dyDescent="0.25">
      <c r="A25" s="21"/>
      <c r="B25" s="20"/>
      <c r="C25" s="20"/>
      <c r="D25" s="20"/>
      <c r="E25" s="55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" sqref="H1:H1048576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7"/>
    <col min="7" max="16384" width="8.85546875" style="21"/>
  </cols>
  <sheetData>
    <row r="1" spans="1:7" x14ac:dyDescent="0.25">
      <c r="A1" s="103" t="s">
        <v>77</v>
      </c>
      <c r="B1" s="103" t="s">
        <v>78</v>
      </c>
      <c r="C1" s="104" t="s">
        <v>79</v>
      </c>
      <c r="D1" s="104" t="s">
        <v>9</v>
      </c>
      <c r="E1" s="104" t="s">
        <v>80</v>
      </c>
      <c r="F1" s="104" t="s">
        <v>130</v>
      </c>
      <c r="G1" s="104" t="s">
        <v>81</v>
      </c>
    </row>
    <row r="2" spans="1:7" x14ac:dyDescent="0.25">
      <c r="A2" s="105" t="s">
        <v>72</v>
      </c>
      <c r="B2" s="106" t="s">
        <v>82</v>
      </c>
      <c r="C2" s="107" t="s">
        <v>83</v>
      </c>
      <c r="D2" s="107" t="s">
        <v>84</v>
      </c>
      <c r="E2" s="107" t="s">
        <v>85</v>
      </c>
      <c r="F2" s="117" t="s">
        <v>166</v>
      </c>
      <c r="G2" s="108"/>
    </row>
    <row r="3" spans="1:7" x14ac:dyDescent="0.25">
      <c r="A3" s="105" t="s">
        <v>2</v>
      </c>
      <c r="B3" s="106" t="s">
        <v>86</v>
      </c>
      <c r="C3" s="107" t="s">
        <v>87</v>
      </c>
      <c r="D3" s="108"/>
      <c r="E3" s="108"/>
      <c r="F3" s="117"/>
      <c r="G3" s="108"/>
    </row>
    <row r="4" spans="1:7" s="30" customFormat="1" ht="15.75" thickBot="1" x14ac:dyDescent="0.3">
      <c r="A4" s="111" t="s">
        <v>3</v>
      </c>
      <c r="B4" s="111">
        <v>1</v>
      </c>
      <c r="C4" s="112">
        <v>0.9</v>
      </c>
      <c r="D4" s="112">
        <v>1.05</v>
      </c>
      <c r="E4" s="112">
        <v>0</v>
      </c>
      <c r="F4" s="118"/>
      <c r="G4" s="113" t="s">
        <v>88</v>
      </c>
    </row>
    <row r="5" spans="1:7" s="42" customFormat="1" x14ac:dyDescent="0.25">
      <c r="A5" s="33" t="s">
        <v>151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42">
        <v>1E-3</v>
      </c>
      <c r="G5" s="107"/>
    </row>
    <row r="6" spans="1:7" x14ac:dyDescent="0.25">
      <c r="A6" s="25" t="s">
        <v>152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97">
        <f>F5</f>
        <v>1E-3</v>
      </c>
    </row>
    <row r="7" spans="1:7" s="30" customFormat="1" ht="15.75" thickBot="1" x14ac:dyDescent="0.3">
      <c r="A7" s="31" t="s">
        <v>155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19">
        <f>F5</f>
        <v>1E-3</v>
      </c>
    </row>
    <row r="8" spans="1:7" x14ac:dyDescent="0.25">
      <c r="A8" s="81" t="s">
        <v>119</v>
      </c>
      <c r="B8" s="109">
        <v>1</v>
      </c>
      <c r="C8" s="109">
        <v>0.9</v>
      </c>
      <c r="D8" s="109">
        <f>(143.2/0.867)*Ref!B18</f>
        <v>0.59460207612456739</v>
      </c>
      <c r="E8" s="109">
        <v>2</v>
      </c>
      <c r="F8" s="42">
        <v>1E-3</v>
      </c>
      <c r="G8" s="110"/>
    </row>
    <row r="9" spans="1:7" s="42" customFormat="1" x14ac:dyDescent="0.25">
      <c r="A9" s="61" t="s">
        <v>153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97">
        <f>F8</f>
        <v>1E-3</v>
      </c>
      <c r="G9" s="21"/>
    </row>
    <row r="10" spans="1:7" s="30" customFormat="1" ht="15.75" thickBot="1" x14ac:dyDescent="0.3">
      <c r="A10" s="64" t="s">
        <v>156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19">
        <f>F8</f>
        <v>1E-3</v>
      </c>
    </row>
    <row r="11" spans="1:7" x14ac:dyDescent="0.25">
      <c r="A11" s="63" t="s">
        <v>120</v>
      </c>
      <c r="B11" s="48">
        <v>1</v>
      </c>
      <c r="C11" s="48">
        <v>0.9</v>
      </c>
      <c r="D11" s="48">
        <v>0.46</v>
      </c>
      <c r="E11" s="48">
        <v>0</v>
      </c>
      <c r="F11" s="42">
        <v>0</v>
      </c>
      <c r="G11" s="21" t="s">
        <v>133</v>
      </c>
    </row>
    <row r="12" spans="1:7" x14ac:dyDescent="0.25">
      <c r="A12" s="54" t="s">
        <v>154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26">
        <f>F11</f>
        <v>0</v>
      </c>
    </row>
    <row r="13" spans="1:7" s="71" customFormat="1" ht="15.75" thickBot="1" x14ac:dyDescent="0.3">
      <c r="A13" s="64" t="s">
        <v>157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72">
        <f>F11</f>
        <v>0</v>
      </c>
      <c r="G13" s="30"/>
    </row>
    <row r="14" spans="1:7" x14ac:dyDescent="0.25">
      <c r="A14" s="21" t="s">
        <v>142</v>
      </c>
      <c r="B14" s="48">
        <v>1</v>
      </c>
      <c r="C14" s="48">
        <v>0.9</v>
      </c>
      <c r="D14" s="48">
        <v>1.05</v>
      </c>
      <c r="E14" s="48">
        <v>0</v>
      </c>
      <c r="F14" s="42">
        <v>0</v>
      </c>
      <c r="G14" s="107" t="s">
        <v>88</v>
      </c>
    </row>
    <row r="15" spans="1:7" x14ac:dyDescent="0.25">
      <c r="A15" s="21" t="s">
        <v>143</v>
      </c>
      <c r="B15" s="41">
        <f t="shared" ref="B15:E15" si="6">B14</f>
        <v>1</v>
      </c>
      <c r="C15" s="41">
        <f t="shared" si="6"/>
        <v>0.9</v>
      </c>
      <c r="D15" s="41">
        <f t="shared" si="6"/>
        <v>1.05</v>
      </c>
      <c r="E15" s="41">
        <f t="shared" si="6"/>
        <v>0</v>
      </c>
      <c r="F15" s="26">
        <f>F14</f>
        <v>0</v>
      </c>
    </row>
    <row r="16" spans="1:7" s="30" customFormat="1" ht="15.75" thickBot="1" x14ac:dyDescent="0.3">
      <c r="A16" s="30" t="s">
        <v>144</v>
      </c>
      <c r="B16" s="40">
        <f t="shared" ref="B16:E16" si="7">B14</f>
        <v>1</v>
      </c>
      <c r="C16" s="40">
        <f t="shared" si="7"/>
        <v>0.9</v>
      </c>
      <c r="D16" s="40">
        <f t="shared" si="7"/>
        <v>1.05</v>
      </c>
      <c r="E16" s="40">
        <f t="shared" si="7"/>
        <v>0</v>
      </c>
      <c r="F16" s="72">
        <f>F14</f>
        <v>0</v>
      </c>
    </row>
    <row r="17" spans="1:7" s="42" customFormat="1" x14ac:dyDescent="0.25">
      <c r="A17" s="21" t="s">
        <v>145</v>
      </c>
      <c r="B17" s="48">
        <v>1</v>
      </c>
      <c r="C17" s="48">
        <v>1</v>
      </c>
      <c r="D17" s="48">
        <f>60*Ref!B$18</f>
        <v>0.216</v>
      </c>
      <c r="E17" s="48">
        <v>0</v>
      </c>
      <c r="F17" s="42">
        <v>0</v>
      </c>
      <c r="G17" s="21" t="s">
        <v>178</v>
      </c>
    </row>
    <row r="18" spans="1:7" x14ac:dyDescent="0.25">
      <c r="A18" s="21" t="s">
        <v>146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5.75" thickBot="1" x14ac:dyDescent="0.3">
      <c r="A19" s="30" t="s">
        <v>147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2">
        <f>F17</f>
        <v>0</v>
      </c>
    </row>
    <row r="21" spans="1:7" s="42" customFormat="1" x14ac:dyDescent="0.25">
      <c r="A21" s="21"/>
      <c r="B21" s="21"/>
      <c r="C21" s="21"/>
      <c r="D21" s="21"/>
      <c r="E21" s="21"/>
      <c r="F21" s="97"/>
      <c r="G21" s="21"/>
    </row>
    <row r="25" spans="1:7" s="42" customFormat="1" x14ac:dyDescent="0.25">
      <c r="A25" s="21"/>
      <c r="B25" s="21"/>
      <c r="C25" s="21"/>
      <c r="D25" s="21"/>
      <c r="E25" s="21"/>
      <c r="F25" s="97"/>
      <c r="G25" s="21"/>
    </row>
    <row r="33" spans="1:7" s="110" customFormat="1" x14ac:dyDescent="0.25">
      <c r="A33" s="21"/>
      <c r="B33" s="21"/>
      <c r="C33" s="21"/>
      <c r="D33" s="21"/>
      <c r="E33" s="21"/>
      <c r="F33" s="97"/>
      <c r="G33" s="21"/>
    </row>
    <row r="37" spans="1:7" s="42" customFormat="1" x14ac:dyDescent="0.25">
      <c r="A37" s="21"/>
      <c r="B37" s="21"/>
      <c r="C37" s="21"/>
      <c r="D37" s="21"/>
      <c r="E37" s="21"/>
      <c r="F37" s="97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18" sqref="F18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3" x14ac:dyDescent="0.25">
      <c r="A1" s="103" t="s">
        <v>77</v>
      </c>
      <c r="B1" s="21" t="s">
        <v>89</v>
      </c>
      <c r="C1" s="21" t="s">
        <v>90</v>
      </c>
    </row>
    <row r="2" spans="1:3" x14ac:dyDescent="0.25">
      <c r="A2" s="105" t="s">
        <v>72</v>
      </c>
      <c r="B2" s="21" t="s">
        <v>91</v>
      </c>
      <c r="C2" s="21" t="s">
        <v>92</v>
      </c>
    </row>
    <row r="3" spans="1:3" x14ac:dyDescent="0.25">
      <c r="A3" s="105" t="s">
        <v>2</v>
      </c>
    </row>
    <row r="4" spans="1:3" s="30" customFormat="1" ht="15.75" thickBot="1" x14ac:dyDescent="0.3">
      <c r="A4" s="111" t="s">
        <v>3</v>
      </c>
      <c r="B4" s="30">
        <v>0.01</v>
      </c>
      <c r="C4" s="30">
        <v>0</v>
      </c>
    </row>
    <row r="5" spans="1:3" x14ac:dyDescent="0.25">
      <c r="A5" s="33" t="s">
        <v>151</v>
      </c>
      <c r="B5" s="42">
        <v>0.01</v>
      </c>
      <c r="C5" s="42">
        <v>0</v>
      </c>
    </row>
    <row r="6" spans="1:3" x14ac:dyDescent="0.25">
      <c r="A6" s="25" t="s">
        <v>152</v>
      </c>
      <c r="B6" s="21">
        <f>B$5</f>
        <v>0.01</v>
      </c>
      <c r="C6" s="21">
        <f>C$5</f>
        <v>0</v>
      </c>
    </row>
    <row r="7" spans="1:3" s="30" customFormat="1" ht="15.75" thickBot="1" x14ac:dyDescent="0.3">
      <c r="A7" s="31" t="s">
        <v>155</v>
      </c>
      <c r="B7" s="30">
        <f>B$5</f>
        <v>0.01</v>
      </c>
      <c r="C7" s="30">
        <f>C$5</f>
        <v>0</v>
      </c>
    </row>
    <row r="8" spans="1:3" x14ac:dyDescent="0.25">
      <c r="A8" s="33" t="s">
        <v>119</v>
      </c>
      <c r="B8" s="21">
        <f>0.01</f>
        <v>0.01</v>
      </c>
      <c r="C8" s="21">
        <v>0</v>
      </c>
    </row>
    <row r="9" spans="1:3" x14ac:dyDescent="0.25">
      <c r="A9" s="61" t="s">
        <v>153</v>
      </c>
      <c r="B9" s="21">
        <f>B8</f>
        <v>0.01</v>
      </c>
      <c r="C9" s="21">
        <f>C8</f>
        <v>0</v>
      </c>
    </row>
    <row r="10" spans="1:3" s="30" customFormat="1" ht="15.75" thickBot="1" x14ac:dyDescent="0.3">
      <c r="A10" s="70" t="s">
        <v>156</v>
      </c>
      <c r="B10" s="30">
        <f>B8</f>
        <v>0.01</v>
      </c>
      <c r="C10" s="30">
        <v>0</v>
      </c>
    </row>
    <row r="11" spans="1:3" x14ac:dyDescent="0.25">
      <c r="A11" s="63" t="s">
        <v>120</v>
      </c>
      <c r="B11" s="21">
        <f>0.01</f>
        <v>0.01</v>
      </c>
      <c r="C11" s="21">
        <v>0</v>
      </c>
    </row>
    <row r="12" spans="1:3" x14ac:dyDescent="0.25">
      <c r="A12" s="54" t="s">
        <v>154</v>
      </c>
      <c r="B12" s="21">
        <f>B11</f>
        <v>0.01</v>
      </c>
      <c r="C12" s="21">
        <f>C11</f>
        <v>0</v>
      </c>
    </row>
    <row r="13" spans="1:3" s="30" customFormat="1" ht="15.75" thickBot="1" x14ac:dyDescent="0.3">
      <c r="A13" s="64" t="s">
        <v>157</v>
      </c>
      <c r="B13" s="30">
        <f>B11</f>
        <v>0.01</v>
      </c>
      <c r="C13" s="30">
        <f>C11</f>
        <v>0</v>
      </c>
    </row>
    <row r="14" spans="1:3" x14ac:dyDescent="0.25">
      <c r="A14" s="21" t="s">
        <v>142</v>
      </c>
      <c r="B14" s="21">
        <f>0.01</f>
        <v>0.01</v>
      </c>
      <c r="C14" s="21">
        <v>0</v>
      </c>
    </row>
    <row r="15" spans="1:3" s="42" customFormat="1" x14ac:dyDescent="0.25">
      <c r="A15" s="21" t="s">
        <v>143</v>
      </c>
      <c r="B15" s="21">
        <f>B14</f>
        <v>0.01</v>
      </c>
      <c r="C15" s="21">
        <f>C14</f>
        <v>0</v>
      </c>
    </row>
    <row r="16" spans="1:3" s="30" customFormat="1" ht="15.75" thickBot="1" x14ac:dyDescent="0.3">
      <c r="A16" s="30" t="s">
        <v>144</v>
      </c>
      <c r="B16" s="30">
        <f>B14</f>
        <v>0.01</v>
      </c>
      <c r="C16" s="30">
        <f>C14</f>
        <v>0</v>
      </c>
    </row>
    <row r="17" spans="1:3" x14ac:dyDescent="0.25">
      <c r="A17" s="21" t="s">
        <v>145</v>
      </c>
      <c r="B17" s="21">
        <v>0.01</v>
      </c>
      <c r="C17" s="21">
        <v>0</v>
      </c>
    </row>
    <row r="18" spans="1:3" x14ac:dyDescent="0.25">
      <c r="A18" s="21" t="s">
        <v>146</v>
      </c>
      <c r="B18" s="21">
        <f>B17</f>
        <v>0.01</v>
      </c>
      <c r="C18" s="21">
        <f>C17</f>
        <v>0</v>
      </c>
    </row>
    <row r="19" spans="1:3" s="71" customFormat="1" ht="15.75" thickBot="1" x14ac:dyDescent="0.3">
      <c r="A19" s="30" t="s">
        <v>147</v>
      </c>
      <c r="B19" s="30">
        <f>B17</f>
        <v>0.01</v>
      </c>
      <c r="C19" s="30">
        <f>C17</f>
        <v>0</v>
      </c>
    </row>
    <row r="23" spans="1:3" s="42" customFormat="1" x14ac:dyDescent="0.25">
      <c r="A23" s="21"/>
      <c r="B23" s="21"/>
      <c r="C23" s="21"/>
    </row>
    <row r="27" spans="1:3" s="42" customFormat="1" x14ac:dyDescent="0.25">
      <c r="A27" s="21"/>
      <c r="B27" s="21"/>
      <c r="C27" s="21"/>
    </row>
    <row r="31" spans="1:3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9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2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2" t="s">
        <v>98</v>
      </c>
      <c r="E1" s="82" t="s">
        <v>58</v>
      </c>
      <c r="F1" s="21" t="s">
        <v>74</v>
      </c>
    </row>
    <row r="2" spans="1:6" x14ac:dyDescent="0.25">
      <c r="A2" s="56" t="s">
        <v>1</v>
      </c>
      <c r="B2" s="21" t="s">
        <v>61</v>
      </c>
      <c r="C2" s="21" t="s">
        <v>62</v>
      </c>
    </row>
    <row r="3" spans="1:6" x14ac:dyDescent="0.25">
      <c r="A3" s="56" t="s">
        <v>2</v>
      </c>
    </row>
    <row r="4" spans="1:6" s="30" customFormat="1" ht="15.75" thickBot="1" x14ac:dyDescent="0.3">
      <c r="A4" s="72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151</v>
      </c>
      <c r="B5" s="58">
        <v>0.05</v>
      </c>
      <c r="C5" s="58">
        <f>30*Ref!$B$18</f>
        <v>0.108</v>
      </c>
      <c r="D5" s="60"/>
      <c r="E5" s="60"/>
    </row>
    <row r="6" spans="1:6" x14ac:dyDescent="0.25">
      <c r="A6" s="25" t="s">
        <v>152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155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8">
        <v>0.05</v>
      </c>
      <c r="C8" s="58">
        <f>30*Ref!$B$18</f>
        <v>0.108</v>
      </c>
      <c r="D8" s="82"/>
      <c r="E8" s="82"/>
      <c r="F8" s="21"/>
    </row>
    <row r="9" spans="1:6" x14ac:dyDescent="0.25">
      <c r="A9" s="54" t="s">
        <v>153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70" t="s">
        <v>156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4" t="s">
        <v>120</v>
      </c>
      <c r="B11" s="58">
        <v>0.05</v>
      </c>
      <c r="C11" s="58">
        <f>30*Ref!$B$18</f>
        <v>0.108</v>
      </c>
    </row>
    <row r="12" spans="1:6" x14ac:dyDescent="0.25">
      <c r="A12" s="54" t="s">
        <v>154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4" t="s">
        <v>157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142</v>
      </c>
      <c r="B14" s="58">
        <v>0.05</v>
      </c>
      <c r="C14" s="58">
        <f>30*Ref!$B$18</f>
        <v>0.108</v>
      </c>
    </row>
    <row r="15" spans="1:6" x14ac:dyDescent="0.25">
      <c r="A15" t="s">
        <v>143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144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145</v>
      </c>
      <c r="B17" s="58">
        <v>0.05</v>
      </c>
      <c r="C17" s="58">
        <f>30*Ref!$B$18</f>
        <v>0.108</v>
      </c>
    </row>
    <row r="18" spans="1:5" x14ac:dyDescent="0.25">
      <c r="A18" t="s">
        <v>146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147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8.85546875" defaultRowHeight="15" x14ac:dyDescent="0.25"/>
  <cols>
    <col min="1" max="1" width="20.140625" style="21" customWidth="1"/>
    <col min="2" max="2" width="10.140625" style="82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2" t="s">
        <v>158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6" t="s">
        <v>1</v>
      </c>
      <c r="B2" s="86" t="s">
        <v>159</v>
      </c>
      <c r="H2" s="21" t="s">
        <v>109</v>
      </c>
    </row>
    <row r="3" spans="1:9" x14ac:dyDescent="0.25">
      <c r="A3" s="56" t="s">
        <v>2</v>
      </c>
      <c r="B3" s="86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151</v>
      </c>
      <c r="B5" s="87">
        <v>0.72</v>
      </c>
      <c r="C5" s="58">
        <f>0.72/25.8</f>
        <v>2.7906976744186046E-2</v>
      </c>
      <c r="D5" s="42" t="s">
        <v>118</v>
      </c>
      <c r="E5" s="42">
        <v>0</v>
      </c>
      <c r="F5" s="42" t="s">
        <v>113</v>
      </c>
      <c r="G5" s="58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152</v>
      </c>
      <c r="B6" s="87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155</v>
      </c>
      <c r="B7" s="88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7">
        <v>0.72</v>
      </c>
      <c r="C8" s="58">
        <f>0.72/25.8</f>
        <v>2.7906976744186046E-2</v>
      </c>
      <c r="D8" s="42" t="s">
        <v>118</v>
      </c>
      <c r="E8" s="42">
        <v>0</v>
      </c>
      <c r="F8" s="42" t="s">
        <v>113</v>
      </c>
      <c r="G8" s="58">
        <v>1.7999999999999999E-2</v>
      </c>
      <c r="H8" s="42">
        <f>75*Ref!$B$18</f>
        <v>0.27</v>
      </c>
      <c r="I8" s="42"/>
    </row>
    <row r="9" spans="1:9" s="42" customFormat="1" x14ac:dyDescent="0.25">
      <c r="A9" s="61" t="s">
        <v>153</v>
      </c>
      <c r="B9" s="87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4" t="s">
        <v>156</v>
      </c>
      <c r="B10" s="89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4" t="s">
        <v>120</v>
      </c>
      <c r="B11" s="90">
        <v>0.72</v>
      </c>
      <c r="C11" s="58">
        <f>0.72/25.8</f>
        <v>2.7906976744186046E-2</v>
      </c>
      <c r="D11" s="42" t="s">
        <v>118</v>
      </c>
      <c r="E11" s="42">
        <v>0</v>
      </c>
      <c r="F11" s="42" t="s">
        <v>113</v>
      </c>
      <c r="G11" s="58">
        <v>1.7999999999999999E-2</v>
      </c>
      <c r="H11" s="42">
        <f>75*Ref!$B$18</f>
        <v>0.27</v>
      </c>
    </row>
    <row r="12" spans="1:9" x14ac:dyDescent="0.25">
      <c r="A12" s="54" t="s">
        <v>154</v>
      </c>
      <c r="B12" s="90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1" customFormat="1" ht="15.75" thickBot="1" x14ac:dyDescent="0.3">
      <c r="A13" s="64" t="s">
        <v>157</v>
      </c>
      <c r="B13" s="89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142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8">
        <f>(0.04/1.781)*(88/184)*(56/44)</f>
        <v>1.3670873715304056E-2</v>
      </c>
      <c r="H14" s="48">
        <f>128/1.836*Ref!$B$18</f>
        <v>0.25098039215686274</v>
      </c>
    </row>
    <row r="15" spans="1:9" ht="15.75" customHeight="1" x14ac:dyDescent="0.25">
      <c r="A15" t="s">
        <v>143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144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145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8">
        <f>(0.04/1.781)*(88/184)*(56/44)</f>
        <v>1.3670873715304056E-2</v>
      </c>
      <c r="H17" s="48">
        <f>128/1.836*Ref!$B$18</f>
        <v>0.25098039215686274</v>
      </c>
      <c r="I17" s="21"/>
    </row>
    <row r="18" spans="1:9" x14ac:dyDescent="0.25">
      <c r="A18" t="s">
        <v>146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147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2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2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2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6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151</v>
      </c>
      <c r="B5" s="62">
        <v>0.05</v>
      </c>
      <c r="C5" s="42" t="s">
        <v>93</v>
      </c>
      <c r="D5" s="42">
        <v>0</v>
      </c>
      <c r="E5" s="42" t="s">
        <v>113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x14ac:dyDescent="0.25">
      <c r="A6" s="25" t="s">
        <v>152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5.75" thickBot="1" x14ac:dyDescent="0.3">
      <c r="A7" s="31" t="s">
        <v>155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x14ac:dyDescent="0.25">
      <c r="A8" s="33" t="s">
        <v>119</v>
      </c>
      <c r="B8" s="62">
        <v>0.05</v>
      </c>
      <c r="C8" s="42" t="s">
        <v>93</v>
      </c>
      <c r="D8" s="42">
        <v>0</v>
      </c>
      <c r="E8" s="42" t="s">
        <v>113</v>
      </c>
      <c r="F8" s="58">
        <f>0.01+(0.0897*(56/100))</f>
        <v>6.0232000000000008E-2</v>
      </c>
      <c r="G8" s="58">
        <v>0.2</v>
      </c>
    </row>
    <row r="9" spans="1:8" x14ac:dyDescent="0.25">
      <c r="A9" s="61" t="s">
        <v>153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5.75" thickBot="1" x14ac:dyDescent="0.3">
      <c r="A10" s="64" t="s">
        <v>156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x14ac:dyDescent="0.25">
      <c r="A11" s="63" t="s">
        <v>120</v>
      </c>
      <c r="B11" s="62">
        <v>0.05</v>
      </c>
      <c r="C11" s="42" t="s">
        <v>118</v>
      </c>
      <c r="D11" s="42">
        <v>0</v>
      </c>
      <c r="E11" s="42" t="s">
        <v>113</v>
      </c>
      <c r="F11" s="58">
        <f>0.01+(0.1165*(56/100))</f>
        <v>7.5240000000000001E-2</v>
      </c>
      <c r="G11" s="58">
        <v>0.2</v>
      </c>
      <c r="H11" s="42"/>
    </row>
    <row r="12" spans="1:8" x14ac:dyDescent="0.25">
      <c r="A12" s="54" t="s">
        <v>154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x14ac:dyDescent="0.25">
      <c r="A13" s="54" t="s">
        <v>157</v>
      </c>
      <c r="B13" s="22">
        <f>B11</f>
        <v>0.05</v>
      </c>
      <c r="C13" s="22" t="str">
        <f>C11</f>
        <v>coal bituminous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L20" sqref="L20"/>
    </sheetView>
  </sheetViews>
  <sheetFormatPr defaultColWidth="11.42578125" defaultRowHeight="15" x14ac:dyDescent="0.25"/>
  <cols>
    <col min="1" max="1" width="27" style="21" customWidth="1"/>
    <col min="2" max="5" width="11.42578125" style="21"/>
    <col min="6" max="6" width="11.42578125" style="27"/>
    <col min="7" max="7" width="9.85546875" style="21" customWidth="1"/>
    <col min="8" max="11" width="11.42578125" style="21"/>
    <col min="12" max="12" width="20.7109375" style="21" customWidth="1"/>
    <col min="13" max="13" width="12.5703125" style="21" customWidth="1"/>
    <col min="14" max="14" width="11.42578125" style="21"/>
    <col min="15" max="15" width="12.42578125" style="82" hidden="1" customWidth="1"/>
    <col min="16" max="16" width="0" style="82" hidden="1" customWidth="1"/>
    <col min="17" max="17" width="11.42578125" style="56"/>
    <col min="18" max="16384" width="11.42578125" style="21"/>
  </cols>
  <sheetData>
    <row r="1" spans="1:18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112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82" t="s">
        <v>114</v>
      </c>
      <c r="P1" s="82" t="s">
        <v>105</v>
      </c>
      <c r="Q1" s="65" t="s">
        <v>121</v>
      </c>
      <c r="R1" s="21" t="s">
        <v>2</v>
      </c>
    </row>
    <row r="2" spans="1:18" x14ac:dyDescent="0.25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104</v>
      </c>
      <c r="G2" s="56" t="s">
        <v>49</v>
      </c>
      <c r="I2" s="56" t="s">
        <v>53</v>
      </c>
      <c r="K2" s="56" t="s">
        <v>54</v>
      </c>
      <c r="M2" s="21" t="s">
        <v>53</v>
      </c>
      <c r="O2" s="86" t="s">
        <v>54</v>
      </c>
    </row>
    <row r="3" spans="1:18" x14ac:dyDescent="0.25">
      <c r="A3" s="56" t="s">
        <v>2</v>
      </c>
      <c r="B3" s="56"/>
      <c r="C3" s="56"/>
      <c r="D3" s="56"/>
    </row>
    <row r="4" spans="1:18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111</v>
      </c>
      <c r="I4" s="71">
        <v>0</v>
      </c>
      <c r="J4" s="71" t="s">
        <v>113</v>
      </c>
      <c r="K4" s="40">
        <v>0.187</v>
      </c>
      <c r="L4" s="30" t="s">
        <v>110</v>
      </c>
      <c r="M4" s="71">
        <v>0</v>
      </c>
      <c r="N4" s="71" t="s">
        <v>113</v>
      </c>
      <c r="O4" s="37"/>
      <c r="P4" s="37"/>
      <c r="Q4" s="85"/>
    </row>
    <row r="5" spans="1:18" s="42" customFormat="1" x14ac:dyDescent="0.25">
      <c r="A5" s="33" t="s">
        <v>151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113</v>
      </c>
      <c r="K5" s="48">
        <v>0.152</v>
      </c>
      <c r="L5" s="42" t="s">
        <v>118</v>
      </c>
      <c r="M5" s="42">
        <v>0</v>
      </c>
      <c r="N5" s="42" t="s">
        <v>113</v>
      </c>
      <c r="O5" s="60"/>
      <c r="P5" s="60"/>
      <c r="Q5" s="66">
        <f>G5*28.2+K5*25.8</f>
        <v>13.926959999999999</v>
      </c>
    </row>
    <row r="6" spans="1:18" s="26" customFormat="1" x14ac:dyDescent="0.25">
      <c r="A6" s="25" t="s">
        <v>152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113</v>
      </c>
      <c r="K6" s="91">
        <f>K$5</f>
        <v>0.152</v>
      </c>
      <c r="L6" s="26" t="s">
        <v>118</v>
      </c>
      <c r="M6" s="53">
        <v>1</v>
      </c>
      <c r="N6" s="26" t="s">
        <v>113</v>
      </c>
      <c r="O6" s="82"/>
      <c r="P6" s="82"/>
      <c r="Q6" s="66">
        <f t="shared" ref="Q6:Q7" si="2">G6*28.2+K6*25.8</f>
        <v>13.926959999999999</v>
      </c>
    </row>
    <row r="7" spans="1:18" s="30" customFormat="1" ht="15.75" thickBot="1" x14ac:dyDescent="0.3">
      <c r="A7" s="31" t="s">
        <v>155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2" t="str">
        <f t="shared" si="1"/>
        <v>coke - IPCC</v>
      </c>
      <c r="I7" s="72">
        <v>0</v>
      </c>
      <c r="J7" s="72" t="s">
        <v>113</v>
      </c>
      <c r="K7" s="79">
        <f>K$5</f>
        <v>0.152</v>
      </c>
      <c r="L7" s="72" t="s">
        <v>118</v>
      </c>
      <c r="M7" s="73">
        <v>1</v>
      </c>
      <c r="N7" s="72" t="s">
        <v>113</v>
      </c>
      <c r="O7" s="37"/>
      <c r="P7" s="37"/>
      <c r="Q7" s="74">
        <f t="shared" si="2"/>
        <v>13.926959999999999</v>
      </c>
    </row>
    <row r="8" spans="1:18" x14ac:dyDescent="0.25">
      <c r="A8" s="54" t="s">
        <v>119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113</v>
      </c>
      <c r="K8" s="48">
        <v>0.152</v>
      </c>
      <c r="L8" s="42" t="s">
        <v>118</v>
      </c>
      <c r="M8" s="59">
        <v>0</v>
      </c>
      <c r="N8" s="42" t="s">
        <v>113</v>
      </c>
      <c r="Q8" s="80">
        <f t="shared" ref="Q8:Q13" si="3">G8*28.2+K8*25.8</f>
        <v>11.0562</v>
      </c>
      <c r="R8" s="26"/>
    </row>
    <row r="9" spans="1:18" s="26" customFormat="1" x14ac:dyDescent="0.25">
      <c r="A9" s="54" t="s">
        <v>153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2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113</v>
      </c>
      <c r="K9" s="91">
        <f>K8</f>
        <v>0.152</v>
      </c>
      <c r="L9" s="26" t="s">
        <v>118</v>
      </c>
      <c r="M9" s="53">
        <v>1</v>
      </c>
      <c r="N9" s="26" t="s">
        <v>113</v>
      </c>
      <c r="O9" s="82"/>
      <c r="P9" s="82"/>
      <c r="Q9" s="80">
        <f t="shared" si="3"/>
        <v>11.0562</v>
      </c>
    </row>
    <row r="10" spans="1:18" s="30" customFormat="1" ht="15.75" thickBot="1" x14ac:dyDescent="0.3">
      <c r="A10" s="64" t="s">
        <v>156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O10" s="37"/>
      <c r="P10" s="37"/>
      <c r="Q10" s="74">
        <f t="shared" si="3"/>
        <v>11.0562</v>
      </c>
    </row>
    <row r="11" spans="1:18" x14ac:dyDescent="0.25">
      <c r="A11" s="63" t="s">
        <v>120</v>
      </c>
      <c r="B11" s="42">
        <v>0</v>
      </c>
      <c r="C11" s="42">
        <v>1.7</v>
      </c>
      <c r="D11" s="58">
        <f>(1.1+18*(56/100)+9*(88/184)*(56/44))/145</f>
        <v>0.11488455772113944</v>
      </c>
      <c r="E11" s="75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113</v>
      </c>
      <c r="K11" s="48">
        <v>0.56000000000000005</v>
      </c>
      <c r="L11" s="42" t="s">
        <v>118</v>
      </c>
      <c r="M11" s="42">
        <v>0</v>
      </c>
      <c r="N11" s="42" t="s">
        <v>113</v>
      </c>
      <c r="O11" s="93">
        <f>12*Ref!C5</f>
        <v>8.5888069956277322E-3</v>
      </c>
      <c r="P11" s="60" t="s">
        <v>95</v>
      </c>
      <c r="Q11" s="76">
        <f t="shared" si="3"/>
        <v>14.448000000000002</v>
      </c>
      <c r="R11" s="42"/>
    </row>
    <row r="12" spans="1:18" s="26" customFormat="1" x14ac:dyDescent="0.25">
      <c r="A12" s="54" t="s">
        <v>154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1">
        <f>K11</f>
        <v>0.56000000000000005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O12" s="82"/>
      <c r="P12" s="82"/>
      <c r="Q12" s="66">
        <f t="shared" si="3"/>
        <v>14.448000000000002</v>
      </c>
    </row>
    <row r="13" spans="1:18" s="42" customFormat="1" x14ac:dyDescent="0.25">
      <c r="A13" s="54" t="s">
        <v>157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f>K11</f>
        <v>0.56000000000000005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82"/>
      <c r="P13" s="82"/>
      <c r="Q13" s="66">
        <f t="shared" si="3"/>
        <v>14.448000000000002</v>
      </c>
      <c r="R13" s="21"/>
    </row>
    <row r="14" spans="1:18" x14ac:dyDescent="0.25">
      <c r="F14" s="21"/>
      <c r="Q14" s="122"/>
    </row>
    <row r="17" spans="1:18" s="42" customFormat="1" x14ac:dyDescent="0.25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82"/>
      <c r="P17" s="82"/>
      <c r="Q17" s="56"/>
      <c r="R17" s="21"/>
    </row>
    <row r="21" spans="1:18" s="42" customFormat="1" x14ac:dyDescent="0.25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82"/>
      <c r="P21" s="82"/>
      <c r="Q21" s="56"/>
      <c r="R21" s="21"/>
    </row>
    <row r="25" spans="1:18" s="42" customFormat="1" x14ac:dyDescent="0.25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82"/>
      <c r="P25" s="82"/>
      <c r="Q25" s="56"/>
      <c r="R25" s="21"/>
    </row>
    <row r="29" spans="1:18" s="27" customFormat="1" x14ac:dyDescent="0.25">
      <c r="O29" s="120"/>
      <c r="P29" s="120"/>
      <c r="Q29" s="65"/>
    </row>
    <row r="33" spans="1:18" s="26" customFormat="1" x14ac:dyDescent="0.25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82"/>
      <c r="P33" s="82"/>
      <c r="Q33" s="56"/>
      <c r="R33" s="21"/>
    </row>
    <row r="34" spans="1:18" s="26" customFormat="1" x14ac:dyDescent="0.25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82"/>
      <c r="P34" s="82"/>
      <c r="Q34" s="56"/>
      <c r="R34" s="21"/>
    </row>
    <row r="41" spans="1:18" s="42" customFormat="1" x14ac:dyDescent="0.25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82"/>
      <c r="P41" s="82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2" customWidth="1"/>
    <col min="4" max="4" width="14.140625" style="21" bestFit="1" customWidth="1"/>
    <col min="5" max="5" width="14.85546875" style="82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2" t="s">
        <v>68</v>
      </c>
      <c r="D1" s="21" t="s">
        <v>20</v>
      </c>
      <c r="E1" s="82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6" t="s">
        <v>1</v>
      </c>
      <c r="B2" s="56" t="s">
        <v>116</v>
      </c>
      <c r="C2" s="86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6" t="s">
        <v>2</v>
      </c>
      <c r="B3" s="56" t="s">
        <v>117</v>
      </c>
      <c r="C3" s="86"/>
    </row>
    <row r="4" spans="1:13" s="30" customFormat="1" ht="15.75" thickBot="1" x14ac:dyDescent="0.3">
      <c r="A4" s="30" t="s">
        <v>3</v>
      </c>
      <c r="B4" s="96">
        <f>SUM(C4:D4)</f>
        <v>1.1000000000000001</v>
      </c>
      <c r="C4" s="37">
        <v>1</v>
      </c>
      <c r="D4" s="30">
        <v>0.1</v>
      </c>
      <c r="E4" s="68">
        <f>D4/B4</f>
        <v>9.0909090909090912E-2</v>
      </c>
      <c r="F4" s="30">
        <v>0</v>
      </c>
      <c r="G4" s="72" t="s">
        <v>95</v>
      </c>
      <c r="H4" s="30">
        <v>0</v>
      </c>
      <c r="I4" s="72" t="s">
        <v>113</v>
      </c>
      <c r="J4" s="30">
        <v>0</v>
      </c>
      <c r="K4" s="40">
        <v>0</v>
      </c>
    </row>
    <row r="5" spans="1:13" x14ac:dyDescent="0.25">
      <c r="A5" s="33" t="s">
        <v>151</v>
      </c>
      <c r="B5" s="51">
        <f>SUM(C5:D5)</f>
        <v>1.0908</v>
      </c>
      <c r="C5" s="93">
        <f>0.9008</f>
        <v>0.90080000000000005</v>
      </c>
      <c r="D5" s="58">
        <f>0.1169+0.0731</f>
        <v>0.19</v>
      </c>
      <c r="E5" s="94">
        <f t="shared" ref="E5:E10" si="0">D5/B5</f>
        <v>0.17418408507517419</v>
      </c>
      <c r="F5" s="58">
        <v>0</v>
      </c>
      <c r="G5" s="42" t="s">
        <v>95</v>
      </c>
      <c r="H5" s="42">
        <v>0</v>
      </c>
      <c r="I5" s="42" t="s">
        <v>113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x14ac:dyDescent="0.25">
      <c r="A6" s="25" t="s">
        <v>152</v>
      </c>
      <c r="B6" s="22">
        <f>B5</f>
        <v>1.0908</v>
      </c>
      <c r="C6" s="95">
        <f t="shared" ref="C6:L6" si="1">C$5</f>
        <v>0.90080000000000005</v>
      </c>
      <c r="D6" s="22">
        <f t="shared" si="1"/>
        <v>0.19</v>
      </c>
      <c r="E6" s="67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155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8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3" t="s">
        <v>119</v>
      </c>
      <c r="B8" s="51">
        <f t="shared" ref="B8" si="3">SUM(C8:D8)</f>
        <v>1.0908</v>
      </c>
      <c r="C8" s="93">
        <f>0.9008</f>
        <v>0.90080000000000005</v>
      </c>
      <c r="D8" s="58">
        <f>0.1169+0.0731</f>
        <v>0.19</v>
      </c>
      <c r="E8" s="94">
        <f t="shared" si="0"/>
        <v>0.17418408507517419</v>
      </c>
      <c r="F8" s="58">
        <v>0</v>
      </c>
      <c r="G8" s="42" t="s">
        <v>95</v>
      </c>
      <c r="H8" s="42">
        <v>0</v>
      </c>
      <c r="I8" s="42" t="s">
        <v>113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x14ac:dyDescent="0.25">
      <c r="A9" s="54" t="s">
        <v>153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7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5.75" thickBot="1" x14ac:dyDescent="0.3">
      <c r="A10" s="64" t="s">
        <v>156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8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6">
        <f t="shared" si="5"/>
        <v>7.4236530739716242E-2</v>
      </c>
    </row>
    <row r="11" spans="1:13" s="42" customFormat="1" x14ac:dyDescent="0.25">
      <c r="A11" s="54" t="s">
        <v>120</v>
      </c>
      <c r="B11" s="28">
        <f>SUM(C11:D11)</f>
        <v>1.0908</v>
      </c>
      <c r="C11" s="93">
        <f>0.9008</f>
        <v>0.90080000000000005</v>
      </c>
      <c r="D11" s="58">
        <f>0.1169+0.0731</f>
        <v>0.19</v>
      </c>
      <c r="E11" s="94">
        <f t="shared" ref="E11:E13" si="6">D11/B11</f>
        <v>0.17418408507517419</v>
      </c>
      <c r="F11" s="58">
        <v>0</v>
      </c>
      <c r="G11" s="42" t="s">
        <v>95</v>
      </c>
      <c r="H11" s="42">
        <v>0</v>
      </c>
      <c r="I11" s="42" t="s">
        <v>113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x14ac:dyDescent="0.25">
      <c r="A12" s="54" t="s">
        <v>154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7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4" t="s">
        <v>157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8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2"/>
      <c r="D14" s="21"/>
      <c r="E14" s="82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2"/>
      <c r="D18" s="21"/>
      <c r="E18" s="82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2"/>
      <c r="D22" s="21"/>
      <c r="E22" s="82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2"/>
      <c r="D26" s="21"/>
      <c r="E26" s="82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2"/>
      <c r="D30" s="21"/>
      <c r="E30" s="82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2"/>
      <c r="D34" s="21"/>
      <c r="E34" s="82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2"/>
      <c r="D38" s="21"/>
      <c r="E38" s="82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139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135</v>
      </c>
      <c r="C2" t="s">
        <v>136</v>
      </c>
      <c r="E2" t="s">
        <v>137</v>
      </c>
      <c r="F2" t="s">
        <v>134</v>
      </c>
      <c r="G2" t="s">
        <v>138</v>
      </c>
      <c r="H2" t="s">
        <v>141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142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171</v>
      </c>
      <c r="H5">
        <v>0</v>
      </c>
    </row>
    <row r="6" spans="1:8" x14ac:dyDescent="0.25">
      <c r="A6" t="s">
        <v>143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144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145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171</v>
      </c>
      <c r="H8">
        <f>160*Ref!C12</f>
        <v>0.22842009458374227</v>
      </c>
    </row>
    <row r="9" spans="1:8" x14ac:dyDescent="0.25">
      <c r="A9" t="s">
        <v>146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147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D17" sqref="D1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6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6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148</v>
      </c>
      <c r="B5" s="41">
        <v>0</v>
      </c>
      <c r="C5" s="77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149</v>
      </c>
      <c r="B6" s="41">
        <v>0</v>
      </c>
      <c r="C6" s="77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2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150</v>
      </c>
      <c r="B7" s="40">
        <v>0</v>
      </c>
      <c r="C7" s="78">
        <f>((433-3.5*((H7/(H7+I7)*100)-79*(H7/(H7+I7))-101*(I7/(H7+I7))))*Ref!B$18)*(H7+I7)</f>
        <v>1.4236200000000001</v>
      </c>
      <c r="D7" s="40">
        <v>3.0000000000000001E-3</v>
      </c>
      <c r="E7" s="72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142</v>
      </c>
      <c r="B8" s="43">
        <v>0</v>
      </c>
      <c r="C8" s="77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2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143</v>
      </c>
      <c r="B9" s="43">
        <v>0</v>
      </c>
      <c r="C9" s="77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2">
        <v>0</v>
      </c>
      <c r="G9" s="21" t="s">
        <v>113</v>
      </c>
      <c r="H9" s="21">
        <f>H8</f>
        <v>0.19</v>
      </c>
      <c r="I9" s="28">
        <f>I8</f>
        <v>0.90100000000000002</v>
      </c>
      <c r="J9" s="92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144</v>
      </c>
      <c r="B10" s="44">
        <v>0</v>
      </c>
      <c r="C10" s="78">
        <f>(735*Ref!B$18)/1.0543</f>
        <v>2.5097220904865787</v>
      </c>
      <c r="D10" s="40">
        <f t="shared" si="0"/>
        <v>2.1815422555249927E-2</v>
      </c>
      <c r="E10" s="72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21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145</v>
      </c>
      <c r="B11" s="43">
        <v>0</v>
      </c>
      <c r="C11" s="77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2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146</v>
      </c>
      <c r="B12" s="43">
        <v>0</v>
      </c>
      <c r="C12" s="77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2">
        <v>0</v>
      </c>
      <c r="G12" s="21" t="s">
        <v>113</v>
      </c>
      <c r="H12" s="21">
        <f>H11</f>
        <v>0.19</v>
      </c>
      <c r="I12" s="28">
        <f>I11</f>
        <v>0.90100000000000002</v>
      </c>
      <c r="J12" s="92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147</v>
      </c>
      <c r="B13" s="44">
        <v>0</v>
      </c>
      <c r="C13" s="78">
        <f>(735*Ref!B$18)/1.0543</f>
        <v>2.5097220904865787</v>
      </c>
      <c r="D13" s="40">
        <f t="shared" si="0"/>
        <v>2.1815422555249927E-2</v>
      </c>
      <c r="E13" s="72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21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14" sqref="G14"/>
    </sheetView>
  </sheetViews>
  <sheetFormatPr defaultColWidth="8.85546875" defaultRowHeight="15" x14ac:dyDescent="0.25"/>
  <cols>
    <col min="1" max="1" width="11.7109375" bestFit="1" customWidth="1"/>
    <col min="2" max="5" width="11.7109375" customWidth="1"/>
    <col min="6" max="7" width="14.85546875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139</v>
      </c>
      <c r="D1" t="s">
        <v>11</v>
      </c>
      <c r="E1" t="s">
        <v>12</v>
      </c>
      <c r="F1" t="s">
        <v>161</v>
      </c>
      <c r="G1" t="s">
        <v>163</v>
      </c>
      <c r="H1" t="s">
        <v>64</v>
      </c>
      <c r="I1" t="s">
        <v>172</v>
      </c>
      <c r="J1" t="s">
        <v>169</v>
      </c>
      <c r="K1" t="s">
        <v>7</v>
      </c>
      <c r="L1" t="s">
        <v>167</v>
      </c>
      <c r="M1" t="s">
        <v>174</v>
      </c>
      <c r="N1" t="s">
        <v>176</v>
      </c>
    </row>
    <row r="2" spans="1:14" x14ac:dyDescent="0.25">
      <c r="A2" s="2" t="s">
        <v>1</v>
      </c>
      <c r="C2" t="s">
        <v>160</v>
      </c>
      <c r="D2" t="s">
        <v>134</v>
      </c>
      <c r="F2" t="s">
        <v>162</v>
      </c>
      <c r="H2" t="s">
        <v>140</v>
      </c>
      <c r="I2" t="s">
        <v>170</v>
      </c>
      <c r="K2" t="s">
        <v>177</v>
      </c>
      <c r="L2" t="s">
        <v>170</v>
      </c>
      <c r="M2" t="s">
        <v>175</v>
      </c>
      <c r="N2" t="s">
        <v>175</v>
      </c>
    </row>
    <row r="3" spans="1:14" x14ac:dyDescent="0.25">
      <c r="A3" s="2" t="s">
        <v>2</v>
      </c>
      <c r="B3" s="2"/>
      <c r="C3" s="2"/>
      <c r="D3" s="2"/>
      <c r="E3" s="2"/>
      <c r="L3" t="s">
        <v>168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0.6</v>
      </c>
      <c r="G4" s="21" t="s">
        <v>180</v>
      </c>
      <c r="H4" s="21">
        <v>0.21</v>
      </c>
      <c r="I4" s="21">
        <v>0.17</v>
      </c>
      <c r="J4" s="21">
        <v>0.47</v>
      </c>
      <c r="K4" s="21">
        <v>0</v>
      </c>
      <c r="L4" s="21">
        <v>1E-3</v>
      </c>
      <c r="M4" s="21">
        <v>0.45</v>
      </c>
      <c r="N4" s="21">
        <v>0.73399999999999999</v>
      </c>
    </row>
    <row r="5" spans="1:14" s="30" customFormat="1" ht="15.75" thickBot="1" x14ac:dyDescent="0.3">
      <c r="A5" s="30" t="s">
        <v>179</v>
      </c>
      <c r="B5" s="30" t="str">
        <f>B4</f>
        <v>natural gas - IPCC</v>
      </c>
      <c r="C5" s="30">
        <f t="shared" ref="C5:N5" si="0">C4</f>
        <v>0</v>
      </c>
      <c r="D5" s="30">
        <f t="shared" si="0"/>
        <v>0</v>
      </c>
      <c r="E5" s="30" t="str">
        <f t="shared" si="0"/>
        <v>charcoal - IPCC</v>
      </c>
      <c r="F5" s="30">
        <v>0.6</v>
      </c>
      <c r="G5" s="30" t="s">
        <v>180</v>
      </c>
      <c r="H5" s="30">
        <f t="shared" si="0"/>
        <v>0.21</v>
      </c>
      <c r="I5" s="30">
        <f t="shared" si="0"/>
        <v>0.17</v>
      </c>
      <c r="J5" s="30">
        <f t="shared" si="0"/>
        <v>0.47</v>
      </c>
      <c r="K5" s="30">
        <f t="shared" si="0"/>
        <v>0</v>
      </c>
      <c r="L5" s="30">
        <f t="shared" si="0"/>
        <v>1E-3</v>
      </c>
      <c r="M5" s="30">
        <f t="shared" si="0"/>
        <v>0.45</v>
      </c>
      <c r="N5" s="30">
        <f t="shared" si="0"/>
        <v>0.73399999999999999</v>
      </c>
    </row>
    <row r="6" spans="1:14" x14ac:dyDescent="0.25">
      <c r="A6" t="s">
        <v>142</v>
      </c>
      <c r="B6" t="s">
        <v>95</v>
      </c>
      <c r="C6">
        <v>0</v>
      </c>
      <c r="D6">
        <v>0</v>
      </c>
      <c r="E6" t="s">
        <v>113</v>
      </c>
      <c r="F6">
        <v>0.79</v>
      </c>
      <c r="G6" t="s">
        <v>173</v>
      </c>
      <c r="H6">
        <v>0.21</v>
      </c>
      <c r="I6">
        <v>0.17</v>
      </c>
      <c r="J6">
        <v>0.47</v>
      </c>
      <c r="K6">
        <v>0</v>
      </c>
      <c r="L6" s="124">
        <v>1E-3</v>
      </c>
      <c r="M6">
        <v>0.45</v>
      </c>
      <c r="N6">
        <v>0.73399999999999999</v>
      </c>
    </row>
    <row r="7" spans="1:14" x14ac:dyDescent="0.25">
      <c r="A7" t="s">
        <v>143</v>
      </c>
      <c r="B7" t="str">
        <f t="shared" ref="B7:L7" si="1">B6</f>
        <v>natural gas - IPCC</v>
      </c>
      <c r="C7">
        <f t="shared" si="1"/>
        <v>0</v>
      </c>
      <c r="D7" s="123">
        <v>0.5</v>
      </c>
      <c r="E7" t="str">
        <f t="shared" si="1"/>
        <v>charcoal - IPCC</v>
      </c>
      <c r="F7">
        <f t="shared" si="1"/>
        <v>0.79</v>
      </c>
      <c r="G7" t="str">
        <f t="shared" si="1"/>
        <v>wood (20% moisture)</v>
      </c>
      <c r="H7">
        <f t="shared" si="1"/>
        <v>0.21</v>
      </c>
      <c r="I7">
        <f t="shared" si="1"/>
        <v>0.17</v>
      </c>
      <c r="J7">
        <f t="shared" si="1"/>
        <v>0.47</v>
      </c>
      <c r="K7">
        <f t="shared" si="1"/>
        <v>0</v>
      </c>
      <c r="L7">
        <f t="shared" si="1"/>
        <v>1E-3</v>
      </c>
      <c r="M7">
        <f>M6</f>
        <v>0.45</v>
      </c>
      <c r="N7">
        <f>N6</f>
        <v>0.73399999999999999</v>
      </c>
    </row>
    <row r="8" spans="1:14" s="30" customFormat="1" ht="15.75" thickBot="1" x14ac:dyDescent="0.3">
      <c r="A8" s="30" t="s">
        <v>144</v>
      </c>
      <c r="B8" s="30" t="str">
        <f t="shared" ref="B8:L8" si="2">B6</f>
        <v>natural gas - IPCC</v>
      </c>
      <c r="C8" s="30">
        <f t="shared" si="2"/>
        <v>0</v>
      </c>
      <c r="D8" s="32">
        <v>1</v>
      </c>
      <c r="E8" s="30" t="str">
        <f t="shared" si="2"/>
        <v>charcoal - IPCC</v>
      </c>
      <c r="F8" s="30">
        <f t="shared" si="2"/>
        <v>0.79</v>
      </c>
      <c r="G8" s="30" t="str">
        <f t="shared" si="2"/>
        <v>wood (20% moisture)</v>
      </c>
      <c r="H8" s="30">
        <f t="shared" si="2"/>
        <v>0.21</v>
      </c>
      <c r="I8" s="30">
        <f t="shared" si="2"/>
        <v>0.17</v>
      </c>
      <c r="J8" s="30">
        <f t="shared" si="2"/>
        <v>0.47</v>
      </c>
      <c r="K8" s="30">
        <f t="shared" si="2"/>
        <v>0</v>
      </c>
      <c r="L8" s="30">
        <f t="shared" si="2"/>
        <v>1E-3</v>
      </c>
      <c r="M8" s="30">
        <f>M6</f>
        <v>0.45</v>
      </c>
      <c r="N8" s="30">
        <f>N6</f>
        <v>0.73399999999999999</v>
      </c>
    </row>
    <row r="9" spans="1:14" x14ac:dyDescent="0.25">
      <c r="A9" t="s">
        <v>145</v>
      </c>
      <c r="B9" t="s">
        <v>95</v>
      </c>
      <c r="C9">
        <v>0</v>
      </c>
      <c r="D9">
        <v>0</v>
      </c>
      <c r="E9" t="s">
        <v>113</v>
      </c>
      <c r="F9">
        <v>0.79</v>
      </c>
      <c r="G9" t="s">
        <v>173</v>
      </c>
      <c r="H9">
        <v>0.21</v>
      </c>
      <c r="I9">
        <v>0.17</v>
      </c>
      <c r="J9">
        <v>0.47</v>
      </c>
      <c r="K9">
        <v>0</v>
      </c>
      <c r="L9" s="124">
        <v>1E-3</v>
      </c>
      <c r="M9">
        <v>0.45</v>
      </c>
      <c r="N9">
        <v>0.73399999999999999</v>
      </c>
    </row>
    <row r="10" spans="1:14" x14ac:dyDescent="0.25">
      <c r="A10" t="s">
        <v>146</v>
      </c>
      <c r="B10" t="str">
        <f t="shared" ref="B10:L10" si="3">B9</f>
        <v>natural gas - IPCC</v>
      </c>
      <c r="C10">
        <f t="shared" si="3"/>
        <v>0</v>
      </c>
      <c r="D10" s="123">
        <v>0.5</v>
      </c>
      <c r="E10" t="str">
        <f t="shared" si="3"/>
        <v>charcoal - IPCC</v>
      </c>
      <c r="F10">
        <f t="shared" si="3"/>
        <v>0.79</v>
      </c>
      <c r="G10" t="str">
        <f t="shared" si="3"/>
        <v>wood (20% moisture)</v>
      </c>
      <c r="H10">
        <f t="shared" si="3"/>
        <v>0.21</v>
      </c>
      <c r="I10">
        <f t="shared" si="3"/>
        <v>0.17</v>
      </c>
      <c r="J10">
        <f t="shared" si="3"/>
        <v>0.47</v>
      </c>
      <c r="K10">
        <f t="shared" si="3"/>
        <v>0</v>
      </c>
      <c r="L10">
        <f t="shared" si="3"/>
        <v>1E-3</v>
      </c>
      <c r="M10">
        <f>M9</f>
        <v>0.45</v>
      </c>
      <c r="N10">
        <f>N9</f>
        <v>0.73399999999999999</v>
      </c>
    </row>
    <row r="11" spans="1:14" s="30" customFormat="1" ht="15.75" thickBot="1" x14ac:dyDescent="0.3">
      <c r="A11" s="30" t="s">
        <v>147</v>
      </c>
      <c r="B11" s="30" t="str">
        <f t="shared" ref="B11:L11" si="4">B9</f>
        <v>natural gas - IPCC</v>
      </c>
      <c r="C11" s="30">
        <f t="shared" si="4"/>
        <v>0</v>
      </c>
      <c r="D11" s="32">
        <v>1</v>
      </c>
      <c r="E11" s="30" t="str">
        <f t="shared" si="4"/>
        <v>charcoal - IPCC</v>
      </c>
      <c r="F11" s="30">
        <f t="shared" si="4"/>
        <v>0.79</v>
      </c>
      <c r="G11" s="30" t="str">
        <f t="shared" si="4"/>
        <v>wood (20% moisture)</v>
      </c>
      <c r="H11" s="30">
        <f t="shared" si="4"/>
        <v>0.21</v>
      </c>
      <c r="I11" s="30">
        <f t="shared" si="4"/>
        <v>0.17</v>
      </c>
      <c r="J11" s="30">
        <f t="shared" si="4"/>
        <v>0.47</v>
      </c>
      <c r="K11" s="30">
        <f t="shared" si="4"/>
        <v>0</v>
      </c>
      <c r="L11" s="30">
        <f t="shared" si="4"/>
        <v>1E-3</v>
      </c>
      <c r="M11" s="30">
        <f>M9</f>
        <v>0.45</v>
      </c>
      <c r="N11" s="30">
        <f>N9</f>
        <v>0.73399999999999999</v>
      </c>
    </row>
    <row r="12" spans="1:14" x14ac:dyDescent="0.25">
      <c r="A12" s="2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2019-09-10T16:12:32Z</dcterms:modified>
</cp:coreProperties>
</file>