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FD6A83FB-A1C3-3248-8742-0610E7513C8C}" xr6:coauthVersionLast="45" xr6:coauthVersionMax="45" xr10:uidLastSave="{00000000-0000-0000-0000-000000000000}"/>
  <bookViews>
    <workbookView xWindow="9260" yWindow="460" windowWidth="19540" windowHeight="17540" xr2:uid="{00000000-000D-0000-FFFF-FFFF00000000}"/>
  </bookViews>
  <sheets>
    <sheet name="up-emissions" sheetId="3" r:id="rId1"/>
    <sheet name="up-removals" sheetId="2" r:id="rId2"/>
    <sheet name="down-emissions" sheetId="6" r:id="rId3"/>
    <sheet name="down-removal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" i="3" l="1"/>
  <c r="I71" i="3"/>
  <c r="H71" i="3" s="1"/>
  <c r="I70" i="3"/>
  <c r="C70" i="3"/>
  <c r="D71" i="3"/>
  <c r="C71" i="3"/>
  <c r="N71" i="3" l="1"/>
  <c r="C64" i="2"/>
  <c r="F92" i="3"/>
  <c r="E92" i="3"/>
  <c r="D92" i="3"/>
  <c r="C93" i="3" l="1"/>
  <c r="C90" i="3"/>
  <c r="C89" i="3"/>
  <c r="C88" i="3"/>
  <c r="C87" i="3"/>
  <c r="C86" i="3"/>
  <c r="C85" i="3"/>
  <c r="G55" i="3" l="1"/>
  <c r="G54" i="3"/>
  <c r="C84" i="3"/>
  <c r="C83" i="3" l="1"/>
  <c r="C82" i="3"/>
  <c r="C43" i="2" l="1"/>
  <c r="C42" i="2"/>
  <c r="C39" i="2"/>
  <c r="C77" i="3" l="1"/>
  <c r="C76" i="3"/>
  <c r="C75" i="3"/>
  <c r="C74" i="3"/>
  <c r="C81" i="3" l="1"/>
  <c r="C80" i="3"/>
  <c r="C79" i="3"/>
  <c r="C78" i="3"/>
  <c r="C4" i="3"/>
  <c r="C92" i="3" s="1"/>
  <c r="H8" i="3" l="1"/>
  <c r="L8" i="3" s="1"/>
  <c r="C8" i="3"/>
  <c r="N8" i="3" l="1"/>
  <c r="C26" i="3"/>
  <c r="K34" i="3" l="1"/>
  <c r="J34" i="3"/>
  <c r="I34" i="3"/>
  <c r="K33" i="3"/>
  <c r="J33" i="3"/>
  <c r="I33" i="3"/>
  <c r="F34" i="3"/>
  <c r="E34" i="3"/>
  <c r="F33" i="3"/>
  <c r="E33" i="3"/>
  <c r="D33" i="3"/>
  <c r="D34" i="3"/>
  <c r="C28" i="3" l="1"/>
  <c r="C27" i="3"/>
  <c r="C25" i="3"/>
  <c r="C24" i="3"/>
  <c r="H4" i="3" l="1"/>
  <c r="H12" i="3" s="1"/>
  <c r="L12" i="3" s="1"/>
  <c r="H5" i="3"/>
  <c r="C6" i="3"/>
  <c r="N6" i="3" s="1"/>
  <c r="H6" i="3"/>
  <c r="C7" i="3"/>
  <c r="H7" i="3"/>
  <c r="L7" i="3" s="1"/>
  <c r="C11" i="3"/>
  <c r="H11" i="3"/>
  <c r="L11" i="3" s="1"/>
  <c r="C12" i="3"/>
  <c r="C13" i="3"/>
  <c r="H13" i="3"/>
  <c r="L13" i="3" s="1"/>
  <c r="C14" i="3"/>
  <c r="H14" i="3"/>
  <c r="L14" i="3" s="1"/>
  <c r="D15" i="3"/>
  <c r="E15" i="3"/>
  <c r="F15" i="3"/>
  <c r="I15" i="3"/>
  <c r="J15" i="3"/>
  <c r="C16" i="3"/>
  <c r="H16" i="3"/>
  <c r="H37" i="3" s="1"/>
  <c r="L37" i="3" s="1"/>
  <c r="C17" i="3"/>
  <c r="H17" i="3"/>
  <c r="L17" i="3" s="1"/>
  <c r="H18" i="3"/>
  <c r="C19" i="3"/>
  <c r="H19" i="3"/>
  <c r="L19" i="3" s="1"/>
  <c r="H20" i="3"/>
  <c r="C21" i="3"/>
  <c r="I21" i="3"/>
  <c r="H21" i="3" s="1"/>
  <c r="C22" i="3"/>
  <c r="I22" i="3"/>
  <c r="H22" i="3" s="1"/>
  <c r="C29" i="3"/>
  <c r="H29" i="3"/>
  <c r="L29" i="3" s="1"/>
  <c r="D30" i="3"/>
  <c r="H30" i="3"/>
  <c r="H33" i="3"/>
  <c r="C34" i="3"/>
  <c r="H34" i="3"/>
  <c r="C35" i="3"/>
  <c r="H35" i="3"/>
  <c r="L35" i="3" s="1"/>
  <c r="C36" i="3"/>
  <c r="N36" i="3" s="1"/>
  <c r="C37" i="3"/>
  <c r="C38" i="3"/>
  <c r="H38" i="3"/>
  <c r="L38" i="3" s="1"/>
  <c r="C39" i="3"/>
  <c r="H39" i="3"/>
  <c r="L39" i="3" s="1"/>
  <c r="G40" i="3"/>
  <c r="M40" i="3"/>
  <c r="G41" i="3"/>
  <c r="M41" i="3"/>
  <c r="G42" i="3"/>
  <c r="M42" i="3"/>
  <c r="G43" i="3"/>
  <c r="G44" i="3"/>
  <c r="M44" i="3"/>
  <c r="G45" i="3"/>
  <c r="M45" i="3"/>
  <c r="G46" i="3"/>
  <c r="M46" i="3"/>
  <c r="G47" i="3"/>
  <c r="M47" i="3"/>
  <c r="G48" i="3"/>
  <c r="M48" i="3"/>
  <c r="G49" i="3"/>
  <c r="M49" i="3"/>
  <c r="G50" i="3"/>
  <c r="M50" i="3"/>
  <c r="G51" i="3"/>
  <c r="M51" i="3"/>
  <c r="G52" i="3"/>
  <c r="M52" i="3"/>
  <c r="G53" i="3"/>
  <c r="M53" i="3"/>
  <c r="C56" i="3"/>
  <c r="H56" i="3"/>
  <c r="C57" i="3"/>
  <c r="H57" i="3"/>
  <c r="C58" i="3"/>
  <c r="H58" i="3"/>
  <c r="C59" i="3"/>
  <c r="I59" i="3"/>
  <c r="J59" i="3"/>
  <c r="C60" i="3"/>
  <c r="H60" i="3"/>
  <c r="L60" i="3" s="1"/>
  <c r="C61" i="3"/>
  <c r="H61" i="3"/>
  <c r="L61" i="3" s="1"/>
  <c r="C62" i="3"/>
  <c r="H62" i="3"/>
  <c r="L62" i="3" s="1"/>
  <c r="C63" i="3"/>
  <c r="H63" i="3"/>
  <c r="L63" i="3" s="1"/>
  <c r="C64" i="3"/>
  <c r="H64" i="3"/>
  <c r="L64" i="3" s="1"/>
  <c r="C65" i="3"/>
  <c r="H65" i="3"/>
  <c r="L65" i="3" s="1"/>
  <c r="C66" i="3"/>
  <c r="H66" i="3"/>
  <c r="L66" i="3" s="1"/>
  <c r="D67" i="3"/>
  <c r="E67" i="3"/>
  <c r="F67" i="3"/>
  <c r="I67" i="3"/>
  <c r="J67" i="3"/>
  <c r="C68" i="3"/>
  <c r="H68" i="3"/>
  <c r="L68" i="3" s="1"/>
  <c r="C69" i="3"/>
  <c r="J69" i="3"/>
  <c r="H69" i="3" s="1"/>
  <c r="L69" i="3" s="1"/>
  <c r="C72" i="3"/>
  <c r="I72" i="3"/>
  <c r="J72" i="3"/>
  <c r="K72" i="3"/>
  <c r="C73" i="3"/>
  <c r="I73" i="3"/>
  <c r="J73" i="3"/>
  <c r="K73" i="3"/>
  <c r="N7" i="3" l="1"/>
  <c r="N65" i="3"/>
  <c r="N63" i="3"/>
  <c r="N61" i="3"/>
  <c r="L16" i="3"/>
  <c r="N16" i="3" s="1"/>
  <c r="N14" i="3"/>
  <c r="H15" i="3"/>
  <c r="L15" i="3" s="1"/>
  <c r="N12" i="3"/>
  <c r="L30" i="3"/>
  <c r="N35" i="3"/>
  <c r="N29" i="3"/>
  <c r="C30" i="3"/>
  <c r="H31" i="3" s="1"/>
  <c r="H72" i="3"/>
  <c r="L72" i="3" s="1"/>
  <c r="N72" i="3" s="1"/>
  <c r="N66" i="3"/>
  <c r="N64" i="3"/>
  <c r="N62" i="3"/>
  <c r="N60" i="3"/>
  <c r="L34" i="3"/>
  <c r="N34" i="3" s="1"/>
  <c r="L33" i="3"/>
  <c r="N68" i="3"/>
  <c r="H67" i="3"/>
  <c r="L67" i="3" s="1"/>
  <c r="C33" i="3"/>
  <c r="N17" i="3"/>
  <c r="N13" i="3"/>
  <c r="N11" i="3"/>
  <c r="H59" i="3"/>
  <c r="N38" i="3"/>
  <c r="H73" i="3"/>
  <c r="L73" i="3" s="1"/>
  <c r="N73" i="3" s="1"/>
  <c r="N69" i="3"/>
  <c r="N39" i="3"/>
  <c r="N37" i="3"/>
  <c r="C67" i="3"/>
  <c r="C15" i="3"/>
  <c r="H9" i="3"/>
  <c r="L9" i="3" s="1"/>
  <c r="N9" i="3" s="1"/>
  <c r="H10" i="3"/>
  <c r="L10" i="3" s="1"/>
  <c r="N10" i="3" s="1"/>
  <c r="B12" i="2"/>
  <c r="N30" i="3" l="1"/>
  <c r="N33" i="3"/>
  <c r="C32" i="3"/>
  <c r="N15" i="3"/>
  <c r="H32" i="3"/>
  <c r="L32" i="3" s="1"/>
  <c r="N67" i="3"/>
  <c r="C31" i="3"/>
  <c r="B43" i="2"/>
  <c r="B42" i="2"/>
  <c r="N32" i="3" l="1"/>
  <c r="B39" i="2"/>
  <c r="B13" i="2" l="1"/>
</calcChain>
</file>

<file path=xl/sharedStrings.xml><?xml version="1.0" encoding="utf-8"?>
<sst xmlns="http://schemas.openxmlformats.org/spreadsheetml/2006/main" count="392" uniqueCount="170">
  <si>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</si>
  <si>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</si>
  <si>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</si>
  <si>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</si>
  <si>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</si>
  <si>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</si>
  <si>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</si>
  <si>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</si>
  <si>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</si>
  <si>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</si>
  <si>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</si>
  <si>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</si>
  <si>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</si>
  <si>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</si>
  <si>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</si>
  <si>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</si>
  <si>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</si>
  <si>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</si>
  <si>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</si>
  <si>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</si>
  <si>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</si>
  <si>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</si>
  <si>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</si>
  <si>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</si>
  <si>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</si>
  <si>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</si>
  <si>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</si>
  <si>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</si>
  <si>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</si>
  <si>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</si>
  <si>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</si>
  <si>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</si>
  <si>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</si>
  <si>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</si>
  <si>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</si>
  <si>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</si>
  <si>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</si>
  <si>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</si>
  <si>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</si>
  <si>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</si>
  <si>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</si>
  <si>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</si>
  <si>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</si>
  <si>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</si>
  <si>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</si>
  <si>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</si>
  <si>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</si>
  <si>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</si>
  <si>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</si>
  <si>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</si>
  <si>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</si>
  <si>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</si>
  <si>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</si>
  <si>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</si>
  <si>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</si>
  <si>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</si>
  <si>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</si>
  <si>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</si>
  <si>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</si>
  <si>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</si>
  <si>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</si>
  <si>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</si>
  <si>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</si>
  <si>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</si>
  <si>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</si>
  <si>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</si>
  <si>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</si>
  <si>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</si>
  <si>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</si>
  <si>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</si>
  <si>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</si>
  <si>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</si>
  <si>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</si>
  <si>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</si>
  <si>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</si>
  <si>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</si>
  <si>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</si>
  <si>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</si>
  <si>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</si>
  <si>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</si>
  <si>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</si>
  <si>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</si>
  <si>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</si>
  <si>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</si>
  <si>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</si>
  <si>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</si>
  <si>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</si>
  <si>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</si>
  <si>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</si>
  <si>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</si>
  <si>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</si>
  <si>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</si>
  <si>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</si>
  <si>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</si>
  <si>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</si>
  <si>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</si>
  <si>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</si>
  <si>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</si>
  <si>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</si>
  <si>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</si>
  <si>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</si>
  <si>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</si>
  <si>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</si>
  <si>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</si>
  <si>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</si>
  <si>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</si>
  <si>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</si>
  <si>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</si>
  <si>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</si>
  <si>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</si>
  <si>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</si>
  <si>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</si>
  <si>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</si>
  <si>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</si>
  <si>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</si>
  <si>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</si>
  <si>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</si>
  <si>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</si>
  <si>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</si>
  <si>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</si>
  <si>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</si>
  <si>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</si>
  <si>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</si>
  <si>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</si>
  <si>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</si>
  <si>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</si>
  <si>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Calcerous Marl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</si>
  <si>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</si>
  <si>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</si>
  <si>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</si>
  <si>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</si>
  <si>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</si>
  <si>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</si>
  <si>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</si>
  <si>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</si>
  <si>
    <t>t CO2 / t product</t>
  </si>
  <si>
    <t>t CO2eq/t product</t>
  </si>
  <si>
    <t>CO2 removed - ignored</t>
  </si>
  <si>
    <t>generator use (electricity)</t>
  </si>
  <si>
    <t>calcination CO2</t>
  </si>
  <si>
    <t>sand</t>
  </si>
  <si>
    <t>bauxite</t>
  </si>
  <si>
    <t>blast furnace slag</t>
  </si>
  <si>
    <t>clinker factory use</t>
  </si>
  <si>
    <t>ecoinvent - clinker EU wo CH (cement factory use + refactory bricks)</t>
  </si>
  <si>
    <t>ecoinvent - clinker EU wo CH (waste disposal)</t>
  </si>
  <si>
    <t>clinker waste disposal</t>
  </si>
  <si>
    <t>NaOH</t>
  </si>
  <si>
    <t>H2O2</t>
  </si>
  <si>
    <t>H2SO4</t>
  </si>
  <si>
    <t>Talc</t>
  </si>
  <si>
    <t>roundwood</t>
  </si>
  <si>
    <t>meta-alt name</t>
  </si>
  <si>
    <t>sodium hydroxide</t>
  </si>
  <si>
    <t>limestone</t>
  </si>
  <si>
    <t>NaClO3</t>
  </si>
  <si>
    <t>sodium chlorate</t>
  </si>
  <si>
    <t>magnesium sulfate</t>
  </si>
  <si>
    <t>hydrogen peroxide</t>
  </si>
  <si>
    <t>sulfuric acid</t>
  </si>
  <si>
    <t>CH3OH</t>
  </si>
  <si>
    <t>MgSO4</t>
  </si>
  <si>
    <t>EU no CH</t>
  </si>
  <si>
    <t>dry cleft timber (at 50% moisture)</t>
  </si>
  <si>
    <t>HFO - IPCC</t>
  </si>
  <si>
    <t>Methanol</t>
  </si>
  <si>
    <t>DISPOSAL - spent solvent</t>
  </si>
  <si>
    <t>Transport of CO2 Onshore **IN TKM**</t>
  </si>
  <si>
    <t>Transport of CO2 Offshore **IN TKM**</t>
  </si>
  <si>
    <t>Transport of CO2 **IN TKM**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</si>
</sst>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  <xf numFmtId="0" fontId="5" fillId="0" borderId="0" xfId="2"/>
    <xf numFmtId="0" fontId="8" fillId="0" borderId="0" xfId="0" applyFont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/>
    <xf numFmtId="0" fontId="8" fillId="0" borderId="0" xfId="0" applyFont="1"/>
    <xf numFmtId="165" fontId="0" fillId="0" borderId="0" xfId="0" applyNumberFormat="1"/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topLeftCell="C1" zoomScale="150" zoomScaleNormal="150" workbookViewId="0">
      <pane ySplit="3" topLeftCell="A66" activePane="bottomLeft" state="frozen"/>
      <selection pane="bottomLeft" activeCell="H74" sqref="H74"/>
    </sheetView>
  </sheetViews>
  <sheetFormatPr baseColWidth="10" defaultColWidth="11.5" defaultRowHeight="15" x14ac:dyDescent="0.2"/>
  <cols>
    <col min="1" max="1" width="44.5" customWidth="1"/>
    <col min="2" max="2" width="9.5" style="23" customWidth="1"/>
    <col min="9" max="9" width="11.83203125" bestFit="1" customWidth="1"/>
  </cols>
  <sheetData>
    <row r="1" spans="1:17" ht="32" x14ac:dyDescent="0.2">
      <c r="A1" s="1" t="s">
        <v>11</v>
      </c>
      <c r="B1" s="20" t="s">
        <v>152</v>
      </c>
      <c r="C1" s="12" t="s">
        <v>22</v>
      </c>
      <c r="D1" s="3" t="s">
        <v>18</v>
      </c>
      <c r="E1" s="3" t="s">
        <v>19</v>
      </c>
      <c r="F1" s="3" t="s">
        <v>75</v>
      </c>
      <c r="G1" s="3" t="s">
        <v>92</v>
      </c>
      <c r="H1" s="15" t="s">
        <v>81</v>
      </c>
      <c r="I1" s="3" t="s">
        <v>20</v>
      </c>
      <c r="J1" s="3" t="s">
        <v>21</v>
      </c>
      <c r="K1" s="3" t="s">
        <v>74</v>
      </c>
      <c r="L1" s="3" t="s">
        <v>72</v>
      </c>
      <c r="M1" s="3" t="s">
        <v>93</v>
      </c>
      <c r="N1" s="3" t="s">
        <v>73</v>
      </c>
      <c r="O1" s="3" t="s">
        <v>12</v>
      </c>
      <c r="P1" s="3" t="s">
        <v>29</v>
      </c>
      <c r="Q1" t="s">
        <v>106</v>
      </c>
    </row>
    <row r="2" spans="1:17" ht="17" customHeight="1" x14ac:dyDescent="0.2">
      <c r="A2" s="2" t="s">
        <v>0</v>
      </c>
      <c r="B2" s="2"/>
      <c r="C2" s="13"/>
      <c r="D2" s="4"/>
      <c r="E2" s="4"/>
      <c r="F2" s="4"/>
      <c r="G2" s="4"/>
      <c r="H2" s="2"/>
      <c r="I2" s="4"/>
      <c r="J2" s="4"/>
      <c r="K2" s="5"/>
      <c r="L2" s="5"/>
      <c r="M2" s="5"/>
      <c r="N2" s="5"/>
      <c r="O2" s="4"/>
    </row>
    <row r="3" spans="1:17" ht="16" x14ac:dyDescent="0.2">
      <c r="A3" s="2" t="s">
        <v>1</v>
      </c>
      <c r="B3" s="2"/>
      <c r="C3" s="4" t="s">
        <v>135</v>
      </c>
      <c r="D3" s="4" t="s">
        <v>135</v>
      </c>
      <c r="E3" s="4" t="s">
        <v>135</v>
      </c>
      <c r="F3" s="4" t="s">
        <v>135</v>
      </c>
      <c r="G3" s="4"/>
      <c r="H3" s="4" t="s">
        <v>136</v>
      </c>
      <c r="I3" s="4" t="s">
        <v>136</v>
      </c>
      <c r="J3" s="4" t="s">
        <v>136</v>
      </c>
      <c r="K3" s="4" t="s">
        <v>136</v>
      </c>
      <c r="L3" s="4" t="s">
        <v>136</v>
      </c>
      <c r="M3" s="4"/>
      <c r="N3" s="5"/>
      <c r="O3" s="4"/>
    </row>
    <row r="4" spans="1:17" x14ac:dyDescent="0.2">
      <c r="A4" s="16" t="s">
        <v>100</v>
      </c>
      <c r="B4" s="21"/>
      <c r="C4" s="11">
        <f>SUM(D4:F4)</f>
        <v>3.2772999999999997E-2</v>
      </c>
      <c r="D4" s="5">
        <v>3.0800000000000001E-2</v>
      </c>
      <c r="E4" s="5">
        <v>6.4300000000000002E-4</v>
      </c>
      <c r="F4" s="5">
        <v>1.33E-3</v>
      </c>
      <c r="G4" s="18"/>
      <c r="H4" s="14">
        <f>SUM(I4:K4)</f>
        <v>1.7989E-3</v>
      </c>
      <c r="I4" s="5">
        <v>1.7600000000000001E-3</v>
      </c>
      <c r="J4" s="5">
        <v>1.6699999999999999E-5</v>
      </c>
      <c r="K4" s="5">
        <v>2.2200000000000001E-5</v>
      </c>
      <c r="L4" s="5"/>
      <c r="M4" s="11"/>
      <c r="N4" s="5"/>
      <c r="O4" s="5"/>
      <c r="Q4" t="s">
        <v>110</v>
      </c>
    </row>
    <row r="5" spans="1:17" x14ac:dyDescent="0.2">
      <c r="A5" s="6" t="s">
        <v>26</v>
      </c>
      <c r="B5" s="22"/>
      <c r="C5" s="11">
        <v>0.6</v>
      </c>
      <c r="D5" s="5"/>
      <c r="E5" s="5"/>
      <c r="F5" s="5"/>
      <c r="G5" s="5"/>
      <c r="H5" s="14">
        <f>SUM(I5:K5)</f>
        <v>0</v>
      </c>
      <c r="I5" s="5"/>
      <c r="J5" s="5"/>
      <c r="K5" s="5"/>
      <c r="L5" s="5"/>
      <c r="M5" s="5"/>
      <c r="N5" s="9"/>
      <c r="O5" s="5"/>
      <c r="Q5" t="s">
        <v>110</v>
      </c>
    </row>
    <row r="6" spans="1:17" x14ac:dyDescent="0.2">
      <c r="A6" t="s">
        <v>45</v>
      </c>
      <c r="C6" s="11">
        <f>SUM(D6:F6)</f>
        <v>6.8199999999999997E-3</v>
      </c>
      <c r="D6" s="5">
        <v>6.8199999999999997E-3</v>
      </c>
      <c r="E6" s="5"/>
      <c r="F6" s="5"/>
      <c r="G6" s="5"/>
      <c r="H6" s="14">
        <f>SUM(I6:K6)</f>
        <v>0</v>
      </c>
      <c r="I6" s="5"/>
      <c r="J6" s="5"/>
      <c r="K6" s="5"/>
      <c r="L6" s="5"/>
      <c r="M6" s="5"/>
      <c r="N6" s="9">
        <f t="shared" ref="N6:N17" si="0">L6/C6</f>
        <v>0</v>
      </c>
      <c r="O6" s="5"/>
      <c r="Q6" t="s">
        <v>110</v>
      </c>
    </row>
    <row r="7" spans="1:17" x14ac:dyDescent="0.2">
      <c r="A7" t="s">
        <v>124</v>
      </c>
      <c r="C7" s="11">
        <f>SUM(D7:F7)</f>
        <v>3.7838000000000004E-2</v>
      </c>
      <c r="D7" s="5">
        <v>3.6499999999999998E-2</v>
      </c>
      <c r="E7" s="5">
        <v>4.9600000000000002E-4</v>
      </c>
      <c r="F7" s="5">
        <v>8.4199999999999998E-4</v>
      </c>
      <c r="G7" s="5"/>
      <c r="H7" s="14">
        <f>SUM(I7:K7)</f>
        <v>1.6236999999999998E-3</v>
      </c>
      <c r="I7" s="5">
        <v>1.47E-3</v>
      </c>
      <c r="J7" s="5">
        <v>1.3699999999999999E-5</v>
      </c>
      <c r="K7" s="5">
        <v>1.3999999999999999E-4</v>
      </c>
      <c r="L7" s="5">
        <f t="shared" ref="L7:L17" si="1">SUM(D7:K7)</f>
        <v>4.1085400000000001E-2</v>
      </c>
      <c r="M7" s="5"/>
      <c r="N7" s="9">
        <f t="shared" si="0"/>
        <v>1.0858237750409641</v>
      </c>
      <c r="O7" s="5" t="s">
        <v>28</v>
      </c>
      <c r="P7" t="s">
        <v>55</v>
      </c>
      <c r="Q7" t="s">
        <v>110</v>
      </c>
    </row>
    <row r="8" spans="1:17" x14ac:dyDescent="0.2">
      <c r="A8" t="s">
        <v>125</v>
      </c>
      <c r="C8" s="11">
        <f>SUM(D8:F8)</f>
        <v>3.7838000000000004E-2</v>
      </c>
      <c r="D8" s="5">
        <v>3.6499999999999998E-2</v>
      </c>
      <c r="E8" s="5">
        <v>4.9600000000000002E-4</v>
      </c>
      <c r="F8" s="5">
        <v>8.4199999999999998E-4</v>
      </c>
      <c r="G8" s="5"/>
      <c r="H8" s="14">
        <f>SUM(I8:K8)</f>
        <v>1.6236999999999998E-3</v>
      </c>
      <c r="I8" s="5">
        <v>1.47E-3</v>
      </c>
      <c r="J8" s="5">
        <v>1.3699999999999999E-5</v>
      </c>
      <c r="K8" s="5">
        <v>1.3999999999999999E-4</v>
      </c>
      <c r="L8" s="5">
        <f t="shared" ref="L8" si="2">SUM(D8:K8)</f>
        <v>4.1085400000000001E-2</v>
      </c>
      <c r="M8" s="5"/>
      <c r="N8" s="9">
        <f t="shared" ref="N8" si="3">L8/C8</f>
        <v>1.0858237750409641</v>
      </c>
      <c r="O8" s="5" t="s">
        <v>28</v>
      </c>
      <c r="P8" t="s">
        <v>55</v>
      </c>
      <c r="Q8" t="s">
        <v>110</v>
      </c>
    </row>
    <row r="9" spans="1:17" x14ac:dyDescent="0.2">
      <c r="A9" t="s">
        <v>67</v>
      </c>
      <c r="C9" s="11">
        <v>0.5</v>
      </c>
      <c r="D9" s="5"/>
      <c r="E9" s="5"/>
      <c r="F9" s="5"/>
      <c r="G9" s="5"/>
      <c r="H9" s="14">
        <f>H7</f>
        <v>1.6236999999999998E-3</v>
      </c>
      <c r="I9" s="5"/>
      <c r="J9" s="5"/>
      <c r="K9" s="5"/>
      <c r="L9" s="5">
        <f t="shared" si="1"/>
        <v>1.6236999999999998E-3</v>
      </c>
      <c r="M9" s="5"/>
      <c r="N9" s="9">
        <f t="shared" si="0"/>
        <v>3.2473999999999997E-3</v>
      </c>
      <c r="O9" s="5"/>
      <c r="Q9" t="s">
        <v>110</v>
      </c>
    </row>
    <row r="10" spans="1:17" x14ac:dyDescent="0.2">
      <c r="A10" t="s">
        <v>68</v>
      </c>
      <c r="C10" s="11">
        <v>0.1</v>
      </c>
      <c r="D10" s="5"/>
      <c r="E10" s="5"/>
      <c r="F10" s="5"/>
      <c r="G10" s="5"/>
      <c r="H10" s="14">
        <f>H7</f>
        <v>1.6236999999999998E-3</v>
      </c>
      <c r="I10" s="5"/>
      <c r="J10" s="5"/>
      <c r="K10" s="5"/>
      <c r="L10" s="5">
        <f t="shared" si="1"/>
        <v>1.6236999999999998E-3</v>
      </c>
      <c r="M10" s="5"/>
      <c r="N10" s="9">
        <f t="shared" si="0"/>
        <v>1.6236999999999998E-2</v>
      </c>
      <c r="O10" s="5"/>
      <c r="Q10" t="s">
        <v>110</v>
      </c>
    </row>
    <row r="11" spans="1:17" x14ac:dyDescent="0.2">
      <c r="A11" t="s">
        <v>66</v>
      </c>
      <c r="C11" s="11">
        <f t="shared" ref="C11:C17" si="4">SUM(D11:F11)</f>
        <v>0.34770199999999996</v>
      </c>
      <c r="D11" s="5">
        <v>0.13100000000000001</v>
      </c>
      <c r="E11" s="5">
        <v>0.216</v>
      </c>
      <c r="F11" s="5">
        <v>7.0200000000000004E-4</v>
      </c>
      <c r="G11" s="5"/>
      <c r="H11" s="14">
        <f>SUM(I11:K11)</f>
        <v>1.3584769999999999E-2</v>
      </c>
      <c r="I11" s="5">
        <v>1.26E-2</v>
      </c>
      <c r="J11" s="5">
        <v>9.7499999999999996E-4</v>
      </c>
      <c r="K11" s="5">
        <v>9.7699999999999996E-6</v>
      </c>
      <c r="L11" s="5">
        <f t="shared" si="1"/>
        <v>0.37487154</v>
      </c>
      <c r="M11" s="5"/>
      <c r="N11" s="9">
        <f t="shared" si="0"/>
        <v>1.0781403040534712</v>
      </c>
      <c r="O11" s="5" t="s">
        <v>28</v>
      </c>
      <c r="P11" t="s">
        <v>54</v>
      </c>
      <c r="Q11" t="s">
        <v>110</v>
      </c>
    </row>
    <row r="12" spans="1:17" x14ac:dyDescent="0.2">
      <c r="A12" t="s">
        <v>40</v>
      </c>
      <c r="C12" s="11">
        <f t="shared" si="4"/>
        <v>0.13900000000000001</v>
      </c>
      <c r="D12" s="5">
        <v>0.13900000000000001</v>
      </c>
      <c r="E12" s="5"/>
      <c r="F12" s="5"/>
      <c r="G12" s="5"/>
      <c r="H12" s="14">
        <f>H4</f>
        <v>1.7989E-3</v>
      </c>
      <c r="I12" s="5"/>
      <c r="J12" s="5"/>
      <c r="K12" s="5"/>
      <c r="L12" s="5">
        <f t="shared" si="1"/>
        <v>0.1407989</v>
      </c>
      <c r="M12" s="5"/>
      <c r="N12" s="9">
        <f t="shared" si="0"/>
        <v>1.0129417266187051</v>
      </c>
      <c r="O12" s="5"/>
      <c r="Q12" t="s">
        <v>111</v>
      </c>
    </row>
    <row r="13" spans="1:17" x14ac:dyDescent="0.2">
      <c r="A13" t="s">
        <v>43</v>
      </c>
      <c r="C13" s="11">
        <f t="shared" si="4"/>
        <v>2.6087599999999997</v>
      </c>
      <c r="D13" s="5">
        <v>2.57</v>
      </c>
      <c r="E13" s="5">
        <v>3.6799999999999999E-2</v>
      </c>
      <c r="F13" s="5">
        <v>1.9599999999999999E-3</v>
      </c>
      <c r="G13" s="5"/>
      <c r="H13" s="14">
        <f t="shared" ref="H13:H30" si="5">SUM(I13:K13)</f>
        <v>0.38169149999999996</v>
      </c>
      <c r="I13" s="5">
        <v>0.379</v>
      </c>
      <c r="J13" s="5">
        <v>2.64E-3</v>
      </c>
      <c r="K13" s="5">
        <v>5.1499999999999998E-5</v>
      </c>
      <c r="L13" s="5">
        <f t="shared" si="1"/>
        <v>3.3721429999999999</v>
      </c>
      <c r="M13" s="5"/>
      <c r="N13" s="9">
        <f t="shared" si="0"/>
        <v>1.2926229319676783</v>
      </c>
      <c r="O13" s="5" t="s">
        <v>28</v>
      </c>
      <c r="Q13" t="s">
        <v>111</v>
      </c>
    </row>
    <row r="14" spans="1:17" x14ac:dyDescent="0.2">
      <c r="A14" t="s">
        <v>41</v>
      </c>
      <c r="C14" s="11">
        <f t="shared" si="4"/>
        <v>0.76161899999999993</v>
      </c>
      <c r="D14" s="5">
        <v>0.73599999999999999</v>
      </c>
      <c r="E14" s="5">
        <v>2.52E-2</v>
      </c>
      <c r="F14" s="5">
        <v>4.1899999999999999E-4</v>
      </c>
      <c r="G14" s="5"/>
      <c r="H14" s="14">
        <f t="shared" si="5"/>
        <v>7.951859E-2</v>
      </c>
      <c r="I14" s="5">
        <v>7.9100000000000004E-2</v>
      </c>
      <c r="J14" s="5">
        <v>4.1599999999999997E-4</v>
      </c>
      <c r="K14" s="5">
        <v>2.5900000000000002E-6</v>
      </c>
      <c r="L14" s="5">
        <f t="shared" si="1"/>
        <v>0.92065617999999994</v>
      </c>
      <c r="M14" s="5"/>
      <c r="N14" s="9">
        <f t="shared" si="0"/>
        <v>1.2088146172823946</v>
      </c>
      <c r="O14" s="5" t="s">
        <v>28</v>
      </c>
      <c r="P14" t="s">
        <v>42</v>
      </c>
      <c r="Q14" t="s">
        <v>111</v>
      </c>
    </row>
    <row r="15" spans="1:17" x14ac:dyDescent="0.2">
      <c r="A15" t="s">
        <v>24</v>
      </c>
      <c r="C15" s="11">
        <f t="shared" si="4"/>
        <v>2.8078600000000002</v>
      </c>
      <c r="D15" s="5">
        <f>D16+D35</f>
        <v>2.7669999999999999</v>
      </c>
      <c r="E15" s="5">
        <f>E16+E35</f>
        <v>3.8730000000000001E-2</v>
      </c>
      <c r="F15" s="5">
        <f>F16+F35</f>
        <v>2.1299999999999999E-3</v>
      </c>
      <c r="G15" s="5"/>
      <c r="H15" s="14">
        <f t="shared" si="5"/>
        <v>0.54085810000000012</v>
      </c>
      <c r="I15" s="5">
        <f>I16+I35</f>
        <v>0.53800000000000003</v>
      </c>
      <c r="J15" s="5">
        <f>J16+J35</f>
        <v>2.8080000000000002E-3</v>
      </c>
      <c r="K15" s="5">
        <v>5.0099999999999998E-5</v>
      </c>
      <c r="L15" s="5">
        <f t="shared" si="1"/>
        <v>3.8895762000000005</v>
      </c>
      <c r="M15" s="5"/>
      <c r="N15" s="9">
        <f t="shared" si="0"/>
        <v>1.3852457743619697</v>
      </c>
      <c r="O15" s="5" t="s">
        <v>28</v>
      </c>
      <c r="P15" t="s">
        <v>69</v>
      </c>
      <c r="Q15" t="s">
        <v>111</v>
      </c>
    </row>
    <row r="16" spans="1:17" x14ac:dyDescent="0.2">
      <c r="A16" t="s">
        <v>64</v>
      </c>
      <c r="C16" s="11">
        <f t="shared" si="4"/>
        <v>2.6064400000000001</v>
      </c>
      <c r="D16" s="5">
        <v>2.57</v>
      </c>
      <c r="E16" s="5">
        <v>3.4599999999999999E-2</v>
      </c>
      <c r="F16" s="5">
        <v>1.8400000000000001E-3</v>
      </c>
      <c r="G16" s="5"/>
      <c r="H16" s="14">
        <f t="shared" si="5"/>
        <v>0.35369009999999995</v>
      </c>
      <c r="I16" s="5">
        <v>0.35099999999999998</v>
      </c>
      <c r="J16" s="5">
        <v>2.64E-3</v>
      </c>
      <c r="K16" s="5">
        <v>5.0099999999999998E-5</v>
      </c>
      <c r="L16" s="5">
        <f t="shared" si="1"/>
        <v>3.3138202000000003</v>
      </c>
      <c r="M16" s="5"/>
      <c r="N16" s="9">
        <f t="shared" si="0"/>
        <v>1.2713970780067834</v>
      </c>
      <c r="O16" s="5" t="s">
        <v>28</v>
      </c>
      <c r="Q16" t="s">
        <v>111</v>
      </c>
    </row>
    <row r="17" spans="1:17" x14ac:dyDescent="0.2">
      <c r="A17" t="s">
        <v>44</v>
      </c>
      <c r="C17" s="11">
        <f t="shared" si="4"/>
        <v>1.9883300000000002</v>
      </c>
      <c r="D17" s="5">
        <v>1.97</v>
      </c>
      <c r="E17" s="5">
        <v>1.7299999999999999E-2</v>
      </c>
      <c r="F17" s="5">
        <v>1.0300000000000001E-3</v>
      </c>
      <c r="G17" s="5"/>
      <c r="H17" s="14">
        <f t="shared" si="5"/>
        <v>0.40600280000000005</v>
      </c>
      <c r="I17" s="5">
        <v>0.40500000000000003</v>
      </c>
      <c r="J17" s="5">
        <v>9.990000000000001E-4</v>
      </c>
      <c r="K17" s="5">
        <v>3.8E-6</v>
      </c>
      <c r="L17" s="5">
        <f t="shared" si="1"/>
        <v>2.8003356000000004</v>
      </c>
      <c r="M17" s="5"/>
      <c r="N17" s="10">
        <f t="shared" si="0"/>
        <v>1.4083857307388614</v>
      </c>
      <c r="O17" s="5" t="s">
        <v>28</v>
      </c>
      <c r="Q17" t="s">
        <v>111</v>
      </c>
    </row>
    <row r="18" spans="1:17" x14ac:dyDescent="0.2">
      <c r="A18" t="s">
        <v>6</v>
      </c>
      <c r="C18" s="11">
        <v>0.19400000000000001</v>
      </c>
      <c r="D18" s="5"/>
      <c r="E18" s="5"/>
      <c r="F18" s="5"/>
      <c r="G18" s="5"/>
      <c r="H18" s="14">
        <f t="shared" si="5"/>
        <v>0</v>
      </c>
      <c r="I18" s="5"/>
      <c r="J18" s="5"/>
      <c r="K18" s="5"/>
      <c r="L18" s="5"/>
      <c r="M18" s="5"/>
      <c r="N18" s="9"/>
      <c r="O18" s="5" t="s">
        <v>25</v>
      </c>
      <c r="Q18" t="s">
        <v>109</v>
      </c>
    </row>
    <row r="19" spans="1:17" x14ac:dyDescent="0.2">
      <c r="A19" t="s">
        <v>8</v>
      </c>
      <c r="C19" s="11">
        <f>SUM(D19:E19)</f>
        <v>0</v>
      </c>
      <c r="D19" s="5">
        <v>0</v>
      </c>
      <c r="E19" s="5">
        <v>0</v>
      </c>
      <c r="F19" s="5"/>
      <c r="G19" s="5"/>
      <c r="H19" s="14">
        <f t="shared" si="5"/>
        <v>0</v>
      </c>
      <c r="I19" s="5">
        <v>0</v>
      </c>
      <c r="J19" s="5">
        <v>0</v>
      </c>
      <c r="K19" s="5"/>
      <c r="L19" s="5">
        <f>SUM(D19:K19)</f>
        <v>0</v>
      </c>
      <c r="M19" s="5"/>
      <c r="N19" s="9"/>
      <c r="O19" s="5"/>
      <c r="Q19" t="s">
        <v>109</v>
      </c>
    </row>
    <row r="20" spans="1:17" x14ac:dyDescent="0.2">
      <c r="A20" t="s">
        <v>7</v>
      </c>
      <c r="C20" s="11">
        <v>7.2999999999999995E-2</v>
      </c>
      <c r="D20" s="5"/>
      <c r="E20" s="5"/>
      <c r="F20" s="5"/>
      <c r="G20" s="5"/>
      <c r="H20" s="14">
        <f t="shared" si="5"/>
        <v>0</v>
      </c>
      <c r="I20" s="5"/>
      <c r="J20" s="5"/>
      <c r="K20" s="5"/>
      <c r="L20" s="5"/>
      <c r="M20" s="5"/>
      <c r="N20" s="9"/>
      <c r="O20" s="5" t="s">
        <v>25</v>
      </c>
      <c r="Q20" t="s">
        <v>109</v>
      </c>
    </row>
    <row r="21" spans="1:17" x14ac:dyDescent="0.2">
      <c r="A21" t="s">
        <v>79</v>
      </c>
      <c r="C21" s="11">
        <f>SUM(D21:F21)</f>
        <v>0.25928180000000001</v>
      </c>
      <c r="D21" s="5">
        <v>0.25900000000000001</v>
      </c>
      <c r="E21" s="5">
        <v>2.4699999999999999E-4</v>
      </c>
      <c r="F21" s="5">
        <v>3.4799999999999999E-5</v>
      </c>
      <c r="G21" s="5"/>
      <c r="H21" s="14">
        <f t="shared" si="5"/>
        <v>5.5818774028000007E-2</v>
      </c>
      <c r="I21" s="7">
        <f>0.0558+0.000000000328</f>
        <v>5.5800000328000005E-2</v>
      </c>
      <c r="J21" s="5">
        <v>1.8700000000000001E-5</v>
      </c>
      <c r="K21" s="7">
        <v>7.3700000000000005E-8</v>
      </c>
      <c r="L21" s="5"/>
      <c r="M21" s="5"/>
      <c r="N21" s="5"/>
      <c r="O21" s="5" t="s">
        <v>28</v>
      </c>
      <c r="Q21" t="s">
        <v>109</v>
      </c>
    </row>
    <row r="22" spans="1:17" x14ac:dyDescent="0.2">
      <c r="A22" t="s">
        <v>78</v>
      </c>
      <c r="C22" s="11">
        <f>SUM(D22:F22)</f>
        <v>0.12543480000000001</v>
      </c>
      <c r="D22" s="5">
        <v>0.113</v>
      </c>
      <c r="E22" s="5">
        <v>1.24E-2</v>
      </c>
      <c r="F22" s="5">
        <v>3.4799999999999999E-5</v>
      </c>
      <c r="G22" s="5"/>
      <c r="H22" s="14">
        <f t="shared" si="5"/>
        <v>9.0642799999999992E-3</v>
      </c>
      <c r="I22" s="5">
        <f>0.00883</f>
        <v>8.8299999999999993E-3</v>
      </c>
      <c r="J22" s="5">
        <v>2.33E-4</v>
      </c>
      <c r="K22" s="5">
        <v>1.28E-6</v>
      </c>
      <c r="L22" s="5"/>
      <c r="M22" s="5"/>
      <c r="N22" s="5"/>
      <c r="O22" s="5" t="s">
        <v>28</v>
      </c>
      <c r="Q22" t="s">
        <v>109</v>
      </c>
    </row>
    <row r="23" spans="1:17" x14ac:dyDescent="0.2">
      <c r="A23" t="s">
        <v>116</v>
      </c>
      <c r="C23" s="11">
        <v>0</v>
      </c>
      <c r="D23" s="5"/>
      <c r="E23" s="5"/>
      <c r="F23" s="5"/>
      <c r="G23" s="5"/>
      <c r="H23" s="14"/>
      <c r="I23" s="5"/>
      <c r="J23" s="5"/>
      <c r="K23" s="5"/>
      <c r="L23" s="5"/>
      <c r="M23" s="5"/>
      <c r="N23" s="5"/>
      <c r="O23" s="5"/>
    </row>
    <row r="24" spans="1:17" x14ac:dyDescent="0.2">
      <c r="A24" t="s">
        <v>117</v>
      </c>
      <c r="C24" s="11">
        <f>200/3.6/1000</f>
        <v>5.5555555555555559E-2</v>
      </c>
      <c r="D24" s="5"/>
      <c r="E24" s="5"/>
      <c r="F24" s="5"/>
      <c r="G24" s="5"/>
      <c r="H24" s="14"/>
      <c r="I24" s="5"/>
      <c r="J24" s="5"/>
      <c r="K24" s="5"/>
      <c r="L24" s="5"/>
      <c r="M24" s="5"/>
      <c r="N24" s="5"/>
      <c r="O24" s="5"/>
    </row>
    <row r="25" spans="1:17" x14ac:dyDescent="0.2">
      <c r="A25" t="s">
        <v>119</v>
      </c>
      <c r="C25" s="11">
        <f>400/3.6/1000</f>
        <v>0.11111111111111112</v>
      </c>
      <c r="D25" s="5"/>
      <c r="E25" s="5"/>
      <c r="F25" s="5"/>
      <c r="G25" s="5"/>
      <c r="H25" s="14"/>
      <c r="I25" s="5"/>
      <c r="J25" s="5"/>
      <c r="K25" s="5"/>
      <c r="L25" s="5"/>
      <c r="M25" s="5"/>
      <c r="N25" s="5"/>
      <c r="O25" s="5"/>
    </row>
    <row r="26" spans="1:17" x14ac:dyDescent="0.2">
      <c r="A26" t="s">
        <v>118</v>
      </c>
      <c r="C26" s="11">
        <f>600/3.6/1000</f>
        <v>0.16666666666666666</v>
      </c>
      <c r="E26" s="5"/>
      <c r="F26" s="5"/>
      <c r="G26" s="5"/>
      <c r="H26" s="14"/>
      <c r="I26" s="5"/>
      <c r="J26" s="5"/>
      <c r="K26" s="5"/>
      <c r="L26" s="5"/>
      <c r="M26" s="5"/>
      <c r="N26" s="5"/>
      <c r="O26" s="5"/>
    </row>
    <row r="27" spans="1:17" x14ac:dyDescent="0.2">
      <c r="A27" s="6" t="s">
        <v>120</v>
      </c>
      <c r="B27" s="22"/>
      <c r="C27" s="11">
        <f>800/3.6/1000</f>
        <v>0.22222222222222224</v>
      </c>
      <c r="D27" s="5"/>
      <c r="E27" s="5"/>
      <c r="F27" s="5"/>
      <c r="G27" s="5"/>
      <c r="H27" s="14"/>
      <c r="I27" s="5"/>
      <c r="J27" s="5"/>
      <c r="K27" s="5"/>
      <c r="L27" s="5"/>
      <c r="M27" s="5"/>
      <c r="N27" s="5"/>
      <c r="O27" s="5"/>
    </row>
    <row r="28" spans="1:17" x14ac:dyDescent="0.2">
      <c r="A28" s="6" t="s">
        <v>121</v>
      </c>
      <c r="B28" s="22"/>
      <c r="C28" s="11">
        <f>1000/3.6/1000</f>
        <v>0.27777777777777779</v>
      </c>
      <c r="D28" s="5"/>
      <c r="E28" s="5"/>
      <c r="F28" s="5"/>
      <c r="G28" s="5"/>
      <c r="H28" s="14"/>
      <c r="I28" s="5"/>
      <c r="J28" s="5"/>
      <c r="K28" s="5"/>
      <c r="L28" s="5"/>
      <c r="M28" s="5"/>
      <c r="N28" s="5"/>
      <c r="O28" s="5"/>
    </row>
    <row r="29" spans="1:17" x14ac:dyDescent="0.2">
      <c r="A29" t="s">
        <v>27</v>
      </c>
      <c r="C29" s="11">
        <f>SUM(D29:F29)</f>
        <v>3.661</v>
      </c>
      <c r="D29" s="5">
        <v>1.21</v>
      </c>
      <c r="E29" s="5">
        <v>2.4</v>
      </c>
      <c r="F29" s="5">
        <v>5.0999999999999997E-2</v>
      </c>
      <c r="G29" s="5"/>
      <c r="H29" s="14">
        <f t="shared" si="5"/>
        <v>1.02159</v>
      </c>
      <c r="I29" s="5"/>
      <c r="J29" s="5">
        <v>1.02</v>
      </c>
      <c r="K29" s="5">
        <v>1.5900000000000001E-3</v>
      </c>
      <c r="L29" s="5">
        <f>SUM(D29:K29)</f>
        <v>5.7041800000000009</v>
      </c>
      <c r="M29" s="5"/>
      <c r="N29" s="10">
        <f>L29/C29</f>
        <v>1.5580934170991534</v>
      </c>
      <c r="O29" s="5" t="s">
        <v>28</v>
      </c>
      <c r="Q29" t="s">
        <v>108</v>
      </c>
    </row>
    <row r="30" spans="1:17" x14ac:dyDescent="0.2">
      <c r="A30" t="s">
        <v>2</v>
      </c>
      <c r="C30" s="11">
        <f>SUM(D30:F30)</f>
        <v>2.9944600000000001</v>
      </c>
      <c r="D30" s="5">
        <f>0.292</f>
        <v>0.29199999999999998</v>
      </c>
      <c r="E30" s="5">
        <v>2.7</v>
      </c>
      <c r="F30" s="5">
        <v>2.4599999999999999E-3</v>
      </c>
      <c r="G30" s="5"/>
      <c r="H30" s="14">
        <f t="shared" si="5"/>
        <v>1.1457392000000002</v>
      </c>
      <c r="I30" s="5">
        <v>2.5700000000000001E-2</v>
      </c>
      <c r="J30" s="5">
        <v>1.1200000000000001</v>
      </c>
      <c r="K30" s="5">
        <v>3.9199999999999997E-5</v>
      </c>
      <c r="L30" s="5">
        <f>SUM(D30:K30)</f>
        <v>5.2859384</v>
      </c>
      <c r="M30" s="5"/>
      <c r="N30" s="10">
        <f>L30/C30</f>
        <v>1.7652392751948598</v>
      </c>
      <c r="O30" s="5" t="s">
        <v>28</v>
      </c>
      <c r="P30" t="s">
        <v>30</v>
      </c>
      <c r="Q30" t="s">
        <v>108</v>
      </c>
    </row>
    <row r="31" spans="1:17" x14ac:dyDescent="0.2">
      <c r="A31" t="s">
        <v>77</v>
      </c>
      <c r="C31" s="11">
        <f>C30*2</f>
        <v>5.9889200000000002</v>
      </c>
      <c r="D31" s="5"/>
      <c r="E31" s="5"/>
      <c r="F31" s="5"/>
      <c r="G31" s="5"/>
      <c r="H31" s="18">
        <f>C30</f>
        <v>2.9944600000000001</v>
      </c>
      <c r="I31" s="5"/>
      <c r="J31" s="5"/>
      <c r="K31" s="5"/>
      <c r="L31" s="5"/>
      <c r="M31" s="5"/>
      <c r="N31" s="5"/>
      <c r="O31" s="5"/>
      <c r="Q31" t="s">
        <v>108</v>
      </c>
    </row>
    <row r="32" spans="1:17" x14ac:dyDescent="0.2">
      <c r="A32" t="s">
        <v>76</v>
      </c>
      <c r="C32" s="11">
        <f>C30/2</f>
        <v>1.4972300000000001</v>
      </c>
      <c r="D32" s="5"/>
      <c r="E32" s="5"/>
      <c r="F32" s="5"/>
      <c r="G32" s="5"/>
      <c r="H32" s="18">
        <f>C30</f>
        <v>2.9944600000000001</v>
      </c>
      <c r="I32" s="5"/>
      <c r="J32" s="5"/>
      <c r="K32" s="5"/>
      <c r="L32" s="5">
        <f>SUM(D32:K32)</f>
        <v>2.9944600000000001</v>
      </c>
      <c r="M32" s="5"/>
      <c r="N32" s="9">
        <f t="shared" ref="N32:N39" si="6">L32/C32</f>
        <v>2</v>
      </c>
      <c r="O32" s="5"/>
      <c r="Q32" t="s">
        <v>108</v>
      </c>
    </row>
    <row r="33" spans="1:17" x14ac:dyDescent="0.2">
      <c r="A33" t="s">
        <v>3</v>
      </c>
      <c r="C33" s="11">
        <f t="shared" ref="C33:C39" si="7">SUM(D33:F33)</f>
        <v>0.20142000000000002</v>
      </c>
      <c r="D33" s="5">
        <f>D35</f>
        <v>0.19700000000000001</v>
      </c>
      <c r="E33" s="5">
        <f t="shared" ref="E33:F33" si="8">E35</f>
        <v>4.13E-3</v>
      </c>
      <c r="F33" s="5">
        <f t="shared" si="8"/>
        <v>2.9E-4</v>
      </c>
      <c r="G33" s="5"/>
      <c r="H33" s="14">
        <f>SUM(I33:K33)</f>
        <v>0.18717021</v>
      </c>
      <c r="I33" s="5">
        <f t="shared" ref="I33:K33" si="9">I35</f>
        <v>0.187</v>
      </c>
      <c r="J33" s="5">
        <f t="shared" si="9"/>
        <v>1.6800000000000002E-4</v>
      </c>
      <c r="K33" s="5">
        <f t="shared" si="9"/>
        <v>2.21E-6</v>
      </c>
      <c r="L33" s="5">
        <f>SUM(D33:K33)</f>
        <v>0.57576042000000005</v>
      </c>
      <c r="M33" s="5"/>
      <c r="N33" s="10">
        <f t="shared" si="6"/>
        <v>2.8585067024128685</v>
      </c>
      <c r="O33" s="5" t="s">
        <v>23</v>
      </c>
      <c r="P33" t="s">
        <v>32</v>
      </c>
      <c r="Q33" t="s">
        <v>108</v>
      </c>
    </row>
    <row r="34" spans="1:17" x14ac:dyDescent="0.2">
      <c r="A34" t="s">
        <v>4</v>
      </c>
      <c r="C34" s="11">
        <f t="shared" si="7"/>
        <v>0.20142000000000002</v>
      </c>
      <c r="D34" s="5">
        <f>D35</f>
        <v>0.19700000000000001</v>
      </c>
      <c r="E34" s="5">
        <f t="shared" ref="E34:F34" si="10">E35</f>
        <v>4.13E-3</v>
      </c>
      <c r="F34" s="5">
        <f t="shared" si="10"/>
        <v>2.9E-4</v>
      </c>
      <c r="G34" s="5"/>
      <c r="H34" s="14">
        <f>SUM(I34:K34)</f>
        <v>0.18717021</v>
      </c>
      <c r="I34" s="5">
        <f t="shared" ref="I34:K34" si="11">I35</f>
        <v>0.187</v>
      </c>
      <c r="J34" s="5">
        <f t="shared" si="11"/>
        <v>1.6800000000000002E-4</v>
      </c>
      <c r="K34" s="5">
        <f t="shared" si="11"/>
        <v>2.21E-6</v>
      </c>
      <c r="L34" s="5">
        <f>SUM(D34:K34)</f>
        <v>0.57576042000000005</v>
      </c>
      <c r="M34" s="5"/>
      <c r="N34" s="10">
        <f t="shared" si="6"/>
        <v>2.8585067024128685</v>
      </c>
      <c r="O34" s="5" t="s">
        <v>23</v>
      </c>
      <c r="P34" t="s">
        <v>32</v>
      </c>
      <c r="Q34" t="s">
        <v>108</v>
      </c>
    </row>
    <row r="35" spans="1:17" x14ac:dyDescent="0.2">
      <c r="A35" t="s">
        <v>32</v>
      </c>
      <c r="C35" s="11">
        <f t="shared" si="7"/>
        <v>0.20142000000000002</v>
      </c>
      <c r="D35">
        <v>0.19700000000000001</v>
      </c>
      <c r="E35">
        <v>4.13E-3</v>
      </c>
      <c r="F35">
        <v>2.9E-4</v>
      </c>
      <c r="G35" s="5"/>
      <c r="H35" s="14">
        <f>SUM(I35:K35)</f>
        <v>0.18717021</v>
      </c>
      <c r="I35">
        <v>0.187</v>
      </c>
      <c r="J35">
        <v>1.6800000000000002E-4</v>
      </c>
      <c r="K35">
        <v>2.21E-6</v>
      </c>
      <c r="L35" s="5">
        <f>SUM(D35:K35)</f>
        <v>0.57576042000000005</v>
      </c>
      <c r="M35" s="5"/>
      <c r="N35" s="10">
        <f t="shared" si="6"/>
        <v>2.8585067024128685</v>
      </c>
      <c r="O35" s="5" t="s">
        <v>23</v>
      </c>
      <c r="Q35" t="s">
        <v>108</v>
      </c>
    </row>
    <row r="36" spans="1:17" x14ac:dyDescent="0.2">
      <c r="A36" t="s">
        <v>5</v>
      </c>
      <c r="C36" s="11">
        <f t="shared" si="7"/>
        <v>0.35599999999999998</v>
      </c>
      <c r="D36" s="5">
        <v>0.35599999999999998</v>
      </c>
      <c r="E36" s="5"/>
      <c r="F36" s="5"/>
      <c r="G36" s="5"/>
      <c r="H36" s="14">
        <v>0.22800000000000001</v>
      </c>
      <c r="I36" s="5"/>
      <c r="J36" s="5"/>
      <c r="K36" s="5"/>
      <c r="L36" s="5"/>
      <c r="M36" s="5"/>
      <c r="N36" s="9">
        <f t="shared" si="6"/>
        <v>0</v>
      </c>
      <c r="O36" s="5" t="s">
        <v>28</v>
      </c>
      <c r="Q36" t="s">
        <v>108</v>
      </c>
    </row>
    <row r="37" spans="1:17" x14ac:dyDescent="0.2">
      <c r="A37" t="s">
        <v>38</v>
      </c>
      <c r="C37" s="11">
        <f t="shared" si="7"/>
        <v>0.32052000000000003</v>
      </c>
      <c r="D37" s="5">
        <v>0.313</v>
      </c>
      <c r="E37" s="5">
        <v>7.5199999999999998E-3</v>
      </c>
      <c r="F37" s="5"/>
      <c r="G37" s="5"/>
      <c r="H37" s="14">
        <f>H16</f>
        <v>0.35369009999999995</v>
      </c>
      <c r="I37" s="5"/>
      <c r="J37" s="5"/>
      <c r="K37" s="5"/>
      <c r="L37" s="5">
        <f>SUM(D37:K37)</f>
        <v>0.67421010000000003</v>
      </c>
      <c r="M37" s="5"/>
      <c r="N37" s="9">
        <f t="shared" si="6"/>
        <v>2.1034883938599775</v>
      </c>
      <c r="O37" s="5"/>
      <c r="P37" t="s">
        <v>82</v>
      </c>
      <c r="Q37" t="s">
        <v>108</v>
      </c>
    </row>
    <row r="38" spans="1:17" x14ac:dyDescent="0.2">
      <c r="A38" t="s">
        <v>51</v>
      </c>
      <c r="C38" s="11">
        <f t="shared" si="7"/>
        <v>0.3342</v>
      </c>
      <c r="D38" s="5">
        <v>3.4200000000000001E-2</v>
      </c>
      <c r="E38" s="5">
        <v>0.3</v>
      </c>
      <c r="F38" s="5"/>
      <c r="G38" s="5"/>
      <c r="H38" s="14">
        <f>SUM(I38:K38)</f>
        <v>2.2351899999999997E-3</v>
      </c>
      <c r="I38" s="5">
        <v>2.0899999999999998E-3</v>
      </c>
      <c r="J38" s="5">
        <v>1.37E-4</v>
      </c>
      <c r="K38" s="5">
        <v>8.1899999999999995E-6</v>
      </c>
      <c r="L38" s="5">
        <f>SUM(D38:K38)</f>
        <v>0.33867037999999999</v>
      </c>
      <c r="M38" s="5"/>
      <c r="N38" s="9">
        <f t="shared" si="6"/>
        <v>1.0133763614602034</v>
      </c>
      <c r="O38" s="5" t="s">
        <v>28</v>
      </c>
      <c r="P38" t="s">
        <v>56</v>
      </c>
      <c r="Q38" t="s">
        <v>108</v>
      </c>
    </row>
    <row r="39" spans="1:17" x14ac:dyDescent="0.2">
      <c r="A39" t="s">
        <v>52</v>
      </c>
      <c r="C39" s="11">
        <f t="shared" si="7"/>
        <v>0.37089999999999995</v>
      </c>
      <c r="D39" s="5">
        <v>2.5899999999999999E-2</v>
      </c>
      <c r="E39" s="5">
        <v>0.34499999999999997</v>
      </c>
      <c r="F39" s="5"/>
      <c r="G39" s="5"/>
      <c r="H39" s="14">
        <f>SUM(I39:K39)</f>
        <v>2.9999700000000002E-3</v>
      </c>
      <c r="I39" s="5">
        <v>2.8500000000000001E-3</v>
      </c>
      <c r="J39" s="5">
        <v>1.4200000000000001E-4</v>
      </c>
      <c r="K39" s="5">
        <v>7.9699999999999999E-6</v>
      </c>
      <c r="L39" s="5">
        <f>SUM(D39:K39)</f>
        <v>0.37689993999999999</v>
      </c>
      <c r="M39" s="5"/>
      <c r="N39" s="9">
        <f t="shared" si="6"/>
        <v>1.0161767053114048</v>
      </c>
      <c r="O39" s="5" t="s">
        <v>28</v>
      </c>
      <c r="P39" t="s">
        <v>56</v>
      </c>
      <c r="Q39" t="s">
        <v>108</v>
      </c>
    </row>
    <row r="40" spans="1:17" x14ac:dyDescent="0.2">
      <c r="A40" t="s">
        <v>87</v>
      </c>
      <c r="C40" s="11"/>
      <c r="D40" s="5">
        <v>1.89E-2</v>
      </c>
      <c r="E40" s="5">
        <v>1.8900000000000001E-4</v>
      </c>
      <c r="F40" s="7">
        <v>1.0499999999999999E-5</v>
      </c>
      <c r="G40" s="11">
        <f t="shared" ref="G40:G55" si="12">SUM(D40:F40)</f>
        <v>1.9099500000000002E-2</v>
      </c>
      <c r="H40" s="14"/>
      <c r="I40" s="5">
        <v>7.9799999999999999E-4</v>
      </c>
      <c r="J40" s="7">
        <v>1.24E-5</v>
      </c>
      <c r="K40" s="7">
        <v>4.6499999999999999E-8</v>
      </c>
      <c r="L40" s="5"/>
      <c r="M40" s="14">
        <f>SUM(I40:K40)</f>
        <v>8.1044649999999999E-4</v>
      </c>
      <c r="N40" s="5"/>
      <c r="O40" s="5"/>
      <c r="Q40" t="s">
        <v>115</v>
      </c>
    </row>
    <row r="41" spans="1:17" x14ac:dyDescent="0.2">
      <c r="A41" t="s">
        <v>85</v>
      </c>
      <c r="C41" s="11"/>
      <c r="D41" s="5">
        <v>1.43E-2</v>
      </c>
      <c r="E41" s="5">
        <v>6.0800000000000003E-4</v>
      </c>
      <c r="F41" s="7">
        <v>7.5800000000000003E-6</v>
      </c>
      <c r="G41" s="11">
        <f t="shared" si="12"/>
        <v>1.4915580000000001E-2</v>
      </c>
      <c r="H41" s="14"/>
      <c r="I41" s="7">
        <v>5.9500000000000004E-3</v>
      </c>
      <c r="J41" s="7">
        <v>6.2400000000000004E-6</v>
      </c>
      <c r="K41" s="7">
        <v>4.3999999999999997E-8</v>
      </c>
      <c r="L41" s="5"/>
      <c r="M41" s="14">
        <f>SUM(I41:K41)</f>
        <v>5.9562840000000009E-3</v>
      </c>
      <c r="N41" s="5"/>
      <c r="O41" s="5"/>
      <c r="Q41" t="s">
        <v>115</v>
      </c>
    </row>
    <row r="42" spans="1:17" x14ac:dyDescent="0.2">
      <c r="A42" t="s">
        <v>101</v>
      </c>
      <c r="C42" s="11"/>
      <c r="D42" s="5">
        <v>0.505</v>
      </c>
      <c r="E42" s="5">
        <v>2.6800000000000001E-2</v>
      </c>
      <c r="F42" s="5">
        <v>4.5800000000000002E-4</v>
      </c>
      <c r="G42" s="11">
        <f t="shared" si="12"/>
        <v>0.53225800000000001</v>
      </c>
      <c r="H42" s="14"/>
      <c r="I42" s="5">
        <v>5.45E-2</v>
      </c>
      <c r="J42" s="5">
        <v>4.9799999999999996E-4</v>
      </c>
      <c r="K42" s="7">
        <v>1.9E-6</v>
      </c>
      <c r="L42" s="5"/>
      <c r="M42" s="14">
        <f>SUM(I42:K42)</f>
        <v>5.4999899999999997E-2</v>
      </c>
      <c r="N42" s="5"/>
      <c r="O42" s="5"/>
      <c r="Q42" t="s">
        <v>115</v>
      </c>
    </row>
    <row r="43" spans="1:17" x14ac:dyDescent="0.2">
      <c r="A43" t="s">
        <v>102</v>
      </c>
      <c r="C43" s="11"/>
      <c r="D43" s="5">
        <v>4.7699999999999999E-3</v>
      </c>
      <c r="E43" s="5">
        <v>2.8200000000000002E-4</v>
      </c>
      <c r="F43" s="5">
        <v>2.0999999999999998E-6</v>
      </c>
      <c r="G43" s="18">
        <f t="shared" si="12"/>
        <v>5.0540999999999997E-3</v>
      </c>
      <c r="H43" s="17"/>
      <c r="I43" s="5"/>
      <c r="J43" s="5"/>
      <c r="K43" s="5"/>
      <c r="L43" s="5"/>
      <c r="M43" s="5"/>
      <c r="N43" s="5"/>
      <c r="O43" s="5"/>
      <c r="Q43" t="s">
        <v>115</v>
      </c>
    </row>
    <row r="44" spans="1:17" x14ac:dyDescent="0.2">
      <c r="A44" t="s">
        <v>90</v>
      </c>
      <c r="C44" s="11"/>
      <c r="D44" s="5">
        <v>4.9800000000000001E-3</v>
      </c>
      <c r="E44" s="7">
        <v>2.9099999999999999E-5</v>
      </c>
      <c r="F44" s="7">
        <v>2.3E-6</v>
      </c>
      <c r="G44" s="11">
        <f t="shared" si="12"/>
        <v>5.0114000000000001E-3</v>
      </c>
      <c r="H44" s="14"/>
      <c r="I44" s="5">
        <v>5.8699999999999996E-4</v>
      </c>
      <c r="J44" s="7">
        <v>1.7400000000000001E-6</v>
      </c>
      <c r="K44" s="7">
        <v>4.4599999999999999E-9</v>
      </c>
      <c r="L44" s="5"/>
      <c r="M44" s="14">
        <f t="shared" ref="M44:M53" si="13">SUM(I44:K44)</f>
        <v>5.8874445999999988E-4</v>
      </c>
      <c r="N44" s="5"/>
      <c r="O44" s="5"/>
      <c r="Q44" t="s">
        <v>115</v>
      </c>
    </row>
    <row r="45" spans="1:17" x14ac:dyDescent="0.2">
      <c r="A45" t="s">
        <v>84</v>
      </c>
      <c r="C45" s="11"/>
      <c r="D45" s="5">
        <v>3.27E-2</v>
      </c>
      <c r="E45" s="5">
        <v>1.0200000000000001E-3</v>
      </c>
      <c r="F45" s="7">
        <v>1.7399999999999999E-5</v>
      </c>
      <c r="G45" s="11">
        <f t="shared" si="12"/>
        <v>3.3737400000000001E-2</v>
      </c>
      <c r="H45" s="14"/>
      <c r="I45" s="5">
        <v>1.7799999999999999E-3</v>
      </c>
      <c r="J45" s="7">
        <v>3.4499999999999998E-5</v>
      </c>
      <c r="K45" s="7">
        <v>9.3999999999999995E-8</v>
      </c>
      <c r="L45" s="5"/>
      <c r="M45" s="14">
        <f t="shared" si="13"/>
        <v>1.8145939999999999E-3</v>
      </c>
      <c r="N45" s="5"/>
      <c r="O45" s="5"/>
      <c r="Q45" t="s">
        <v>115</v>
      </c>
    </row>
    <row r="46" spans="1:17" x14ac:dyDescent="0.2">
      <c r="A46" t="s">
        <v>138</v>
      </c>
      <c r="C46" s="11"/>
      <c r="D46" s="5">
        <v>1.2400000000000001E-4</v>
      </c>
      <c r="E46" s="5">
        <v>5.5600000000000001E-6</v>
      </c>
      <c r="F46" s="5">
        <v>1.2200000000000001E-7</v>
      </c>
      <c r="G46" s="18">
        <f t="shared" si="12"/>
        <v>1.29682E-4</v>
      </c>
      <c r="H46" s="14"/>
      <c r="I46" s="5">
        <v>4.26E-4</v>
      </c>
      <c r="J46" s="5">
        <v>1.67E-7</v>
      </c>
      <c r="K46" s="7">
        <v>1.6999999999999999E-9</v>
      </c>
      <c r="L46" s="5"/>
      <c r="M46" s="5">
        <f t="shared" si="13"/>
        <v>4.2616869999999996E-4</v>
      </c>
      <c r="N46" s="5"/>
      <c r="O46" s="5"/>
      <c r="P46" t="s">
        <v>99</v>
      </c>
      <c r="Q46" t="s">
        <v>115</v>
      </c>
    </row>
    <row r="47" spans="1:17" x14ac:dyDescent="0.2">
      <c r="A47" t="s">
        <v>98</v>
      </c>
      <c r="C47" s="11"/>
      <c r="D47" s="5">
        <v>2.12E-4</v>
      </c>
      <c r="E47" s="5">
        <v>1.04E-5</v>
      </c>
      <c r="F47" s="5">
        <v>1.8900000000000001E-7</v>
      </c>
      <c r="G47" s="18">
        <f t="shared" si="12"/>
        <v>2.2258900000000001E-4</v>
      </c>
      <c r="H47" s="14"/>
      <c r="I47" s="5">
        <v>9.6599999999999995E-4</v>
      </c>
      <c r="J47" s="5">
        <v>1.02E-8</v>
      </c>
      <c r="K47" s="7">
        <v>1.25E-9</v>
      </c>
      <c r="L47" s="5"/>
      <c r="M47" s="5">
        <f t="shared" si="13"/>
        <v>9.6601144999999995E-4</v>
      </c>
      <c r="N47" s="5"/>
      <c r="O47" s="5"/>
      <c r="P47" t="s">
        <v>99</v>
      </c>
      <c r="Q47" t="s">
        <v>115</v>
      </c>
    </row>
    <row r="48" spans="1:17" x14ac:dyDescent="0.2">
      <c r="A48" t="s">
        <v>89</v>
      </c>
      <c r="C48" s="11"/>
      <c r="D48" s="5">
        <v>1.21E-2</v>
      </c>
      <c r="E48" s="5">
        <v>2.1800000000000001E-4</v>
      </c>
      <c r="F48" s="7">
        <v>6.9700000000000002E-6</v>
      </c>
      <c r="G48" s="11">
        <f t="shared" si="12"/>
        <v>1.2324969999999999E-2</v>
      </c>
      <c r="H48" s="14"/>
      <c r="I48" s="5">
        <v>8.7200000000000005E-4</v>
      </c>
      <c r="J48" s="7">
        <v>7.2599999999999999E-6</v>
      </c>
      <c r="K48" s="7">
        <v>2.85E-8</v>
      </c>
      <c r="L48" s="5"/>
      <c r="M48" s="14">
        <f t="shared" si="13"/>
        <v>8.7928850000000005E-4</v>
      </c>
      <c r="N48" s="5"/>
      <c r="O48" s="5"/>
      <c r="Q48" t="s">
        <v>115</v>
      </c>
    </row>
    <row r="49" spans="1:17" x14ac:dyDescent="0.2">
      <c r="A49" t="s">
        <v>95</v>
      </c>
      <c r="C49" s="11"/>
      <c r="D49" s="5">
        <v>5.4299999999999999E-3</v>
      </c>
      <c r="E49" s="5">
        <v>1.9599999999999999E-2</v>
      </c>
      <c r="F49" s="7">
        <v>4.8099999999999997E-5</v>
      </c>
      <c r="G49" s="11">
        <f t="shared" si="12"/>
        <v>2.5078099999999999E-2</v>
      </c>
      <c r="H49" s="14"/>
      <c r="I49" s="5">
        <v>4.86E-4</v>
      </c>
      <c r="J49" s="7">
        <v>4.3900000000000003E-5</v>
      </c>
      <c r="K49" s="7">
        <v>6.1600000000000001E-7</v>
      </c>
      <c r="L49" s="5"/>
      <c r="M49" s="14">
        <f t="shared" si="13"/>
        <v>5.3051600000000008E-4</v>
      </c>
      <c r="N49" s="5"/>
      <c r="O49" s="5"/>
      <c r="Q49" t="s">
        <v>115</v>
      </c>
    </row>
    <row r="50" spans="1:17" x14ac:dyDescent="0.2">
      <c r="A50" t="s">
        <v>96</v>
      </c>
      <c r="C50" s="11"/>
      <c r="D50" s="5">
        <v>9.8900000000000008E-4</v>
      </c>
      <c r="E50" s="7">
        <v>3.0300000000000001E-5</v>
      </c>
      <c r="F50" s="7">
        <v>2.1100000000000001E-6</v>
      </c>
      <c r="G50" s="11">
        <f t="shared" si="12"/>
        <v>1.0214100000000002E-3</v>
      </c>
      <c r="H50" s="14"/>
      <c r="I50" s="5">
        <v>1.13E-4</v>
      </c>
      <c r="J50" s="7">
        <v>1.5799999999999999E-6</v>
      </c>
      <c r="K50" s="7">
        <v>6.1900000000000003E-9</v>
      </c>
      <c r="L50" s="5"/>
      <c r="M50" s="14">
        <f t="shared" si="13"/>
        <v>1.1458618999999999E-4</v>
      </c>
      <c r="N50" s="5"/>
      <c r="O50" s="5"/>
      <c r="Q50" t="s">
        <v>115</v>
      </c>
    </row>
    <row r="51" spans="1:17" x14ac:dyDescent="0.2">
      <c r="A51" t="s">
        <v>88</v>
      </c>
      <c r="C51" s="11"/>
      <c r="D51" s="5">
        <v>2.1299999999999999E-2</v>
      </c>
      <c r="E51" s="5">
        <v>4.57E-4</v>
      </c>
      <c r="F51" s="7">
        <v>2.4899999999999999E-5</v>
      </c>
      <c r="G51" s="11">
        <f t="shared" si="12"/>
        <v>2.17819E-2</v>
      </c>
      <c r="H51" s="14"/>
      <c r="I51" s="5">
        <v>3.3300000000000001E-3</v>
      </c>
      <c r="J51" s="7">
        <v>3.3899999999999997E-5</v>
      </c>
      <c r="K51" s="7">
        <v>7.17E-8</v>
      </c>
      <c r="L51" s="5"/>
      <c r="M51" s="14">
        <f t="shared" si="13"/>
        <v>3.3639717000000001E-3</v>
      </c>
      <c r="N51" s="5"/>
      <c r="O51" s="5"/>
      <c r="Q51" t="s">
        <v>115</v>
      </c>
    </row>
    <row r="52" spans="1:17" x14ac:dyDescent="0.2">
      <c r="A52" t="s">
        <v>86</v>
      </c>
      <c r="C52" s="11"/>
      <c r="D52" s="7">
        <v>7.7000000000000001E-5</v>
      </c>
      <c r="E52" s="7">
        <v>9.6500000000000008E-7</v>
      </c>
      <c r="F52" s="7">
        <v>5.1200000000000002E-8</v>
      </c>
      <c r="G52" s="11">
        <f t="shared" si="12"/>
        <v>7.8016200000000007E-5</v>
      </c>
      <c r="H52" s="14"/>
      <c r="I52" s="7">
        <v>6.6699999999999997E-6</v>
      </c>
      <c r="J52" s="7">
        <v>2.96E-8</v>
      </c>
      <c r="K52" s="7">
        <v>3.5099999999999998E-10</v>
      </c>
      <c r="L52" s="5"/>
      <c r="M52" s="14">
        <f t="shared" si="13"/>
        <v>6.6999509999999995E-6</v>
      </c>
      <c r="N52" s="5"/>
      <c r="O52" s="5"/>
      <c r="Q52" t="s">
        <v>115</v>
      </c>
    </row>
    <row r="53" spans="1:17" x14ac:dyDescent="0.2">
      <c r="A53" t="s">
        <v>83</v>
      </c>
      <c r="C53" s="11"/>
      <c r="D53" s="5">
        <v>1.0800000000000001E-2</v>
      </c>
      <c r="E53" s="5">
        <v>2.61E-4</v>
      </c>
      <c r="F53" s="7">
        <v>1.13E-5</v>
      </c>
      <c r="G53" s="11">
        <f t="shared" si="12"/>
        <v>1.1072300000000002E-2</v>
      </c>
      <c r="H53" s="14"/>
      <c r="I53" s="5">
        <v>1.0300000000000001E-3</v>
      </c>
      <c r="J53" s="7">
        <v>2.9899999999999998E-5</v>
      </c>
      <c r="K53" s="7">
        <v>4.2699999999999999E-8</v>
      </c>
      <c r="L53" s="7"/>
      <c r="M53" s="14">
        <f t="shared" si="13"/>
        <v>1.0599427000000002E-3</v>
      </c>
      <c r="N53" s="5"/>
      <c r="O53" s="5"/>
      <c r="Q53" t="s">
        <v>115</v>
      </c>
    </row>
    <row r="54" spans="1:17" x14ac:dyDescent="0.2">
      <c r="A54" t="s">
        <v>143</v>
      </c>
      <c r="C54" s="11"/>
      <c r="D54" s="5">
        <v>1.1800000000000001E-3</v>
      </c>
      <c r="E54" s="5">
        <v>4.5099999999999998E-5</v>
      </c>
      <c r="F54" s="7">
        <v>1.44E-6</v>
      </c>
      <c r="G54" s="11">
        <f t="shared" si="12"/>
        <v>1.2265399999999999E-3</v>
      </c>
      <c r="H54" s="14"/>
      <c r="I54" s="5"/>
      <c r="J54" s="7"/>
      <c r="K54" s="7"/>
      <c r="L54" s="7"/>
      <c r="M54" s="14"/>
      <c r="N54" s="5"/>
      <c r="O54" s="5"/>
      <c r="P54" t="s">
        <v>144</v>
      </c>
    </row>
    <row r="55" spans="1:17" x14ac:dyDescent="0.2">
      <c r="A55" t="s">
        <v>146</v>
      </c>
      <c r="C55" s="11"/>
      <c r="D55" s="5">
        <v>1.34E-5</v>
      </c>
      <c r="E55" s="5">
        <v>2.0400000000000001E-5</v>
      </c>
      <c r="F55" s="7">
        <v>8.09E-7</v>
      </c>
      <c r="G55" s="11">
        <f t="shared" si="12"/>
        <v>3.4609E-5</v>
      </c>
      <c r="H55" s="14"/>
      <c r="I55" s="5"/>
      <c r="J55" s="7"/>
      <c r="K55" s="7"/>
      <c r="L55" s="7"/>
      <c r="M55" s="14"/>
      <c r="N55" s="5"/>
      <c r="O55" s="5"/>
      <c r="P55" t="s">
        <v>145</v>
      </c>
    </row>
    <row r="56" spans="1:17" x14ac:dyDescent="0.2">
      <c r="A56" t="s">
        <v>104</v>
      </c>
      <c r="C56" s="11">
        <f t="shared" ref="C56:C90" si="14">SUM(D56:F56)</f>
        <v>3.51464</v>
      </c>
      <c r="D56" s="5">
        <v>3.33</v>
      </c>
      <c r="E56" s="5">
        <v>0.182</v>
      </c>
      <c r="F56" s="5">
        <v>2.64E-3</v>
      </c>
      <c r="G56" s="5"/>
      <c r="H56" s="14">
        <f t="shared" ref="H56:H73" si="15">SUM(I56:K56)</f>
        <v>0.36993814999999997</v>
      </c>
      <c r="I56" s="5">
        <v>0.36699999999999999</v>
      </c>
      <c r="J56" s="5">
        <v>2.9299999999999999E-3</v>
      </c>
      <c r="K56" s="7">
        <v>8.1499999999999999E-6</v>
      </c>
      <c r="L56" s="5"/>
      <c r="M56" s="5"/>
      <c r="N56" s="5"/>
      <c r="O56" s="5"/>
      <c r="Q56" t="s">
        <v>113</v>
      </c>
    </row>
    <row r="57" spans="1:17" x14ac:dyDescent="0.2">
      <c r="A57" t="s">
        <v>80</v>
      </c>
      <c r="C57" s="11">
        <f t="shared" si="14"/>
        <v>0.12100999999999999</v>
      </c>
      <c r="D57" s="5">
        <v>0.11799999999999999</v>
      </c>
      <c r="E57" s="5">
        <v>2.8500000000000001E-3</v>
      </c>
      <c r="F57" s="5">
        <v>1.6000000000000001E-4</v>
      </c>
      <c r="G57" s="5"/>
      <c r="H57" s="14">
        <f t="shared" si="15"/>
        <v>9.3692799999999989E-3</v>
      </c>
      <c r="I57" s="5">
        <v>9.2399999999999999E-3</v>
      </c>
      <c r="J57" s="5">
        <v>1.2799999999999999E-4</v>
      </c>
      <c r="K57" s="5">
        <v>1.28E-6</v>
      </c>
      <c r="L57" s="5"/>
      <c r="M57" s="5"/>
      <c r="N57" s="5"/>
      <c r="O57" s="5" t="s">
        <v>28</v>
      </c>
      <c r="Q57" t="s">
        <v>113</v>
      </c>
    </row>
    <row r="58" spans="1:17" x14ac:dyDescent="0.2">
      <c r="A58" t="s">
        <v>103</v>
      </c>
      <c r="C58" s="11">
        <f t="shared" si="14"/>
        <v>0.51764999999999994</v>
      </c>
      <c r="D58" s="5">
        <v>0.49099999999999999</v>
      </c>
      <c r="E58" s="5">
        <v>2.6200000000000001E-2</v>
      </c>
      <c r="F58" s="5">
        <v>4.4999999999999999E-4</v>
      </c>
      <c r="G58" s="5"/>
      <c r="H58" s="14">
        <f t="shared" si="15"/>
        <v>5.4393850000000001E-2</v>
      </c>
      <c r="I58" s="5">
        <v>5.3900000000000003E-2</v>
      </c>
      <c r="J58" s="5">
        <v>4.9200000000000003E-4</v>
      </c>
      <c r="K58" s="7">
        <v>1.8500000000000001E-6</v>
      </c>
      <c r="Q58" t="s">
        <v>113</v>
      </c>
    </row>
    <row r="59" spans="1:17" x14ac:dyDescent="0.2">
      <c r="A59" t="s">
        <v>123</v>
      </c>
      <c r="C59" s="11">
        <f>SUM(D59:F59)</f>
        <v>5.4908799999999994E-2</v>
      </c>
      <c r="D59" s="5">
        <v>5.1999999999999998E-2</v>
      </c>
      <c r="E59" s="5">
        <v>2.8700000000000002E-3</v>
      </c>
      <c r="F59" s="7">
        <v>3.8800000000000001E-5</v>
      </c>
      <c r="G59" s="14"/>
      <c r="H59" s="14">
        <f>SUM(I59:K59)</f>
        <v>5.7666219999999999E-3</v>
      </c>
      <c r="I59" s="5">
        <f>0.00572</f>
        <v>5.7200000000000003E-3</v>
      </c>
      <c r="J59" s="5">
        <f>0.0000465</f>
        <v>4.6499999999999999E-5</v>
      </c>
      <c r="K59" s="7">
        <v>1.2200000000000001E-7</v>
      </c>
      <c r="L59" s="5"/>
      <c r="M59" s="5"/>
      <c r="N59" s="5"/>
      <c r="O59" s="5"/>
      <c r="Q59" t="s">
        <v>113</v>
      </c>
    </row>
    <row r="60" spans="1:17" x14ac:dyDescent="0.2">
      <c r="A60" t="s">
        <v>122</v>
      </c>
      <c r="C60" s="11">
        <f t="shared" si="14"/>
        <v>0.1167089</v>
      </c>
      <c r="D60">
        <v>0.114</v>
      </c>
      <c r="E60">
        <v>2.6800000000000001E-3</v>
      </c>
      <c r="F60">
        <v>2.8899999999999998E-5</v>
      </c>
      <c r="G60" s="5"/>
      <c r="H60" s="14">
        <f t="shared" si="15"/>
        <v>7.4442399999999995E-3</v>
      </c>
      <c r="I60">
        <v>7.2300000000000003E-3</v>
      </c>
      <c r="J60">
        <v>2.13E-4</v>
      </c>
      <c r="K60">
        <v>1.24E-6</v>
      </c>
      <c r="L60" s="5">
        <f t="shared" ref="L60:L73" si="16">SUM(D60:K60)</f>
        <v>0.13159738000000001</v>
      </c>
      <c r="M60" s="5"/>
      <c r="N60" s="9">
        <f t="shared" ref="N60:N73" si="17">L60/C60</f>
        <v>1.1275693627478283</v>
      </c>
      <c r="O60" s="5" t="s">
        <v>23</v>
      </c>
      <c r="Q60" t="s">
        <v>113</v>
      </c>
    </row>
    <row r="61" spans="1:17" x14ac:dyDescent="0.2">
      <c r="A61" t="s">
        <v>48</v>
      </c>
      <c r="C61" s="11">
        <f t="shared" si="14"/>
        <v>2.1913999999999998</v>
      </c>
      <c r="D61" s="5">
        <v>2.17</v>
      </c>
      <c r="E61" s="5">
        <v>2.1399999999999999E-2</v>
      </c>
      <c r="F61" s="5"/>
      <c r="G61" s="5"/>
      <c r="H61" s="14">
        <f t="shared" si="15"/>
        <v>1.37E-4</v>
      </c>
      <c r="I61" s="5"/>
      <c r="J61" s="5">
        <v>1.37E-4</v>
      </c>
      <c r="K61" s="5"/>
      <c r="L61" s="5">
        <f t="shared" si="16"/>
        <v>2.1916739999999999</v>
      </c>
      <c r="M61" s="5"/>
      <c r="N61" s="9">
        <f t="shared" si="17"/>
        <v>1.0001250342246966</v>
      </c>
      <c r="O61" s="5"/>
      <c r="Q61" t="s">
        <v>113</v>
      </c>
    </row>
    <row r="62" spans="1:17" x14ac:dyDescent="0.2">
      <c r="A62" t="s">
        <v>47</v>
      </c>
      <c r="C62" s="11">
        <f t="shared" si="14"/>
        <v>1.952</v>
      </c>
      <c r="D62" s="5">
        <v>1.94</v>
      </c>
      <c r="E62" s="5">
        <v>1.2E-2</v>
      </c>
      <c r="F62" s="5"/>
      <c r="G62" s="5"/>
      <c r="H62" s="14">
        <f t="shared" si="15"/>
        <v>1.0900000000000001E-4</v>
      </c>
      <c r="I62" s="5"/>
      <c r="J62" s="5">
        <v>1.0900000000000001E-4</v>
      </c>
      <c r="K62" s="5"/>
      <c r="L62" s="5">
        <f t="shared" si="16"/>
        <v>1.9522179999999998</v>
      </c>
      <c r="M62" s="5"/>
      <c r="N62" s="9">
        <f t="shared" si="17"/>
        <v>1.0001116803278687</v>
      </c>
      <c r="O62" s="5"/>
      <c r="Q62" t="s">
        <v>113</v>
      </c>
    </row>
    <row r="63" spans="1:17" x14ac:dyDescent="0.2">
      <c r="A63" t="s">
        <v>46</v>
      </c>
      <c r="C63" s="11">
        <f t="shared" si="14"/>
        <v>2.0971000000000002</v>
      </c>
      <c r="D63" s="5">
        <v>2.08</v>
      </c>
      <c r="E63" s="5">
        <v>1.7100000000000001E-2</v>
      </c>
      <c r="F63" s="5"/>
      <c r="G63" s="5"/>
      <c r="H63" s="14">
        <f t="shared" si="15"/>
        <v>1.2400000000000001E-4</v>
      </c>
      <c r="I63" s="5"/>
      <c r="J63" s="5">
        <v>1.2400000000000001E-4</v>
      </c>
      <c r="K63" s="5"/>
      <c r="L63" s="5">
        <f t="shared" si="16"/>
        <v>2.0973480000000002</v>
      </c>
      <c r="M63" s="5"/>
      <c r="N63" s="9">
        <f t="shared" si="17"/>
        <v>1.0001182585475181</v>
      </c>
      <c r="O63" s="5"/>
      <c r="Q63" t="s">
        <v>113</v>
      </c>
    </row>
    <row r="64" spans="1:17" x14ac:dyDescent="0.2">
      <c r="A64" t="s">
        <v>50</v>
      </c>
      <c r="C64" s="11">
        <f t="shared" si="14"/>
        <v>2.05918</v>
      </c>
      <c r="D64" s="5">
        <v>2.0499999999999998</v>
      </c>
      <c r="E64" s="5">
        <v>9.1800000000000007E-3</v>
      </c>
      <c r="F64" s="5"/>
      <c r="G64" s="5"/>
      <c r="H64" s="14">
        <f t="shared" si="15"/>
        <v>0.18401619999999999</v>
      </c>
      <c r="I64" s="5">
        <v>0.184</v>
      </c>
      <c r="J64" s="5">
        <v>1.3699999999999999E-5</v>
      </c>
      <c r="K64" s="5">
        <v>2.5000000000000002E-6</v>
      </c>
      <c r="L64" s="5">
        <f t="shared" si="16"/>
        <v>2.4272123999999997</v>
      </c>
      <c r="M64" s="5"/>
      <c r="N64" s="9">
        <f t="shared" si="17"/>
        <v>1.1787276488699383</v>
      </c>
      <c r="O64" s="5"/>
      <c r="Q64" t="s">
        <v>113</v>
      </c>
    </row>
    <row r="65" spans="1:17" x14ac:dyDescent="0.2">
      <c r="A65" t="s">
        <v>14</v>
      </c>
      <c r="B65" s="23" t="s">
        <v>154</v>
      </c>
      <c r="C65" s="11">
        <f t="shared" si="14"/>
        <v>4.8364000000000002E-3</v>
      </c>
      <c r="D65" s="5">
        <v>4.7499999999999999E-3</v>
      </c>
      <c r="E65" s="5">
        <v>8.6399999999999999E-5</v>
      </c>
      <c r="F65" s="5"/>
      <c r="G65" s="5"/>
      <c r="H65" s="14">
        <f t="shared" si="15"/>
        <v>1.4165299999999999E-4</v>
      </c>
      <c r="I65" s="5">
        <v>1.3899999999999999E-4</v>
      </c>
      <c r="J65" s="5">
        <v>2.6000000000000001E-6</v>
      </c>
      <c r="K65" s="7">
        <v>5.2999999999999998E-8</v>
      </c>
      <c r="L65" s="5">
        <f t="shared" si="16"/>
        <v>5.1197060000000008E-3</v>
      </c>
      <c r="M65" s="5"/>
      <c r="N65" s="9">
        <f t="shared" si="17"/>
        <v>1.0585778678355804</v>
      </c>
      <c r="O65" s="5" t="s">
        <v>35</v>
      </c>
      <c r="P65" t="s">
        <v>34</v>
      </c>
      <c r="Q65" t="s">
        <v>107</v>
      </c>
    </row>
    <row r="66" spans="1:17" x14ac:dyDescent="0.2">
      <c r="A66" t="s">
        <v>36</v>
      </c>
      <c r="C66" s="11">
        <f t="shared" si="14"/>
        <v>5.3398300000000003E-3</v>
      </c>
      <c r="D66" s="5">
        <v>5.2500000000000003E-3</v>
      </c>
      <c r="E66" s="5">
        <v>8.6500000000000002E-5</v>
      </c>
      <c r="F66" s="5">
        <v>3.3299999999999999E-6</v>
      </c>
      <c r="G66" s="5"/>
      <c r="H66" s="14">
        <f t="shared" si="15"/>
        <v>2.2085400000000001E-4</v>
      </c>
      <c r="I66" s="5">
        <v>1.94E-4</v>
      </c>
      <c r="J66" s="5">
        <v>2.6800000000000001E-5</v>
      </c>
      <c r="K66" s="7">
        <v>5.4E-8</v>
      </c>
      <c r="L66" s="5">
        <f t="shared" si="16"/>
        <v>5.7815380000000001E-3</v>
      </c>
      <c r="M66" s="5"/>
      <c r="N66" s="9">
        <f t="shared" si="17"/>
        <v>1.0827194873245027</v>
      </c>
      <c r="O66" s="5" t="s">
        <v>35</v>
      </c>
      <c r="P66" t="s">
        <v>37</v>
      </c>
      <c r="Q66" t="s">
        <v>107</v>
      </c>
    </row>
    <row r="67" spans="1:17" x14ac:dyDescent="0.2">
      <c r="A67" t="s">
        <v>17</v>
      </c>
      <c r="C67" s="11">
        <f t="shared" si="14"/>
        <v>6.2811700000000012E-2</v>
      </c>
      <c r="D67" s="5">
        <f>(0.116+0.00782)/2</f>
        <v>6.1910000000000007E-2</v>
      </c>
      <c r="E67" s="5">
        <f>(0.000685+0.000984)/2</f>
        <v>8.3449999999999996E-4</v>
      </c>
      <c r="F67" s="5">
        <f>(0.0000114+0.000123)/2</f>
        <v>6.7200000000000007E-5</v>
      </c>
      <c r="G67" s="5"/>
      <c r="H67" s="14">
        <f t="shared" si="15"/>
        <v>3.2426277000000002E-5</v>
      </c>
      <c r="I67" s="5">
        <f>(0.000000000244+0.00000000131)/2</f>
        <v>7.7700000000000001E-10</v>
      </c>
      <c r="J67" s="5">
        <f>(0.00000585+0.000059)/2</f>
        <v>3.2425000000000002E-5</v>
      </c>
      <c r="K67" s="5">
        <v>5.0000000000000003E-10</v>
      </c>
      <c r="L67" s="5">
        <f t="shared" si="16"/>
        <v>6.2876552554000015E-2</v>
      </c>
      <c r="M67" s="5"/>
      <c r="N67" s="9">
        <f t="shared" si="17"/>
        <v>1.0010324916217839</v>
      </c>
      <c r="O67" s="5" t="s">
        <v>28</v>
      </c>
      <c r="P67" t="s">
        <v>33</v>
      </c>
      <c r="Q67" t="s">
        <v>107</v>
      </c>
    </row>
    <row r="68" spans="1:17" x14ac:dyDescent="0.2">
      <c r="A68" t="s">
        <v>58</v>
      </c>
      <c r="C68" s="11">
        <f t="shared" si="14"/>
        <v>4.5254500000000002</v>
      </c>
      <c r="D68" s="5">
        <v>4.4400000000000004</v>
      </c>
      <c r="E68" s="5">
        <v>8.1199999999999994E-2</v>
      </c>
      <c r="F68" s="5">
        <v>4.2500000000000003E-3</v>
      </c>
      <c r="G68" s="5"/>
      <c r="H68" s="14">
        <f t="shared" si="15"/>
        <v>0.41471239999999998</v>
      </c>
      <c r="I68" s="5">
        <v>0.41099999999999998</v>
      </c>
      <c r="J68" s="5">
        <v>3.7000000000000002E-3</v>
      </c>
      <c r="K68" s="5">
        <v>1.24E-5</v>
      </c>
      <c r="L68" s="5">
        <f t="shared" si="16"/>
        <v>5.3548748000000002</v>
      </c>
      <c r="M68" s="5"/>
      <c r="N68" s="9">
        <f t="shared" si="17"/>
        <v>1.18328007159509</v>
      </c>
      <c r="O68" s="5" t="s">
        <v>28</v>
      </c>
      <c r="P68" t="s">
        <v>59</v>
      </c>
      <c r="Q68" t="s">
        <v>107</v>
      </c>
    </row>
    <row r="69" spans="1:17" x14ac:dyDescent="0.2">
      <c r="A69" t="s">
        <v>169</v>
      </c>
      <c r="C69" s="24">
        <f t="shared" si="14"/>
        <v>7.0681399999999997E-5</v>
      </c>
      <c r="D69" s="7">
        <v>7.0599999999999995E-5</v>
      </c>
      <c r="E69" s="5">
        <v>6.6100000000000003E-8</v>
      </c>
      <c r="F69" s="7">
        <v>1.5300000000000001E-8</v>
      </c>
      <c r="G69" s="7"/>
      <c r="H69" s="14">
        <f t="shared" si="15"/>
        <v>5.4510181999999996E-5</v>
      </c>
      <c r="I69" s="5">
        <v>5.4400000000000001E-5</v>
      </c>
      <c r="J69" s="5">
        <f>0.00000011</f>
        <v>1.1000000000000001E-7</v>
      </c>
      <c r="K69" s="7">
        <v>1.8199999999999999E-10</v>
      </c>
      <c r="L69" s="5">
        <f t="shared" si="16"/>
        <v>1.7970176399999998E-4</v>
      </c>
      <c r="M69" s="5"/>
      <c r="N69" s="10">
        <f t="shared" si="17"/>
        <v>2.5424194201020351</v>
      </c>
      <c r="O69" s="5" t="s">
        <v>28</v>
      </c>
      <c r="P69" t="s">
        <v>54</v>
      </c>
      <c r="Q69" t="s">
        <v>112</v>
      </c>
    </row>
    <row r="70" spans="1:17" x14ac:dyDescent="0.2">
      <c r="A70" t="s">
        <v>167</v>
      </c>
      <c r="C70" s="24">
        <f t="shared" si="14"/>
        <v>5.1421000000000001E-5</v>
      </c>
      <c r="D70" s="7">
        <v>5.1400000000000003E-5</v>
      </c>
      <c r="E70" s="7">
        <v>1.15E-8</v>
      </c>
      <c r="F70" s="7">
        <v>9.5000000000000007E-9</v>
      </c>
      <c r="G70" s="7"/>
      <c r="H70" s="14">
        <f t="shared" si="15"/>
        <v>5.7648995120000004E-6</v>
      </c>
      <c r="I70" s="5">
        <f>0.000000000000312+0.00000575</f>
        <v>5.7500003120000003E-6</v>
      </c>
      <c r="J70" s="7">
        <v>1.48E-8</v>
      </c>
      <c r="K70" s="7">
        <v>9.9200000000000004E-11</v>
      </c>
      <c r="L70" s="5"/>
      <c r="M70" s="5"/>
      <c r="N70" s="10"/>
      <c r="O70" s="5" t="s">
        <v>28</v>
      </c>
      <c r="P70" t="s">
        <v>54</v>
      </c>
      <c r="Q70" t="s">
        <v>112</v>
      </c>
    </row>
    <row r="71" spans="1:17" x14ac:dyDescent="0.2">
      <c r="A71" t="s">
        <v>168</v>
      </c>
      <c r="C71" s="24">
        <f t="shared" ref="C71" si="18">SUM(D71:F71)</f>
        <v>5.1360099999999996E-5</v>
      </c>
      <c r="D71" s="7">
        <f>0.0000513</f>
        <v>5.13E-5</v>
      </c>
      <c r="E71" s="5">
        <v>4.8599999999999998E-8</v>
      </c>
      <c r="F71" s="7">
        <v>1.15E-8</v>
      </c>
      <c r="G71" s="7"/>
      <c r="H71" s="14">
        <f t="shared" ref="H71" si="19">SUM(I71:K71)</f>
        <v>5.774166225999999E-6</v>
      </c>
      <c r="I71" s="7">
        <f>0.000000000000226+0.00000577</f>
        <v>5.7700002259999996E-6</v>
      </c>
      <c r="J71" s="7">
        <v>4.0400000000000001E-9</v>
      </c>
      <c r="K71" s="7">
        <v>1.26E-10</v>
      </c>
      <c r="L71" s="5"/>
      <c r="M71" s="5"/>
      <c r="N71" s="10">
        <f t="shared" ref="N71" si="20">L71/C71</f>
        <v>0</v>
      </c>
      <c r="O71" s="5" t="s">
        <v>28</v>
      </c>
      <c r="P71" t="s">
        <v>54</v>
      </c>
      <c r="Q71" t="s">
        <v>112</v>
      </c>
    </row>
    <row r="72" spans="1:17" x14ac:dyDescent="0.2">
      <c r="A72" t="s">
        <v>71</v>
      </c>
      <c r="C72" s="11">
        <f t="shared" si="14"/>
        <v>8.7781100000000004E-3</v>
      </c>
      <c r="D72" s="5">
        <v>8.3999999999999995E-3</v>
      </c>
      <c r="E72" s="5">
        <v>3.7199999999999999E-4</v>
      </c>
      <c r="F72" s="5">
        <v>6.1099999999999999E-6</v>
      </c>
      <c r="G72" s="5"/>
      <c r="H72" s="14">
        <f t="shared" si="15"/>
        <v>3.9770749700000004E-4</v>
      </c>
      <c r="I72" s="5">
        <f>0.000000000197+0.000391</f>
        <v>3.9100019700000004E-4</v>
      </c>
      <c r="J72" s="5">
        <f>0.00000663</f>
        <v>6.63E-6</v>
      </c>
      <c r="K72" s="5">
        <f>0.0000000773</f>
        <v>7.7299999999999997E-8</v>
      </c>
      <c r="L72" s="5">
        <f t="shared" si="16"/>
        <v>9.573524994000002E-3</v>
      </c>
      <c r="M72" s="5"/>
      <c r="N72" s="9">
        <f t="shared" si="17"/>
        <v>1.0906134685029012</v>
      </c>
      <c r="O72" s="5" t="s">
        <v>28</v>
      </c>
      <c r="P72" t="s">
        <v>63</v>
      </c>
      <c r="Q72" t="s">
        <v>114</v>
      </c>
    </row>
    <row r="73" spans="1:17" x14ac:dyDescent="0.2">
      <c r="A73" t="s">
        <v>166</v>
      </c>
      <c r="C73" s="11">
        <f t="shared" si="14"/>
        <v>1.974315</v>
      </c>
      <c r="D73" s="5">
        <v>1.96</v>
      </c>
      <c r="E73" s="5">
        <v>1.41E-2</v>
      </c>
      <c r="F73" s="5">
        <v>2.1499999999999999E-4</v>
      </c>
      <c r="G73" s="5"/>
      <c r="H73" s="14">
        <f t="shared" si="15"/>
        <v>2.5557371700000001E-2</v>
      </c>
      <c r="I73" s="5">
        <f>0.0000000117+0.025</f>
        <v>2.5000011700000001E-2</v>
      </c>
      <c r="J73" s="5">
        <f>0.000554</f>
        <v>5.5400000000000002E-4</v>
      </c>
      <c r="K73" s="5">
        <f>0.00000336</f>
        <v>3.36E-6</v>
      </c>
      <c r="L73" s="5">
        <f t="shared" si="16"/>
        <v>2.0254297434000001</v>
      </c>
      <c r="M73" s="5"/>
      <c r="N73" s="9">
        <f t="shared" si="17"/>
        <v>1.0258898622560231</v>
      </c>
      <c r="O73" s="5" t="s">
        <v>28</v>
      </c>
      <c r="P73" t="s">
        <v>55</v>
      </c>
      <c r="Q73" t="s">
        <v>114</v>
      </c>
    </row>
    <row r="74" spans="1:17" x14ac:dyDescent="0.2">
      <c r="A74" t="s">
        <v>132</v>
      </c>
      <c r="C74" s="11">
        <f t="shared" si="14"/>
        <v>0.89112000000000002</v>
      </c>
      <c r="D74" s="5">
        <v>0.874</v>
      </c>
      <c r="E74" s="5">
        <v>1.5800000000000002E-2</v>
      </c>
      <c r="F74" s="5">
        <v>1.32E-3</v>
      </c>
      <c r="G74" s="5"/>
      <c r="H74" s="14"/>
      <c r="I74" s="5"/>
      <c r="J74" s="5"/>
      <c r="K74" s="5"/>
      <c r="L74" s="5"/>
      <c r="M74" s="5"/>
      <c r="N74" s="9"/>
      <c r="O74" s="5"/>
    </row>
    <row r="75" spans="1:17" x14ac:dyDescent="0.2">
      <c r="A75" t="s">
        <v>130</v>
      </c>
      <c r="C75" s="11">
        <f t="shared" si="14"/>
        <v>0.85876810000000003</v>
      </c>
      <c r="D75" s="5">
        <v>0.80600000000000005</v>
      </c>
      <c r="E75" s="5">
        <v>5.2699999999999997E-2</v>
      </c>
      <c r="F75" s="5">
        <v>6.8100000000000002E-5</v>
      </c>
      <c r="O75" s="5" t="s">
        <v>23</v>
      </c>
      <c r="Q75" t="s">
        <v>107</v>
      </c>
    </row>
    <row r="76" spans="1:17" x14ac:dyDescent="0.2">
      <c r="A76" t="s">
        <v>129</v>
      </c>
      <c r="C76" s="11">
        <f t="shared" si="14"/>
        <v>0.93831900000000001</v>
      </c>
      <c r="D76" s="5">
        <v>0.91700000000000004</v>
      </c>
      <c r="E76" s="5">
        <v>2.12E-2</v>
      </c>
      <c r="F76" s="5">
        <v>1.1900000000000001E-4</v>
      </c>
      <c r="O76" s="5"/>
    </row>
    <row r="77" spans="1:17" x14ac:dyDescent="0.2">
      <c r="A77" t="s">
        <v>131</v>
      </c>
      <c r="C77" s="11">
        <f t="shared" si="14"/>
        <v>0.96553399999999989</v>
      </c>
      <c r="D77" s="5">
        <v>0.94799999999999995</v>
      </c>
      <c r="E77" s="5">
        <v>1.7399999999999999E-2</v>
      </c>
      <c r="F77" s="5">
        <v>1.34E-4</v>
      </c>
      <c r="O77" s="5"/>
    </row>
    <row r="78" spans="1:17" x14ac:dyDescent="0.2">
      <c r="A78" t="s">
        <v>126</v>
      </c>
      <c r="C78" s="11">
        <f t="shared" si="14"/>
        <v>6.4086100000000003E-3</v>
      </c>
      <c r="D78" s="5">
        <v>6.3200000000000001E-3</v>
      </c>
      <c r="E78" s="5">
        <v>8.3499999999999997E-5</v>
      </c>
      <c r="F78" s="5">
        <v>5.1100000000000002E-6</v>
      </c>
      <c r="O78" s="5" t="s">
        <v>23</v>
      </c>
      <c r="P78" t="s">
        <v>59</v>
      </c>
      <c r="Q78" t="s">
        <v>107</v>
      </c>
    </row>
    <row r="79" spans="1:17" x14ac:dyDescent="0.2">
      <c r="A79" t="s">
        <v>133</v>
      </c>
      <c r="C79" s="11">
        <f t="shared" si="14"/>
        <v>1.002575E-2</v>
      </c>
      <c r="D79" s="5">
        <v>9.7900000000000001E-3</v>
      </c>
      <c r="E79" s="5">
        <v>2.2599999999999999E-4</v>
      </c>
      <c r="F79" s="5">
        <v>9.7499999999999998E-6</v>
      </c>
      <c r="O79" s="5" t="s">
        <v>23</v>
      </c>
      <c r="P79" t="s">
        <v>56</v>
      </c>
      <c r="Q79" t="s">
        <v>107</v>
      </c>
    </row>
    <row r="80" spans="1:17" x14ac:dyDescent="0.2">
      <c r="A80" t="s">
        <v>127</v>
      </c>
      <c r="C80" s="11">
        <f t="shared" si="14"/>
        <v>9.92176E-3</v>
      </c>
      <c r="D80" s="5">
        <v>9.7300000000000008E-3</v>
      </c>
      <c r="E80" s="5">
        <v>1.8200000000000001E-4</v>
      </c>
      <c r="F80" s="5">
        <v>9.7599999999999997E-6</v>
      </c>
      <c r="O80" s="5" t="s">
        <v>23</v>
      </c>
      <c r="P80" t="s">
        <v>128</v>
      </c>
      <c r="Q80" t="s">
        <v>107</v>
      </c>
    </row>
    <row r="81" spans="1:17" x14ac:dyDescent="0.2">
      <c r="A81" t="s">
        <v>134</v>
      </c>
      <c r="C81" s="11">
        <f t="shared" si="14"/>
        <v>9.9463800000000012E-3</v>
      </c>
      <c r="D81" s="5">
        <v>9.8700000000000003E-3</v>
      </c>
      <c r="E81" s="5">
        <v>6.9400000000000006E-5</v>
      </c>
      <c r="F81" s="5">
        <v>6.9800000000000001E-6</v>
      </c>
      <c r="O81" s="5" t="s">
        <v>23</v>
      </c>
      <c r="P81" t="s">
        <v>59</v>
      </c>
      <c r="Q81" t="s">
        <v>107</v>
      </c>
    </row>
    <row r="82" spans="1:17" x14ac:dyDescent="0.2">
      <c r="A82" t="s">
        <v>140</v>
      </c>
      <c r="C82" s="11">
        <f t="shared" si="14"/>
        <v>1.2135330000000001E-2</v>
      </c>
      <c r="D82" s="5">
        <v>1.2E-2</v>
      </c>
      <c r="E82" s="5">
        <v>1.27E-4</v>
      </c>
      <c r="F82" s="5">
        <v>8.3299999999999999E-6</v>
      </c>
      <c r="O82" s="5" t="s">
        <v>23</v>
      </c>
      <c r="P82" t="s">
        <v>59</v>
      </c>
    </row>
    <row r="83" spans="1:17" x14ac:dyDescent="0.2">
      <c r="A83" t="s">
        <v>141</v>
      </c>
      <c r="C83" s="11">
        <f t="shared" si="14"/>
        <v>2.9536999999999997E-2</v>
      </c>
      <c r="D83" s="5">
        <v>2.93E-2</v>
      </c>
      <c r="E83" s="5">
        <v>2.1699999999999999E-4</v>
      </c>
      <c r="F83" s="5">
        <v>2.0000000000000002E-5</v>
      </c>
    </row>
    <row r="84" spans="1:17" x14ac:dyDescent="0.2">
      <c r="A84" t="s">
        <v>142</v>
      </c>
      <c r="C84" s="11">
        <f t="shared" si="14"/>
        <v>6.5818999999999989E-2</v>
      </c>
      <c r="D84" s="5">
        <v>6.4199999999999993E-2</v>
      </c>
      <c r="E84" s="5">
        <v>1.1199999999999999E-3</v>
      </c>
      <c r="F84" s="5">
        <v>4.9899999999999999E-4</v>
      </c>
    </row>
    <row r="85" spans="1:17" x14ac:dyDescent="0.2">
      <c r="A85" t="s">
        <v>165</v>
      </c>
      <c r="B85" s="23" t="s">
        <v>160</v>
      </c>
      <c r="C85" s="11">
        <f t="shared" si="14"/>
        <v>0.48447800000000002</v>
      </c>
      <c r="D85" s="5">
        <v>0.48199999999999998</v>
      </c>
      <c r="E85" s="5">
        <v>2.3E-3</v>
      </c>
      <c r="F85" s="5">
        <v>1.7799999999999999E-4</v>
      </c>
    </row>
    <row r="86" spans="1:17" x14ac:dyDescent="0.2">
      <c r="A86" t="s">
        <v>155</v>
      </c>
      <c r="B86" s="23" t="s">
        <v>156</v>
      </c>
      <c r="C86" s="11">
        <f t="shared" si="14"/>
        <v>2.8164400000000001</v>
      </c>
      <c r="D86" s="5">
        <v>2.4900000000000002</v>
      </c>
      <c r="E86" s="5">
        <v>0.32</v>
      </c>
      <c r="F86" s="5">
        <v>6.4400000000000004E-3</v>
      </c>
    </row>
    <row r="87" spans="1:17" x14ac:dyDescent="0.2">
      <c r="A87" t="s">
        <v>147</v>
      </c>
      <c r="B87" s="23" t="s">
        <v>153</v>
      </c>
      <c r="C87" s="11">
        <f t="shared" si="14"/>
        <v>1.26078</v>
      </c>
      <c r="D87" s="5">
        <v>1.23</v>
      </c>
      <c r="E87" s="5">
        <v>2.86E-2</v>
      </c>
      <c r="F87" s="5">
        <v>2.1800000000000001E-3</v>
      </c>
    </row>
    <row r="88" spans="1:17" x14ac:dyDescent="0.2">
      <c r="A88" t="s">
        <v>161</v>
      </c>
      <c r="B88" s="23" t="s">
        <v>157</v>
      </c>
      <c r="C88" s="11">
        <f t="shared" si="14"/>
        <v>0.42766599999999999</v>
      </c>
      <c r="D88" s="5">
        <v>0.41499999999999998</v>
      </c>
      <c r="E88" s="5">
        <v>1.1900000000000001E-2</v>
      </c>
      <c r="F88" s="5">
        <v>7.6599999999999997E-4</v>
      </c>
    </row>
    <row r="89" spans="1:17" x14ac:dyDescent="0.2">
      <c r="A89" t="s">
        <v>148</v>
      </c>
      <c r="B89" s="23" t="s">
        <v>158</v>
      </c>
      <c r="C89" s="11">
        <f t="shared" si="14"/>
        <v>1.1798000000000002</v>
      </c>
      <c r="D89" s="5">
        <v>1.0900000000000001</v>
      </c>
      <c r="E89" s="5">
        <v>8.8599999999999998E-2</v>
      </c>
      <c r="F89" s="5">
        <v>1.1999999999999999E-3</v>
      </c>
    </row>
    <row r="90" spans="1:17" x14ac:dyDescent="0.2">
      <c r="A90" t="s">
        <v>149</v>
      </c>
      <c r="B90" s="23" t="s">
        <v>159</v>
      </c>
      <c r="C90" s="11">
        <f t="shared" si="14"/>
        <v>0.10211199999999999</v>
      </c>
      <c r="D90" s="5">
        <v>9.69E-2</v>
      </c>
      <c r="E90" s="5">
        <v>5.0899999999999999E-3</v>
      </c>
      <c r="F90" s="5">
        <v>1.22E-4</v>
      </c>
    </row>
    <row r="91" spans="1:17" x14ac:dyDescent="0.2">
      <c r="A91" t="s">
        <v>150</v>
      </c>
    </row>
    <row r="92" spans="1:17" x14ac:dyDescent="0.2">
      <c r="A92" t="s">
        <v>151</v>
      </c>
      <c r="B92" s="23" t="s">
        <v>163</v>
      </c>
      <c r="C92" s="11">
        <f>C4*0.5</f>
        <v>1.6386499999999998E-2</v>
      </c>
      <c r="D92" s="11">
        <f>D4*0.5</f>
        <v>1.54E-2</v>
      </c>
      <c r="E92" s="11">
        <f>E4*0.5</f>
        <v>3.2150000000000001E-4</v>
      </c>
      <c r="F92" s="11">
        <f>F4*0.5</f>
        <v>6.6500000000000001E-4</v>
      </c>
    </row>
    <row r="93" spans="1:17" x14ac:dyDescent="0.2">
      <c r="A93" t="s">
        <v>164</v>
      </c>
      <c r="C93" s="11">
        <f t="shared" ref="C93" si="21">SUM(D93:F93)</f>
        <v>0.418101</v>
      </c>
      <c r="D93" s="5">
        <v>0.41199999999999998</v>
      </c>
      <c r="E93" s="5">
        <v>5.8999999999999999E-3</v>
      </c>
      <c r="F93" s="5">
        <v>2.0100000000000001E-4</v>
      </c>
      <c r="P93" t="s">
        <v>162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37" zoomScale="167" zoomScaleNormal="167" workbookViewId="0">
      <selection activeCell="A78" sqref="A78"/>
    </sheetView>
  </sheetViews>
  <sheetFormatPr baseColWidth="10" defaultColWidth="11.5" defaultRowHeight="15" x14ac:dyDescent="0.2"/>
  <cols>
    <col min="1" max="1" width="26.1640625" customWidth="1"/>
    <col min="2" max="4" width="12.6640625" customWidth="1"/>
    <col min="5" max="5" width="11.83203125" style="5" bestFit="1" customWidth="1"/>
  </cols>
  <sheetData>
    <row r="1" spans="1:6" ht="32" x14ac:dyDescent="0.2">
      <c r="A1" s="1" t="s">
        <v>11</v>
      </c>
      <c r="B1" s="1" t="s">
        <v>137</v>
      </c>
      <c r="C1" s="1" t="s">
        <v>16</v>
      </c>
      <c r="D1" s="1" t="s">
        <v>94</v>
      </c>
      <c r="E1" s="3" t="s">
        <v>12</v>
      </c>
      <c r="F1" s="3" t="s">
        <v>29</v>
      </c>
    </row>
    <row r="2" spans="1:6" ht="16" x14ac:dyDescent="0.2">
      <c r="A2" s="2" t="s">
        <v>0</v>
      </c>
      <c r="B2" s="2"/>
      <c r="C2" s="2"/>
      <c r="D2" s="2"/>
      <c r="E2" s="4"/>
    </row>
    <row r="3" spans="1:6" ht="16" x14ac:dyDescent="0.2">
      <c r="A3" s="2" t="s">
        <v>1</v>
      </c>
      <c r="B3" s="2" t="s">
        <v>13</v>
      </c>
      <c r="C3" s="2"/>
      <c r="D3" s="2"/>
      <c r="E3" s="4"/>
    </row>
    <row r="4" spans="1:6" x14ac:dyDescent="0.2">
      <c r="A4" t="s">
        <v>2</v>
      </c>
      <c r="B4">
        <v>4.54</v>
      </c>
      <c r="C4">
        <v>4.54</v>
      </c>
      <c r="E4" s="5" t="s">
        <v>28</v>
      </c>
      <c r="F4" t="s">
        <v>70</v>
      </c>
    </row>
    <row r="5" spans="1:6" x14ac:dyDescent="0.2">
      <c r="A5" t="s">
        <v>3</v>
      </c>
      <c r="B5">
        <v>2.06E-2</v>
      </c>
      <c r="E5" s="5" t="s">
        <v>23</v>
      </c>
      <c r="F5" t="s">
        <v>31</v>
      </c>
    </row>
    <row r="6" spans="1:6" x14ac:dyDescent="0.2">
      <c r="A6" t="s">
        <v>4</v>
      </c>
      <c r="B6">
        <v>2.06E-2</v>
      </c>
      <c r="E6" s="5" t="s">
        <v>23</v>
      </c>
      <c r="F6" t="s">
        <v>31</v>
      </c>
    </row>
    <row r="7" spans="1:6" x14ac:dyDescent="0.2">
      <c r="A7" t="s">
        <v>5</v>
      </c>
      <c r="B7">
        <v>0</v>
      </c>
      <c r="E7" s="5" t="s">
        <v>28</v>
      </c>
    </row>
    <row r="8" spans="1:6" x14ac:dyDescent="0.2">
      <c r="A8" t="s">
        <v>9</v>
      </c>
      <c r="B8">
        <v>0</v>
      </c>
      <c r="C8">
        <v>1.81</v>
      </c>
    </row>
    <row r="9" spans="1:6" x14ac:dyDescent="0.2">
      <c r="A9" t="s">
        <v>10</v>
      </c>
      <c r="B9">
        <v>0</v>
      </c>
      <c r="C9">
        <v>1.81</v>
      </c>
    </row>
    <row r="10" spans="1:6" x14ac:dyDescent="0.2">
      <c r="A10" t="s">
        <v>14</v>
      </c>
      <c r="B10">
        <v>8.8700000000000001E-5</v>
      </c>
      <c r="E10" s="5" t="s">
        <v>35</v>
      </c>
      <c r="F10" t="s">
        <v>34</v>
      </c>
    </row>
    <row r="11" spans="1:6" x14ac:dyDescent="0.2">
      <c r="A11" t="s">
        <v>36</v>
      </c>
      <c r="B11" s="8">
        <v>5.63E-5</v>
      </c>
      <c r="C11" s="8"/>
      <c r="D11" s="8"/>
      <c r="E11" s="5" t="s">
        <v>35</v>
      </c>
      <c r="F11" t="s">
        <v>37</v>
      </c>
    </row>
    <row r="12" spans="1:6" x14ac:dyDescent="0.2">
      <c r="A12" t="s">
        <v>17</v>
      </c>
      <c r="B12">
        <f>(0.000112+0.00107)/2</f>
        <v>5.9099999999999995E-4</v>
      </c>
      <c r="E12" s="5" t="s">
        <v>28</v>
      </c>
      <c r="F12" t="s">
        <v>33</v>
      </c>
    </row>
    <row r="13" spans="1:6" x14ac:dyDescent="0.2">
      <c r="A13" t="s">
        <v>8</v>
      </c>
      <c r="B13">
        <f t="shared" ref="B13" si="0">SUM(E13:F13)</f>
        <v>0</v>
      </c>
    </row>
    <row r="14" spans="1:6" x14ac:dyDescent="0.2">
      <c r="A14" t="s">
        <v>7</v>
      </c>
      <c r="B14">
        <v>0</v>
      </c>
      <c r="E14" s="5" t="s">
        <v>25</v>
      </c>
    </row>
    <row r="15" spans="1:6" x14ac:dyDescent="0.2">
      <c r="A15" t="s">
        <v>6</v>
      </c>
      <c r="B15">
        <v>0</v>
      </c>
      <c r="E15" s="5" t="s">
        <v>25</v>
      </c>
    </row>
    <row r="16" spans="1:6" x14ac:dyDescent="0.2">
      <c r="A16" t="s">
        <v>26</v>
      </c>
      <c r="B16">
        <v>3.54</v>
      </c>
      <c r="E16" s="5" t="s">
        <v>57</v>
      </c>
    </row>
    <row r="17" spans="1:6" x14ac:dyDescent="0.2">
      <c r="A17" t="s">
        <v>41</v>
      </c>
      <c r="B17">
        <v>2.63E-2</v>
      </c>
      <c r="E17" s="5" t="s">
        <v>28</v>
      </c>
      <c r="F17" t="s">
        <v>42</v>
      </c>
    </row>
    <row r="18" spans="1:6" x14ac:dyDescent="0.2">
      <c r="A18" t="s">
        <v>27</v>
      </c>
      <c r="B18">
        <v>1.64</v>
      </c>
      <c r="C18">
        <v>1.64</v>
      </c>
      <c r="E18" s="5" t="s">
        <v>28</v>
      </c>
    </row>
    <row r="19" spans="1:6" x14ac:dyDescent="0.2">
      <c r="A19" t="s">
        <v>32</v>
      </c>
      <c r="B19">
        <v>2.4299999999999999E-2</v>
      </c>
      <c r="E19" s="5" t="s">
        <v>28</v>
      </c>
    </row>
    <row r="20" spans="1:6" x14ac:dyDescent="0.2">
      <c r="A20" t="s">
        <v>38</v>
      </c>
      <c r="B20">
        <v>8.0700000000000008E-3</v>
      </c>
      <c r="F20" t="s">
        <v>39</v>
      </c>
    </row>
    <row r="21" spans="1:6" x14ac:dyDescent="0.2">
      <c r="A21" t="s">
        <v>40</v>
      </c>
      <c r="B21">
        <v>2.66E-3</v>
      </c>
    </row>
    <row r="22" spans="1:6" x14ac:dyDescent="0.2">
      <c r="A22" t="s">
        <v>65</v>
      </c>
      <c r="B22" s="8">
        <v>7.5499999999999994E-8</v>
      </c>
      <c r="C22" s="8"/>
      <c r="D22" s="8"/>
      <c r="E22" s="5" t="s">
        <v>28</v>
      </c>
    </row>
    <row r="23" spans="1:6" x14ac:dyDescent="0.2">
      <c r="A23" t="s">
        <v>43</v>
      </c>
      <c r="B23">
        <v>4.0399999999999998E-2</v>
      </c>
      <c r="E23" s="5" t="s">
        <v>28</v>
      </c>
    </row>
    <row r="24" spans="1:6" x14ac:dyDescent="0.2">
      <c r="A24" t="s">
        <v>24</v>
      </c>
      <c r="B24">
        <v>3.8699999999999998E-2</v>
      </c>
      <c r="E24" s="5" t="s">
        <v>28</v>
      </c>
    </row>
    <row r="25" spans="1:6" x14ac:dyDescent="0.2">
      <c r="A25" t="s">
        <v>44</v>
      </c>
      <c r="B25">
        <v>2.1499999999999998E-2</v>
      </c>
      <c r="E25" s="5" t="s">
        <v>28</v>
      </c>
    </row>
    <row r="26" spans="1:6" x14ac:dyDescent="0.2">
      <c r="A26" t="s">
        <v>45</v>
      </c>
      <c r="B26">
        <v>1.03</v>
      </c>
      <c r="C26">
        <v>1.03</v>
      </c>
    </row>
    <row r="27" spans="1:6" x14ac:dyDescent="0.2">
      <c r="A27" t="s">
        <v>46</v>
      </c>
      <c r="B27">
        <v>1.5299999999999999E-2</v>
      </c>
    </row>
    <row r="28" spans="1:6" x14ac:dyDescent="0.2">
      <c r="A28" t="s">
        <v>47</v>
      </c>
      <c r="B28">
        <v>1.03E-2</v>
      </c>
    </row>
    <row r="29" spans="1:6" x14ac:dyDescent="0.2">
      <c r="A29" t="s">
        <v>48</v>
      </c>
      <c r="B29">
        <v>1.9699999999999999E-2</v>
      </c>
    </row>
    <row r="30" spans="1:6" x14ac:dyDescent="0.2">
      <c r="A30" t="s">
        <v>49</v>
      </c>
    </row>
    <row r="31" spans="1:6" x14ac:dyDescent="0.2">
      <c r="A31" t="s">
        <v>50</v>
      </c>
      <c r="B31">
        <v>1.7000000000000001E-2</v>
      </c>
    </row>
    <row r="32" spans="1:6" x14ac:dyDescent="0.2">
      <c r="A32" t="s">
        <v>51</v>
      </c>
      <c r="B32">
        <v>0.58499999999999996</v>
      </c>
      <c r="C32">
        <v>0.58499999999999996</v>
      </c>
    </row>
    <row r="33" spans="1:5" x14ac:dyDescent="0.2">
      <c r="A33" t="s">
        <v>52</v>
      </c>
      <c r="B33">
        <v>0.58599999999999997</v>
      </c>
      <c r="C33">
        <v>0.58599999999999997</v>
      </c>
    </row>
    <row r="34" spans="1:5" x14ac:dyDescent="0.2">
      <c r="A34" t="s">
        <v>124</v>
      </c>
      <c r="B34">
        <v>1.81</v>
      </c>
      <c r="C34">
        <v>1.81</v>
      </c>
    </row>
    <row r="35" spans="1:5" x14ac:dyDescent="0.2">
      <c r="A35" t="s">
        <v>53</v>
      </c>
      <c r="B35">
        <v>0.81399999999999995</v>
      </c>
      <c r="C35">
        <v>0.81399999999999995</v>
      </c>
    </row>
    <row r="36" spans="1:5" x14ac:dyDescent="0.2">
      <c r="A36" t="s">
        <v>60</v>
      </c>
      <c r="B36">
        <v>2.3300000000000001E-2</v>
      </c>
    </row>
    <row r="37" spans="1:5" x14ac:dyDescent="0.2">
      <c r="A37" t="s">
        <v>62</v>
      </c>
      <c r="B37">
        <v>7.2700000000000004E-3</v>
      </c>
      <c r="E37" s="5" t="s">
        <v>28</v>
      </c>
    </row>
    <row r="38" spans="1:5" x14ac:dyDescent="0.2">
      <c r="A38" t="s">
        <v>61</v>
      </c>
      <c r="B38">
        <v>4.57E-4</v>
      </c>
    </row>
    <row r="39" spans="1:5" x14ac:dyDescent="0.2">
      <c r="A39" t="s">
        <v>66</v>
      </c>
      <c r="B39">
        <f>B34</f>
        <v>1.81</v>
      </c>
      <c r="C39">
        <f>C34</f>
        <v>1.81</v>
      </c>
    </row>
    <row r="40" spans="1:5" x14ac:dyDescent="0.2">
      <c r="A40" t="s">
        <v>67</v>
      </c>
      <c r="B40">
        <v>1.81</v>
      </c>
      <c r="C40">
        <v>1.81</v>
      </c>
    </row>
    <row r="41" spans="1:5" x14ac:dyDescent="0.2">
      <c r="A41" t="s">
        <v>68</v>
      </c>
      <c r="B41">
        <v>1.81</v>
      </c>
      <c r="C41">
        <v>1.81</v>
      </c>
    </row>
    <row r="42" spans="1:5" x14ac:dyDescent="0.2">
      <c r="A42" t="s">
        <v>76</v>
      </c>
      <c r="B42">
        <f>B4</f>
        <v>4.54</v>
      </c>
      <c r="C42">
        <f>C4</f>
        <v>4.54</v>
      </c>
    </row>
    <row r="43" spans="1:5" x14ac:dyDescent="0.2">
      <c r="A43" t="s">
        <v>77</v>
      </c>
      <c r="B43">
        <f>B4</f>
        <v>4.54</v>
      </c>
      <c r="C43">
        <f>C4</f>
        <v>4.54</v>
      </c>
    </row>
    <row r="44" spans="1:5" x14ac:dyDescent="0.2">
      <c r="A44" t="s">
        <v>78</v>
      </c>
      <c r="B44">
        <v>0.01</v>
      </c>
    </row>
    <row r="45" spans="1:5" x14ac:dyDescent="0.2">
      <c r="A45" t="s">
        <v>79</v>
      </c>
      <c r="B45">
        <v>2.7799999999999999E-3</v>
      </c>
    </row>
    <row r="46" spans="1:5" x14ac:dyDescent="0.2">
      <c r="A46" t="s">
        <v>80</v>
      </c>
      <c r="B46">
        <v>4.8700000000000002E-3</v>
      </c>
    </row>
    <row r="47" spans="1:5" x14ac:dyDescent="0.2">
      <c r="A47" t="s">
        <v>83</v>
      </c>
      <c r="D47">
        <v>3.0299999999999999E-4</v>
      </c>
    </row>
    <row r="48" spans="1:5" x14ac:dyDescent="0.2">
      <c r="A48" t="s">
        <v>84</v>
      </c>
      <c r="D48">
        <v>1.2199999999999999E-3</v>
      </c>
    </row>
    <row r="49" spans="1:4" x14ac:dyDescent="0.2">
      <c r="A49" t="s">
        <v>105</v>
      </c>
      <c r="D49">
        <v>2.4199999999999999E-2</v>
      </c>
    </row>
    <row r="50" spans="1:4" x14ac:dyDescent="0.2">
      <c r="A50" t="s">
        <v>86</v>
      </c>
      <c r="D50" s="8">
        <v>1.0300000000000001E-6</v>
      </c>
    </row>
    <row r="51" spans="1:4" x14ac:dyDescent="0.2">
      <c r="A51" t="s">
        <v>87</v>
      </c>
      <c r="D51">
        <v>2.2499999999999999E-4</v>
      </c>
    </row>
    <row r="52" spans="1:4" x14ac:dyDescent="0.2">
      <c r="A52" t="s">
        <v>96</v>
      </c>
      <c r="D52" s="8">
        <v>3.2499999999999997E-5</v>
      </c>
    </row>
    <row r="53" spans="1:4" x14ac:dyDescent="0.2">
      <c r="A53" t="s">
        <v>88</v>
      </c>
      <c r="D53">
        <v>6.2E-4</v>
      </c>
    </row>
    <row r="54" spans="1:4" x14ac:dyDescent="0.2">
      <c r="A54" t="s">
        <v>89</v>
      </c>
      <c r="D54" s="8">
        <v>1.7699999999999999E-4</v>
      </c>
    </row>
    <row r="55" spans="1:4" x14ac:dyDescent="0.2">
      <c r="A55" t="s">
        <v>90</v>
      </c>
      <c r="D55" s="8">
        <v>4.88E-5</v>
      </c>
    </row>
    <row r="56" spans="1:4" x14ac:dyDescent="0.2">
      <c r="A56" t="s">
        <v>85</v>
      </c>
      <c r="D56" s="8">
        <v>5.71E-4</v>
      </c>
    </row>
    <row r="57" spans="1:4" x14ac:dyDescent="0.2">
      <c r="A57" t="s">
        <v>91</v>
      </c>
      <c r="D57" s="8">
        <v>1.7899999999999999E-2</v>
      </c>
    </row>
    <row r="58" spans="1:4" x14ac:dyDescent="0.2">
      <c r="A58" t="s">
        <v>97</v>
      </c>
      <c r="D58" s="8">
        <v>5.5799999999999999E-6</v>
      </c>
    </row>
    <row r="59" spans="1:4" x14ac:dyDescent="0.2">
      <c r="A59" t="s">
        <v>98</v>
      </c>
      <c r="D59" s="8">
        <v>9.7100000000000002E-5</v>
      </c>
    </row>
    <row r="60" spans="1:4" x14ac:dyDescent="0.2">
      <c r="A60" s="16" t="s">
        <v>100</v>
      </c>
      <c r="C60">
        <v>1.81</v>
      </c>
    </row>
    <row r="61" spans="1:4" x14ac:dyDescent="0.2">
      <c r="A61" t="s">
        <v>123</v>
      </c>
      <c r="B61">
        <v>2.5500000000000002E-3</v>
      </c>
    </row>
    <row r="62" spans="1:4" x14ac:dyDescent="0.2">
      <c r="A62" t="s">
        <v>104</v>
      </c>
      <c r="B62">
        <v>0.16</v>
      </c>
    </row>
    <row r="63" spans="1:4" x14ac:dyDescent="0.2">
      <c r="A63" t="s">
        <v>103</v>
      </c>
      <c r="B63">
        <v>2.3699999999999999E-2</v>
      </c>
    </row>
    <row r="64" spans="1:4" x14ac:dyDescent="0.2">
      <c r="A64" t="s">
        <v>151</v>
      </c>
      <c r="C64">
        <f>C60*0.5</f>
        <v>0.90500000000000003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zoomScale="161" zoomScaleNormal="161" workbookViewId="0">
      <selection activeCell="C1" sqref="C1:M1048576"/>
    </sheetView>
  </sheetViews>
  <sheetFormatPr baseColWidth="10" defaultColWidth="8.83203125" defaultRowHeight="15" x14ac:dyDescent="0.2"/>
  <sheetData>
    <row r="1" spans="1:16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75</v>
      </c>
      <c r="F1" s="3" t="s">
        <v>92</v>
      </c>
      <c r="G1" s="15" t="s">
        <v>81</v>
      </c>
      <c r="H1" s="3" t="s">
        <v>20</v>
      </c>
      <c r="I1" s="3" t="s">
        <v>21</v>
      </c>
      <c r="J1" s="3" t="s">
        <v>74</v>
      </c>
      <c r="K1" s="3" t="s">
        <v>72</v>
      </c>
      <c r="L1" s="3" t="s">
        <v>93</v>
      </c>
      <c r="M1" s="3" t="s">
        <v>73</v>
      </c>
      <c r="N1" s="3" t="s">
        <v>12</v>
      </c>
      <c r="O1" s="3" t="s">
        <v>29</v>
      </c>
      <c r="P1" t="s">
        <v>106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135</v>
      </c>
      <c r="C3" s="4" t="s">
        <v>135</v>
      </c>
      <c r="D3" s="4" t="s">
        <v>135</v>
      </c>
      <c r="E3" s="4" t="s">
        <v>135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zoomScale="162" zoomScaleNormal="162" workbookViewId="0">
      <selection activeCell="H12" sqref="H12"/>
    </sheetView>
  </sheetViews>
  <sheetFormatPr baseColWidth="10" defaultColWidth="8.83203125" defaultRowHeight="15" x14ac:dyDescent="0.2"/>
  <cols>
    <col min="1" max="1" width="16.33203125" bestFit="1" customWidth="1"/>
  </cols>
  <sheetData>
    <row r="1" spans="1:5" ht="48" x14ac:dyDescent="0.2">
      <c r="A1" s="1" t="s">
        <v>11</v>
      </c>
      <c r="B1" s="1" t="s">
        <v>16</v>
      </c>
      <c r="C1" s="3" t="s">
        <v>12</v>
      </c>
      <c r="D1" s="3" t="s">
        <v>29</v>
      </c>
      <c r="E1" t="s">
        <v>106</v>
      </c>
    </row>
    <row r="2" spans="1:5" ht="16" x14ac:dyDescent="0.2">
      <c r="A2" s="2" t="s">
        <v>0</v>
      </c>
      <c r="B2" s="13"/>
      <c r="C2" s="4"/>
    </row>
    <row r="3" spans="1:5" ht="16" x14ac:dyDescent="0.2">
      <c r="A3" s="2" t="s">
        <v>1</v>
      </c>
      <c r="B3" s="4" t="s">
        <v>13</v>
      </c>
      <c r="C3" s="4"/>
    </row>
    <row r="4" spans="1:5" x14ac:dyDescent="0.2">
      <c r="A4" s="19" t="s">
        <v>139</v>
      </c>
      <c r="B4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up-emissions</vt:lpstr>
      <vt:lpstr>up-removals</vt:lpstr>
      <vt:lpstr>down-emissions</vt:lpstr>
      <vt:lpstr>down-removals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2020-04-17T13:57:46Z</dcterms:modified>
</cp:coreProperties>
</file>