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firstSheet="1" activeTab="7"/>
  </bookViews>
  <sheets>
    <sheet name="Coke" sheetId="1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4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B18" i="1"/>
  <c r="B24" i="1"/>
  <c r="B23" i="4"/>
  <c r="G24" i="15"/>
  <c r="D13" i="16"/>
  <c r="D14" i="16"/>
  <c r="D22" i="6"/>
  <c r="D10" i="6"/>
  <c r="J20" i="6"/>
  <c r="B20" i="6"/>
  <c r="B20" i="1"/>
  <c r="G22" i="15"/>
  <c r="K23" i="15"/>
  <c r="G23" i="15"/>
  <c r="K10" i="15"/>
  <c r="G10" i="15"/>
  <c r="B19" i="1"/>
  <c r="D22" i="1"/>
  <c r="B22" i="1"/>
  <c r="B23" i="1"/>
  <c r="D20" i="1"/>
  <c r="D21" i="1"/>
  <c r="B21" i="1"/>
  <c r="B7" i="3"/>
  <c r="F20" i="3"/>
  <c r="B20" i="3"/>
  <c r="F7" i="3"/>
  <c r="B22" i="4"/>
  <c r="B10" i="3"/>
  <c r="G10" i="4"/>
  <c r="B10" i="4"/>
  <c r="B11" i="4"/>
  <c r="B21" i="4"/>
  <c r="G18" i="4"/>
  <c r="F18" i="4"/>
  <c r="B18" i="4"/>
  <c r="B20" i="4"/>
  <c r="B19" i="4"/>
  <c r="G19" i="4" l="1"/>
  <c r="F20" i="4"/>
  <c r="F19" i="4" l="1"/>
  <c r="C15" i="13" l="1"/>
  <c r="B15" i="13"/>
  <c r="B11" i="9"/>
  <c r="C16" i="8"/>
  <c r="B16" i="8"/>
  <c r="D17" i="1"/>
  <c r="B17" i="2"/>
  <c r="F17" i="9" l="1"/>
  <c r="E17" i="9"/>
  <c r="C17" i="9"/>
  <c r="B17" i="9"/>
  <c r="C15" i="14"/>
  <c r="B15" i="14"/>
  <c r="C15" i="8"/>
  <c r="B15" i="8"/>
  <c r="J16" i="6"/>
  <c r="I16" i="6"/>
  <c r="H16" i="6" l="1"/>
  <c r="C16" i="6"/>
  <c r="D17" i="15"/>
  <c r="B16" i="2"/>
  <c r="C16" i="1"/>
  <c r="B16" i="1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2" i="15" s="1"/>
  <c r="D7" i="15"/>
  <c r="D4" i="15" s="1"/>
  <c r="D8" i="15"/>
  <c r="B9" i="15"/>
  <c r="C9" i="15"/>
  <c r="D9" i="15"/>
  <c r="C10" i="15"/>
  <c r="D10" i="15"/>
  <c r="B12" i="15"/>
  <c r="G12" i="15"/>
  <c r="I12" i="15"/>
  <c r="K12" i="15"/>
  <c r="M12" i="15"/>
  <c r="B13" i="15"/>
  <c r="C13" i="15"/>
  <c r="G13" i="15"/>
  <c r="H13" i="15"/>
  <c r="K13" i="15"/>
  <c r="L13" i="15"/>
  <c r="E13" i="15"/>
  <c r="B14" i="15"/>
  <c r="C14" i="15"/>
  <c r="D14" i="15"/>
  <c r="G14" i="15"/>
  <c r="H14" i="15"/>
  <c r="K14" i="15"/>
  <c r="L14" i="15"/>
  <c r="E14" i="15"/>
  <c r="B15" i="15"/>
  <c r="C15" i="15"/>
  <c r="D15" i="15"/>
  <c r="G15" i="15"/>
  <c r="H15" i="15"/>
  <c r="K15" i="15"/>
  <c r="L15" i="15"/>
  <c r="E15" i="15"/>
  <c r="B16" i="15"/>
  <c r="C16" i="15"/>
  <c r="D16" i="15"/>
  <c r="G16" i="15"/>
  <c r="H16" i="15"/>
  <c r="K16" i="15"/>
  <c r="L16" i="15"/>
  <c r="E16" i="15"/>
  <c r="C12" i="15" l="1"/>
  <c r="D13" i="15"/>
  <c r="D12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5" i="1"/>
  <c r="D14" i="1"/>
  <c r="D13" i="1"/>
  <c r="D12" i="1"/>
  <c r="C15" i="1"/>
  <c r="C14" i="1"/>
  <c r="C13" i="1"/>
  <c r="C12" i="1"/>
  <c r="D12" i="4"/>
  <c r="F11" i="3"/>
  <c r="D11" i="3"/>
  <c r="B11" i="3"/>
  <c r="F6" i="4"/>
  <c r="F8" i="4"/>
  <c r="F12" i="4" s="1"/>
  <c r="F10" i="4"/>
  <c r="F11" i="4"/>
  <c r="H7" i="6"/>
  <c r="H13" i="6" s="1"/>
  <c r="F12" i="9"/>
  <c r="F11" i="9"/>
  <c r="F10" i="9"/>
  <c r="F9" i="9"/>
  <c r="F8" i="9"/>
  <c r="F7" i="9"/>
  <c r="F16" i="9" s="1"/>
  <c r="F6" i="9"/>
  <c r="H14" i="6" l="1"/>
  <c r="F13" i="9"/>
  <c r="H15" i="6"/>
  <c r="F14" i="9"/>
  <c r="H12" i="6"/>
  <c r="F15" i="9"/>
  <c r="B11" i="2"/>
  <c r="C4" i="1"/>
  <c r="E4" i="12" l="1"/>
  <c r="D4" i="12"/>
  <c r="C4" i="12"/>
  <c r="C10" i="6" l="1"/>
  <c r="C9" i="8" l="1"/>
  <c r="B21" i="7" l="1"/>
  <c r="B20" i="7" l="1"/>
  <c r="B10" i="9"/>
  <c r="B10" i="6"/>
  <c r="B10" i="1"/>
  <c r="B8" i="1"/>
  <c r="C8" i="8"/>
  <c r="B8" i="8"/>
  <c r="B9" i="8" s="1"/>
  <c r="B10" i="8" s="1"/>
  <c r="B12" i="4" l="1"/>
  <c r="C11" i="1"/>
  <c r="H6" i="6"/>
  <c r="C6" i="8"/>
  <c r="B6" i="8"/>
  <c r="B5" i="8" s="1"/>
  <c r="B5" i="6" l="1"/>
  <c r="B7" i="6"/>
  <c r="B6" i="6"/>
  <c r="B15" i="6" l="1"/>
  <c r="B14" i="6"/>
  <c r="B13" i="6"/>
  <c r="B12" i="6"/>
  <c r="C7" i="6"/>
  <c r="B7" i="1"/>
  <c r="B12" i="1" l="1"/>
  <c r="B15" i="1"/>
  <c r="B14" i="1"/>
  <c r="B13" i="1"/>
  <c r="B4" i="1"/>
  <c r="B11" i="1"/>
  <c r="C14" i="6"/>
  <c r="C13" i="6"/>
  <c r="C12" i="6"/>
  <c r="C15" i="6"/>
  <c r="G6" i="4"/>
  <c r="B19" i="7"/>
  <c r="C7" i="7" s="1"/>
  <c r="B18" i="7"/>
  <c r="B10" i="7"/>
  <c r="I6" i="6" l="1"/>
  <c r="C9" i="2"/>
  <c r="C11" i="2" s="1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<sst xmlns="http://schemas.openxmlformats.org/spreadsheetml/2006/main" count="658" uniqueCount="175">
  <si>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</si>
  <si>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</si>
  <si>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</si>
  <si>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</si>
  <si>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</si>
  <si>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</si>
  <si>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</si>
  <si>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</si>
  <si>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</si>
  <si>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</si>
  <si>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</si>
  <si>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</si>
  <si>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</si>
  <si>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</si>
  <si>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</si>
  <si>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</si>
  <si>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</si>
  <si>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</si>
  <si>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</si>
  <si>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</si>
  <si>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</si>
  <si>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</si>
  <si>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</si>
  <si>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</si>
  <si>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</si>
  <si>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</si>
  <si>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</si>
  <si>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</si>
  <si>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</si>
  <si>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</si>
  <si>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</si>
  <si>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</si>
  <si>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</si>
  <si>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</si>
  <si>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</si>
  <si>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</si>
  <si>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</si>
  <si>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</si>
  <si>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</si>
  <si>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</si>
  <si>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</si>
  <si>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</si>
  <si>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</si>
  <si>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</si>
  <si>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</si>
  <si>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</si>
  <si>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</si>
  <si>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</si>
  <si>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</si>
  <si>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</si>
  <si>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</si>
  <si>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</si>
  <si>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</si>
  <si>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</si>
  <si>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</si>
  <si>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</si>
  <si>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</si>
  <si>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</si>
  <si>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</si>
  <si>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</si>
  <si>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</si>
  <si>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</si>
  <si>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</si>
  <si>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</si>
  <si>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</si>
  <si>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</si>
  <si>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</si>
  <si>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</si>
  <si>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</si>
  <si>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</si>
  <si>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</si>
  <si>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</si>
  <si>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</si>
  <si>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</si>
  <si>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</si>
  <si>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</si>
  <si>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</si>
  <si>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</si>
  <si>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</si>
  <si>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</si>
  <si>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</si>
  <si>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</si>
  <si>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</si>
  <si>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</si>
  <si>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</si>
  <si>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</si>
  <si>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</si>
  <si>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</si>
  <si>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</si>
  <si>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</si>
  <si>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</si>
  <si>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</si>
  <si>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</si>
  <si>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</si>
  <si>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</si>
  <si>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</si>
  <si>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</si>
  <si>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</si>
  <si>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</si>
  <si>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</si>
  <si>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</si>
  <si>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</si>
  <si>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</si>
  <si>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</si>
  <si>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</si>
  <si>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</si>
  <si>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</si>
  <si>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</si>
  <si>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</si>
  <si>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</si>
  <si>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</si>
  <si>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</si>
  <si>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</si>
  <si>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</si>
  <si>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</si>
  <si>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</si>
  <si>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</si>
  <si>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</si>
  <si>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</si>
  <si>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</si>
  <si>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</si>
  <si>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</si>
  <si>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</si>
  <si>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</si>
  <si>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</si>
  <si>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</si>
  <si>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</si>
  <si>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</si>
  <si>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</si>
  <si>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</si>
  <si>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</si>
  <si>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</si>
  <si>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</si>
  <si>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</si>
  <si>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</si>
  <si>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</si>
  <si>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</si>
  <si>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</si>
  <si>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</si>
  <si>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</si>
  <si>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</si>
  <si>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</si>
  <si>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</si>
  <si>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</si>
  <si>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</si>
  <si>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</si>
  <si>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</si>
  <si>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</si>
  <si>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</si>
  <si>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</si>
  <si>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</si>
  <si>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</si>
  <si>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</si>
  <si>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</si>
  <si>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</si>
  <si>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</si>
  <si>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</si>
  <si>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electricity use from bandwidth study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</si>
  <si>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</si>
  <si>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</si>
  <si>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</si>
  <si>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</si>
  <si>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</si>
  <si>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</si>
  <si>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</si>
  <si>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</si>
  <si>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</si>
  <si>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</si>
  <si>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</si>
  <si>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</si>
  <si>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 xml:space="preserve">  </t>
  </si>
  <si>
    <t>EU-EAF-base-2050</t>
  </si>
  <si>
    <t>EU-EAF-base-2030</t>
  </si>
  <si>
    <t>PROXY fuel mix (1:1 energy:mass unit)- Eurofer Electricity 2030</t>
  </si>
  <si>
    <t>PROXY fuel mix (1:1 energy:mass unit)- Eurofer Electricity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</si>
</sst>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topLeftCell="A4" workbookViewId="0">
      <selection activeCell="D23" sqref="D23"/>
    </sheetView>
  </sheetViews>
  <sheetFormatPr defaultColWidth="8.85546875" defaultRowHeight="15" x14ac:dyDescent="0.25"/>
  <cols>
    <col min="1" max="1" width="14.42578125" bestFit="1" customWidth="1"/>
    <col min="2" max="2" width="18" bestFit="1" customWidth="1"/>
    <col min="3" max="3" width="17.85546875" bestFit="1" customWidth="1"/>
    <col min="4" max="4" width="18.85546875" bestFit="1" customWidth="1"/>
    <col min="5" max="5" width="17.2851562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7" s="2" customFormat="1" x14ac:dyDescent="0.25">
      <c r="A2" s="2" t="s">
        <v>1</v>
      </c>
      <c r="B2" s="2" t="s">
        <v>6</v>
      </c>
      <c r="C2" s="2" t="s">
        <v>64</v>
      </c>
    </row>
    <row r="3" spans="1:7" s="2" customFormat="1" x14ac:dyDescent="0.25">
      <c r="A3" s="2" t="s">
        <v>2</v>
      </c>
      <c r="B3" s="2" t="s">
        <v>63</v>
      </c>
    </row>
    <row r="4" spans="1:7" x14ac:dyDescent="0.25">
      <c r="A4" t="s">
        <v>3</v>
      </c>
      <c r="B4" s="21">
        <f>B7</f>
        <v>0.77808901338313108</v>
      </c>
      <c r="C4" s="21">
        <f>C7</f>
        <v>0.126</v>
      </c>
      <c r="E4">
        <v>0</v>
      </c>
      <c r="F4" t="s">
        <v>23</v>
      </c>
    </row>
    <row r="5" spans="1:7" x14ac:dyDescent="0.25">
      <c r="A5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x14ac:dyDescent="0.25">
      <c r="A6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x14ac:dyDescent="0.25">
      <c r="A7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x14ac:dyDescent="0.25">
      <c r="A8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x14ac:dyDescent="0.25">
      <c r="A9" t="s">
        <v>110</v>
      </c>
      <c r="B9" s="24">
        <v>0.7</v>
      </c>
      <c r="C9" s="23">
        <v>0.2</v>
      </c>
      <c r="D9" t="s">
        <v>122</v>
      </c>
      <c r="E9">
        <v>0</v>
      </c>
      <c r="F9" t="s">
        <v>23</v>
      </c>
    </row>
    <row r="10" spans="1:7" x14ac:dyDescent="0.25">
      <c r="A10" t="s">
        <v>111</v>
      </c>
      <c r="B10" s="46">
        <f>24.7/32</f>
        <v>0.77187499999999998</v>
      </c>
      <c r="C10" s="47">
        <v>0.12</v>
      </c>
      <c r="D10" s="47" t="s">
        <v>123</v>
      </c>
      <c r="E10">
        <v>0</v>
      </c>
      <c r="F10" t="s">
        <v>23</v>
      </c>
      <c r="G10" t="s">
        <v>157</v>
      </c>
    </row>
    <row r="11" spans="1:7" x14ac:dyDescent="0.25">
      <c r="A11" t="s">
        <v>126</v>
      </c>
      <c r="B11" s="48">
        <f>AVERAGE(B6:B10)</f>
        <v>0.74065294253676606</v>
      </c>
      <c r="C11">
        <f>AVERAGE(C6:C10)</f>
        <v>0.12720000000000001</v>
      </c>
      <c r="D11" t="s">
        <v>115</v>
      </c>
      <c r="E11">
        <v>0</v>
      </c>
      <c r="F11" t="s">
        <v>23</v>
      </c>
    </row>
    <row r="12" spans="1:7" x14ac:dyDescent="0.25">
      <c r="A12" t="s">
        <v>131</v>
      </c>
      <c r="B12" s="21">
        <f>B$7</f>
        <v>0.77808901338313108</v>
      </c>
      <c r="C12" s="21">
        <f t="shared" ref="C12:D22" si="0">C$7</f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x14ac:dyDescent="0.25">
      <c r="A13" t="s">
        <v>132</v>
      </c>
      <c r="B13" s="21">
        <f t="shared" ref="B13:B15" si="1">B$7</f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x14ac:dyDescent="0.25">
      <c r="A14" t="s">
        <v>133</v>
      </c>
      <c r="B14" s="21">
        <f t="shared" si="1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x14ac:dyDescent="0.25">
      <c r="A15" t="s">
        <v>134</v>
      </c>
      <c r="B15" s="21">
        <f t="shared" si="1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x14ac:dyDescent="0.25">
      <c r="A16" t="s">
        <v>136</v>
      </c>
      <c r="B16" s="49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6" x14ac:dyDescent="0.25">
      <c r="A17" t="s">
        <v>127</v>
      </c>
      <c r="B17">
        <v>0.7</v>
      </c>
      <c r="C17" s="23">
        <v>0.2</v>
      </c>
      <c r="D17" s="21" t="str">
        <f t="shared" si="0"/>
        <v>coal coking - IPCC</v>
      </c>
      <c r="E17">
        <v>0</v>
      </c>
      <c r="F17" t="s">
        <v>23</v>
      </c>
    </row>
    <row r="18" spans="1:6" x14ac:dyDescent="0.25">
      <c r="A18" t="s">
        <v>159</v>
      </c>
      <c r="B18" s="54">
        <f>0.83</f>
        <v>0.83</v>
      </c>
      <c r="C18">
        <v>0.02</v>
      </c>
      <c r="D18" s="21" t="str">
        <f t="shared" si="0"/>
        <v>coal coking - IPCC</v>
      </c>
      <c r="E18">
        <v>0</v>
      </c>
      <c r="F18" t="s">
        <v>23</v>
      </c>
    </row>
    <row r="19" spans="1:6" x14ac:dyDescent="0.25">
      <c r="A19" t="s">
        <v>159</v>
      </c>
      <c r="B19" s="48">
        <f>1/1.22</f>
        <v>0.81967213114754101</v>
      </c>
      <c r="C19">
        <v>0.02</v>
      </c>
      <c r="D19" s="21" t="str">
        <f t="shared" si="0"/>
        <v>coal coking - IPCC</v>
      </c>
      <c r="E19">
        <v>0</v>
      </c>
      <c r="F19" t="s">
        <v>23</v>
      </c>
    </row>
    <row r="20" spans="1:6" x14ac:dyDescent="0.25">
      <c r="A20" t="s">
        <v>152</v>
      </c>
      <c r="B20" s="21">
        <f>1/1.3</f>
        <v>0.76923076923076916</v>
      </c>
      <c r="C20">
        <v>0.1</v>
      </c>
      <c r="D20" s="21" t="str">
        <f t="shared" si="0"/>
        <v>coal coking - IPCC</v>
      </c>
      <c r="E20">
        <v>0</v>
      </c>
      <c r="F20" t="s">
        <v>23</v>
      </c>
    </row>
    <row r="21" spans="1:6" x14ac:dyDescent="0.25">
      <c r="A21" t="s">
        <v>143</v>
      </c>
      <c r="B21" s="48">
        <f>1/1.22</f>
        <v>0.81967213114754101</v>
      </c>
      <c r="C21">
        <v>0.02</v>
      </c>
      <c r="D21" s="21" t="str">
        <f t="shared" ref="D21:E21" si="2">D$7</f>
        <v>coal coking - IPCC</v>
      </c>
      <c r="E21">
        <v>0</v>
      </c>
      <c r="F21" t="s">
        <v>23</v>
      </c>
    </row>
    <row r="22" spans="1:6" x14ac:dyDescent="0.25">
      <c r="A22" t="s">
        <v>153</v>
      </c>
      <c r="B22" s="52">
        <f>30.23/(30.23+2)</f>
        <v>0.93794601303133718</v>
      </c>
      <c r="D22" s="21" t="str">
        <f t="shared" si="0"/>
        <v>coal coking - IPCC</v>
      </c>
      <c r="E22">
        <v>0</v>
      </c>
      <c r="F22" t="s">
        <v>23</v>
      </c>
    </row>
    <row r="23" spans="1:6" x14ac:dyDescent="0.25">
      <c r="A23" t="s">
        <v>156</v>
      </c>
      <c r="B23" s="52">
        <f>(B10-3.16/3.24*B10)+B10</f>
        <v>0.79093364197530858</v>
      </c>
      <c r="C23">
        <v>0.1</v>
      </c>
      <c r="D23" s="47" t="s">
        <v>123</v>
      </c>
      <c r="E23">
        <v>0</v>
      </c>
      <c r="F23" t="s">
        <v>23</v>
      </c>
    </row>
    <row r="24" spans="1:6" x14ac:dyDescent="0.25">
      <c r="A24" t="s">
        <v>169</v>
      </c>
      <c r="B24" s="52">
        <f>30.23/(30.23+2.23)</f>
        <v>0.93130006161429446</v>
      </c>
    </row>
    <row r="25" spans="1:6" x14ac:dyDescent="0.25">
      <c r="B25" s="52"/>
    </row>
    <row r="34" spans="5:5" x14ac:dyDescent="0.25">
      <c r="E34" t="s">
        <v>170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A15" sqref="A15"/>
    </sheetView>
  </sheetViews>
  <sheetFormatPr defaultColWidth="8.85546875" defaultRowHeight="15" x14ac:dyDescent="0.25"/>
  <cols>
    <col min="1" max="1" width="23" bestFit="1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x14ac:dyDescent="0.25">
      <c r="A19" t="s">
        <v>151</v>
      </c>
    </row>
    <row r="20" spans="1:6" x14ac:dyDescent="0.25">
      <c r="A20" t="s">
        <v>159</v>
      </c>
    </row>
    <row r="21" spans="1:6" x14ac:dyDescent="0.25">
      <c r="A21" t="s">
        <v>152</v>
      </c>
    </row>
    <row r="22" spans="1:6" x14ac:dyDescent="0.25">
      <c r="A22" t="s">
        <v>143</v>
      </c>
    </row>
    <row r="23" spans="1:6" x14ac:dyDescent="0.25">
      <c r="A23" t="s">
        <v>153</v>
      </c>
    </row>
    <row r="24" spans="1:6" x14ac:dyDescent="0.25">
      <c r="A24" t="s">
        <v>156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9" sqref="A9"/>
    </sheetView>
  </sheetViews>
  <sheetFormatPr defaultColWidth="8.85546875" defaultRowHeight="15" x14ac:dyDescent="0.25"/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</v>
      </c>
      <c r="C4">
        <v>0</v>
      </c>
    </row>
    <row r="5" spans="1:3" x14ac:dyDescent="0.25">
      <c r="A5" t="s">
        <v>107</v>
      </c>
      <c r="B5">
        <v>0.01</v>
      </c>
      <c r="C5">
        <v>0</v>
      </c>
    </row>
    <row r="6" spans="1:3" x14ac:dyDescent="0.25">
      <c r="A6" t="s">
        <v>108</v>
      </c>
      <c r="B6">
        <v>0.01</v>
      </c>
      <c r="C6">
        <v>0</v>
      </c>
    </row>
    <row r="7" spans="1:3" x14ac:dyDescent="0.25">
      <c r="A7" t="s">
        <v>109</v>
      </c>
      <c r="B7">
        <v>0.01</v>
      </c>
      <c r="C7">
        <v>0</v>
      </c>
    </row>
    <row r="8" spans="1:3" x14ac:dyDescent="0.25">
      <c r="A8" t="s">
        <v>110</v>
      </c>
      <c r="B8">
        <v>0.01</v>
      </c>
      <c r="C8">
        <v>0</v>
      </c>
    </row>
    <row r="9" spans="1:3" x14ac:dyDescent="0.25">
      <c r="A9" t="s">
        <v>111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  <row r="11" spans="1:3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x14ac:dyDescent="0.25">
      <c r="A13" t="s">
        <v>133</v>
      </c>
      <c r="B13">
        <f t="shared" si="1"/>
        <v>0.01</v>
      </c>
      <c r="C13">
        <f t="shared" si="0"/>
        <v>0</v>
      </c>
    </row>
    <row r="14" spans="1:3" x14ac:dyDescent="0.25">
      <c r="A14" t="s">
        <v>134</v>
      </c>
      <c r="B14">
        <f t="shared" si="1"/>
        <v>0.01</v>
      </c>
      <c r="C14">
        <f t="shared" si="0"/>
        <v>0</v>
      </c>
    </row>
    <row r="15" spans="1:3" x14ac:dyDescent="0.25">
      <c r="A15" t="s">
        <v>127</v>
      </c>
      <c r="B15">
        <f t="shared" si="1"/>
        <v>0.01</v>
      </c>
      <c r="C15">
        <f t="shared" si="0"/>
        <v>0</v>
      </c>
    </row>
    <row r="16" spans="1:3" x14ac:dyDescent="0.25">
      <c r="A16" t="s">
        <v>151</v>
      </c>
    </row>
    <row r="17" spans="1:1" x14ac:dyDescent="0.25">
      <c r="A17" t="s">
        <v>159</v>
      </c>
    </row>
    <row r="18" spans="1:1" x14ac:dyDescent="0.25">
      <c r="A18" t="s">
        <v>152</v>
      </c>
    </row>
    <row r="19" spans="1:1" x14ac:dyDescent="0.25">
      <c r="A19" t="s">
        <v>143</v>
      </c>
    </row>
    <row r="20" spans="1:1" x14ac:dyDescent="0.25">
      <c r="A20" t="s">
        <v>153</v>
      </c>
    </row>
    <row r="21" spans="1:1" x14ac:dyDescent="0.25">
      <c r="A21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5" sqref="A15:A20"/>
    </sheetView>
  </sheetViews>
  <sheetFormatPr defaultColWidth="8.85546875" defaultRowHeight="15" x14ac:dyDescent="0.25"/>
  <cols>
    <col min="1" max="1" width="14.85546875" bestFit="1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x14ac:dyDescent="0.25">
      <c r="A15" t="s">
        <v>151</v>
      </c>
    </row>
    <row r="16" spans="1:4" x14ac:dyDescent="0.25">
      <c r="A16" t="s">
        <v>159</v>
      </c>
    </row>
    <row r="17" spans="1:1" x14ac:dyDescent="0.25">
      <c r="A17" t="s">
        <v>152</v>
      </c>
    </row>
    <row r="18" spans="1:1" x14ac:dyDescent="0.25">
      <c r="A18" t="s">
        <v>143</v>
      </c>
    </row>
    <row r="19" spans="1:1" x14ac:dyDescent="0.25">
      <c r="A19" t="s">
        <v>153</v>
      </c>
    </row>
    <row r="20" spans="1:1" x14ac:dyDescent="0.25">
      <c r="A20" t="s">
        <v>156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0" sqref="C2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163</v>
      </c>
      <c r="J1" t="s">
        <v>164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165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x14ac:dyDescent="0.25">
      <c r="A8" t="s">
        <v>171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x14ac:dyDescent="0.25">
      <c r="A9" t="s">
        <v>172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x14ac:dyDescent="0.25">
      <c r="A10" t="s">
        <v>167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x14ac:dyDescent="0.25">
      <c r="A11" t="s">
        <v>143</v>
      </c>
      <c r="C11">
        <v>1.454</v>
      </c>
      <c r="D11">
        <v>3.0000000000000001E-3</v>
      </c>
      <c r="E11" t="s">
        <v>137</v>
      </c>
      <c r="F11">
        <v>0</v>
      </c>
      <c r="G11" t="s">
        <v>23</v>
      </c>
      <c r="I11">
        <v>2.5000000000000001E-2</v>
      </c>
    </row>
    <row r="12" spans="1:10" x14ac:dyDescent="0.25">
      <c r="A12" t="s">
        <v>153</v>
      </c>
      <c r="C12">
        <v>1.33</v>
      </c>
      <c r="D12">
        <v>0</v>
      </c>
      <c r="E12" t="s">
        <v>120</v>
      </c>
      <c r="F12">
        <v>0</v>
      </c>
      <c r="G12" t="s">
        <v>23</v>
      </c>
    </row>
    <row r="13" spans="1:10" x14ac:dyDescent="0.25">
      <c r="A13" t="s">
        <v>156</v>
      </c>
      <c r="C13">
        <v>1.71</v>
      </c>
      <c r="D13">
        <f>0.18/47.1</f>
        <v>3.8216560509554136E-3</v>
      </c>
      <c r="E13" t="s">
        <v>120</v>
      </c>
      <c r="F13">
        <v>0</v>
      </c>
      <c r="G13" t="s">
        <v>23</v>
      </c>
    </row>
    <row r="14" spans="1:10" x14ac:dyDescent="0.25">
      <c r="A14" t="s">
        <v>166</v>
      </c>
      <c r="C14">
        <v>1.65</v>
      </c>
      <c r="D14">
        <f>0.51/47.1</f>
        <v>1.0828025477707006E-2</v>
      </c>
      <c r="E14" t="s">
        <v>120</v>
      </c>
      <c r="F14">
        <v>0</v>
      </c>
      <c r="G14" t="s">
        <v>23</v>
      </c>
    </row>
    <row r="15" spans="1:10" x14ac:dyDescent="0.25">
      <c r="A15" t="s">
        <v>168</v>
      </c>
      <c r="C15">
        <v>1.44</v>
      </c>
      <c r="D15">
        <v>0</v>
      </c>
      <c r="E15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81</v>
      </c>
    </row>
    <row r="2" spans="1:4" x14ac:dyDescent="0.25">
      <c r="A2" s="2" t="s">
        <v>1</v>
      </c>
      <c r="B2" t="s">
        <v>65</v>
      </c>
      <c r="C2" t="s">
        <v>66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>
        <v>0.1</v>
      </c>
      <c r="C5">
        <v>0.1</v>
      </c>
    </row>
    <row r="6" spans="1:4" x14ac:dyDescent="0.25">
      <c r="A6" t="s">
        <v>107</v>
      </c>
      <c r="B6" s="23">
        <v>7.0000000000000007E-2</v>
      </c>
      <c r="C6" s="23">
        <v>0.108</v>
      </c>
    </row>
    <row r="7" spans="1:4" x14ac:dyDescent="0.25">
      <c r="A7" t="s">
        <v>108</v>
      </c>
      <c r="B7">
        <v>7.0000000000000007E-2</v>
      </c>
      <c r="C7">
        <v>0.108</v>
      </c>
    </row>
    <row r="8" spans="1:4" x14ac:dyDescent="0.25">
      <c r="A8" t="s">
        <v>109</v>
      </c>
      <c r="B8" s="23">
        <v>7.0000000000000007E-2</v>
      </c>
      <c r="C8" s="23">
        <v>0.108</v>
      </c>
    </row>
    <row r="9" spans="1:4" x14ac:dyDescent="0.25">
      <c r="A9" t="s">
        <v>110</v>
      </c>
      <c r="B9" s="23">
        <v>7.0000000000000007E-2</v>
      </c>
      <c r="C9">
        <f>17*Ref!B18</f>
        <v>6.1199999999999997E-2</v>
      </c>
      <c r="D9" s="35" t="s">
        <v>82</v>
      </c>
    </row>
    <row r="10" spans="1:4" x14ac:dyDescent="0.25">
      <c r="A10" t="s">
        <v>111</v>
      </c>
      <c r="B10" s="23">
        <v>7.0000000000000007E-2</v>
      </c>
      <c r="C10" s="23">
        <v>0.108</v>
      </c>
    </row>
    <row r="11" spans="1:4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4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4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4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4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4" x14ac:dyDescent="0.25">
      <c r="A16" t="s">
        <v>136</v>
      </c>
      <c r="B16">
        <f>0.07</f>
        <v>7.0000000000000007E-2</v>
      </c>
      <c r="C16">
        <v>0.108</v>
      </c>
    </row>
    <row r="17" spans="1:3" x14ac:dyDescent="0.25">
      <c r="A17" t="s">
        <v>127</v>
      </c>
      <c r="B17">
        <f>0.07</f>
        <v>7.0000000000000007E-2</v>
      </c>
      <c r="C17">
        <v>0.108</v>
      </c>
    </row>
    <row r="18" spans="1:3" x14ac:dyDescent="0.25">
      <c r="A18" t="s">
        <v>151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5" sqref="D25"/>
    </sheetView>
  </sheetViews>
  <sheetFormatPr defaultColWidth="8.85546875" defaultRowHeight="15" x14ac:dyDescent="0.25"/>
  <cols>
    <col min="1" max="1" width="20.425781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8" x14ac:dyDescent="0.25">
      <c r="A2" s="2" t="s">
        <v>1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75</v>
      </c>
    </row>
    <row r="8" spans="1:8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>
        <v>0.3</v>
      </c>
      <c r="G8">
        <v>0.14000000000000001</v>
      </c>
    </row>
    <row r="9" spans="1:8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15.047999999999998</v>
      </c>
    </row>
    <row r="12" spans="1:8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75</v>
      </c>
    </row>
    <row r="13" spans="1:8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75</v>
      </c>
    </row>
    <row r="14" spans="1:8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75</v>
      </c>
    </row>
    <row r="15" spans="1:8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75</v>
      </c>
    </row>
    <row r="16" spans="1:8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x14ac:dyDescent="0.25">
      <c r="A18" t="s">
        <v>159</v>
      </c>
    </row>
    <row r="19" spans="1:7" x14ac:dyDescent="0.25">
      <c r="A19" t="s">
        <v>151</v>
      </c>
    </row>
    <row r="20" spans="1:7" x14ac:dyDescent="0.25">
      <c r="A20" t="s">
        <v>152</v>
      </c>
      <c r="B20">
        <f>0.5/28.2</f>
        <v>1.7730496453900711E-2</v>
      </c>
      <c r="C20" t="s">
        <v>112</v>
      </c>
      <c r="D20">
        <v>0</v>
      </c>
      <c r="E20" t="s">
        <v>23</v>
      </c>
      <c r="F20">
        <f>0.018*0.56</f>
        <v>1.008E-2</v>
      </c>
      <c r="G20">
        <v>75</v>
      </c>
    </row>
    <row r="21" spans="1:7" x14ac:dyDescent="0.25">
      <c r="A21" t="s">
        <v>143</v>
      </c>
    </row>
    <row r="22" spans="1:7" x14ac:dyDescent="0.25">
      <c r="A22" t="s">
        <v>153</v>
      </c>
    </row>
    <row r="23" spans="1:7" x14ac:dyDescent="0.25">
      <c r="A23" t="s">
        <v>156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7" sqref="D27"/>
    </sheetView>
  </sheetViews>
  <sheetFormatPr defaultColWidth="8.85546875" defaultRowHeight="15" x14ac:dyDescent="0.25"/>
  <cols>
    <col min="1" max="1" width="16.42578125" bestFit="1" customWidth="1"/>
    <col min="2" max="2" width="21.4257812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x14ac:dyDescent="0.25">
      <c r="A10" t="s">
        <v>111</v>
      </c>
      <c r="B10" s="52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x14ac:dyDescent="0.25">
      <c r="A12" t="s">
        <v>126</v>
      </c>
      <c r="B12" s="48">
        <f>AVERAGE(B6:B11)</f>
        <v>4.8112466644613515E-2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9.5491333333333331E-2</v>
      </c>
    </row>
    <row r="13" spans="1:8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x14ac:dyDescent="0.25">
      <c r="A17" s="51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x14ac:dyDescent="0.25">
      <c r="A18" t="s">
        <v>151</v>
      </c>
      <c r="B18" s="49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x14ac:dyDescent="0.25">
      <c r="A20" t="s">
        <v>143</v>
      </c>
      <c r="B20" s="53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x14ac:dyDescent="0.25">
      <c r="A21" t="s">
        <v>153</v>
      </c>
      <c r="B21" s="53">
        <f>1.2/28.2</f>
        <v>4.2553191489361701E-2</v>
      </c>
      <c r="C21" t="s">
        <v>112</v>
      </c>
      <c r="F21">
        <v>0</v>
      </c>
    </row>
    <row r="22" spans="1:8" x14ac:dyDescent="0.25">
      <c r="A22" t="s">
        <v>156</v>
      </c>
      <c r="B22" s="52">
        <f>1.37/30.23</f>
        <v>4.531921931855773E-2</v>
      </c>
      <c r="C22" t="s">
        <v>112</v>
      </c>
      <c r="G22">
        <v>0.1</v>
      </c>
    </row>
    <row r="23" spans="1:8" x14ac:dyDescent="0.25">
      <c r="A23" t="s">
        <v>168</v>
      </c>
      <c r="B23" s="53">
        <f>1.29/28.2</f>
        <v>4.5744680851063833E-2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workbookViewId="0">
      <selection activeCell="A14" sqref="A14"/>
    </sheetView>
  </sheetViews>
  <sheetFormatPr defaultColWidth="11.42578125" defaultRowHeight="15" x14ac:dyDescent="0.25"/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161</v>
      </c>
      <c r="P1" t="s">
        <v>162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t="s">
        <v>158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B7</f>
        <v>1.1000000000000001</v>
      </c>
      <c r="C4">
        <f t="shared" si="0"/>
        <v>0.35</v>
      </c>
      <c r="D4">
        <f t="shared" si="0"/>
        <v>7.28E-3</v>
      </c>
      <c r="E4">
        <f>E7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L11</f>
        <v>coal coking - IPCC</v>
      </c>
      <c r="M4">
        <f>M7</f>
        <v>0</v>
      </c>
      <c r="N4" t="str">
        <f>N7</f>
        <v>charcoal</v>
      </c>
    </row>
    <row r="5" spans="1:17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L8</f>
        <v>coal PCI - JP IPCC</v>
      </c>
      <c r="M5">
        <v>0.3</v>
      </c>
      <c r="N5" t="s">
        <v>23</v>
      </c>
    </row>
    <row r="6" spans="1:17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</row>
    <row r="7" spans="1:17" x14ac:dyDescent="0.25">
      <c r="A7" t="s">
        <v>108</v>
      </c>
      <c r="B7">
        <v>1.1000000000000001</v>
      </c>
      <c r="C7">
        <v>0.35</v>
      </c>
      <c r="D7" s="22">
        <f>0.013*(56/100)</f>
        <v>7.28E-3</v>
      </c>
      <c r="E7" s="21">
        <v>0.10444000000000001</v>
      </c>
      <c r="G7">
        <v>0.3548</v>
      </c>
      <c r="H7" t="s">
        <v>112</v>
      </c>
      <c r="I7">
        <v>0</v>
      </c>
      <c r="J7" t="s">
        <v>23</v>
      </c>
      <c r="K7">
        <v>0.152</v>
      </c>
      <c r="L7" t="s">
        <v>115</v>
      </c>
      <c r="M7">
        <v>0</v>
      </c>
      <c r="N7" t="s">
        <v>23</v>
      </c>
    </row>
    <row r="8" spans="1:17" x14ac:dyDescent="0.25">
      <c r="A8" t="s">
        <v>109</v>
      </c>
      <c r="B8">
        <v>1.17</v>
      </c>
      <c r="C8">
        <v>0.12</v>
      </c>
      <c r="D8" s="23">
        <f>0.04*(0.56)</f>
        <v>2.2400000000000003E-2</v>
      </c>
      <c r="E8">
        <v>0.24</v>
      </c>
      <c r="G8" s="3">
        <v>0.36499999999999999</v>
      </c>
      <c r="H8" t="s">
        <v>116</v>
      </c>
      <c r="I8">
        <v>0</v>
      </c>
      <c r="J8" t="s">
        <v>23</v>
      </c>
      <c r="K8">
        <v>0.14000000000000001</v>
      </c>
      <c r="L8" t="s">
        <v>117</v>
      </c>
      <c r="M8">
        <v>0</v>
      </c>
      <c r="N8" t="s">
        <v>23</v>
      </c>
    </row>
    <row r="9" spans="1:17" x14ac:dyDescent="0.25">
      <c r="A9" t="s">
        <v>110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23">
        <v>0.2</v>
      </c>
      <c r="G9" s="3">
        <v>0.45300000000000001</v>
      </c>
      <c r="H9" t="s">
        <v>112</v>
      </c>
      <c r="I9" s="3">
        <v>0</v>
      </c>
      <c r="J9" t="s">
        <v>23</v>
      </c>
      <c r="K9" s="3">
        <v>9.1600000000000001E-2</v>
      </c>
      <c r="L9" t="s">
        <v>118</v>
      </c>
      <c r="M9">
        <v>0</v>
      </c>
      <c r="N9" t="s">
        <v>23</v>
      </c>
    </row>
    <row r="10" spans="1:17" x14ac:dyDescent="0.25">
      <c r="A10" t="s">
        <v>111</v>
      </c>
      <c r="B10">
        <v>0</v>
      </c>
      <c r="C10" s="26">
        <f>70.2/54.4</f>
        <v>1.2904411764705883</v>
      </c>
      <c r="D10" s="33">
        <f>0.25*0.56</f>
        <v>0.14000000000000001</v>
      </c>
      <c r="E10">
        <v>0.27</v>
      </c>
      <c r="G10" s="33">
        <f>12.26/30.23</f>
        <v>0.40555739331789614</v>
      </c>
      <c r="H10" t="s">
        <v>119</v>
      </c>
      <c r="I10" s="3">
        <v>0</v>
      </c>
      <c r="J10" t="s">
        <v>23</v>
      </c>
      <c r="K10" s="33">
        <f>(1.88+2.13)/47</f>
        <v>8.5319148936170208E-2</v>
      </c>
      <c r="L10" t="s">
        <v>120</v>
      </c>
      <c r="M10">
        <v>0</v>
      </c>
      <c r="N10" t="s">
        <v>23</v>
      </c>
    </row>
    <row r="11" spans="1:17" x14ac:dyDescent="0.25">
      <c r="A11" t="s">
        <v>127</v>
      </c>
      <c r="B11" s="23">
        <v>1.3</v>
      </c>
      <c r="C11" s="23">
        <v>0</v>
      </c>
      <c r="D11" s="23">
        <v>0.01</v>
      </c>
      <c r="E11" s="23">
        <v>0.1</v>
      </c>
      <c r="G11" s="3">
        <v>0.59</v>
      </c>
      <c r="H11" t="s">
        <v>112</v>
      </c>
      <c r="I11" s="3">
        <v>0</v>
      </c>
      <c r="J11" t="s">
        <v>23</v>
      </c>
      <c r="K11" s="3">
        <v>0.11</v>
      </c>
      <c r="L11" t="s">
        <v>115</v>
      </c>
      <c r="M11">
        <v>0</v>
      </c>
      <c r="N11" t="s">
        <v>23</v>
      </c>
    </row>
    <row r="12" spans="1:17" x14ac:dyDescent="0.25">
      <c r="A12" t="s">
        <v>130</v>
      </c>
      <c r="B12" s="49">
        <f>AVERAGE(B6:B11)</f>
        <v>0.97694500000000006</v>
      </c>
      <c r="C12" s="49">
        <f>AVERAGE(C6:C11)</f>
        <v>0.32215686274509808</v>
      </c>
      <c r="D12" s="49">
        <f>AVERAGE(D6:D11)</f>
        <v>3.741333333333334E-2</v>
      </c>
      <c r="E12" s="49">
        <f>AVERAGE(E5:E11)</f>
        <v>0.20275085714285715</v>
      </c>
      <c r="G12" s="49">
        <f>AVERAGE(G6:G11)</f>
        <v>0.40939289888631603</v>
      </c>
      <c r="H12" t="s">
        <v>112</v>
      </c>
      <c r="I12" s="49">
        <f>AVERAGE(I6:I11)</f>
        <v>0</v>
      </c>
      <c r="J12" t="s">
        <v>23</v>
      </c>
      <c r="K12" s="49">
        <f>AVERAGE(K6:K11)</f>
        <v>0.13065319148936169</v>
      </c>
      <c r="L12" t="s">
        <v>115</v>
      </c>
      <c r="M12" s="49">
        <f>AVERAGE(M6:M11)</f>
        <v>0</v>
      </c>
      <c r="N12" t="s">
        <v>23</v>
      </c>
    </row>
    <row r="13" spans="1:17" x14ac:dyDescent="0.25">
      <c r="A13" t="s">
        <v>131</v>
      </c>
      <c r="B13">
        <f t="shared" ref="B13:C16" si="1">B$7</f>
        <v>1.1000000000000001</v>
      </c>
      <c r="C13">
        <f t="shared" si="1"/>
        <v>0.35</v>
      </c>
      <c r="D13" s="50">
        <f>D$7*0.7</f>
        <v>5.0959999999999998E-3</v>
      </c>
      <c r="E13">
        <f>E$7</f>
        <v>0.10444000000000001</v>
      </c>
      <c r="G13">
        <f t="shared" ref="G13:H16" si="2">G$7</f>
        <v>0.3548</v>
      </c>
      <c r="H13" t="str">
        <f t="shared" si="2"/>
        <v>coke - IPCC</v>
      </c>
      <c r="I13" s="3">
        <v>0</v>
      </c>
      <c r="J13" t="s">
        <v>23</v>
      </c>
      <c r="K13">
        <f t="shared" ref="K13:L16" si="3">K$7</f>
        <v>0.152</v>
      </c>
      <c r="L13" t="str">
        <f t="shared" si="3"/>
        <v>coal coking - IPCC</v>
      </c>
      <c r="M13">
        <v>1</v>
      </c>
      <c r="N13" t="s">
        <v>23</v>
      </c>
    </row>
    <row r="14" spans="1:17" x14ac:dyDescent="0.25">
      <c r="A14" t="s">
        <v>132</v>
      </c>
      <c r="B14">
        <f t="shared" si="1"/>
        <v>1.1000000000000001</v>
      </c>
      <c r="C14">
        <f t="shared" si="1"/>
        <v>0.35</v>
      </c>
      <c r="D14" s="50">
        <f>D$7*0.7</f>
        <v>5.0959999999999998E-3</v>
      </c>
      <c r="E14">
        <f>E$7</f>
        <v>0.10444000000000001</v>
      </c>
      <c r="G14">
        <f t="shared" si="2"/>
        <v>0.3548</v>
      </c>
      <c r="H14" t="str">
        <f t="shared" si="2"/>
        <v>coke - IPCC</v>
      </c>
      <c r="I14" s="3">
        <v>0</v>
      </c>
      <c r="J14" t="s">
        <v>23</v>
      </c>
      <c r="K14">
        <f t="shared" si="3"/>
        <v>0.152</v>
      </c>
      <c r="L14" t="str">
        <f t="shared" si="3"/>
        <v>coal coking - IPCC</v>
      </c>
      <c r="M14">
        <v>1</v>
      </c>
      <c r="N14" t="s">
        <v>23</v>
      </c>
    </row>
    <row r="15" spans="1:17" x14ac:dyDescent="0.25">
      <c r="A15" t="s">
        <v>133</v>
      </c>
      <c r="B15">
        <f t="shared" si="1"/>
        <v>1.1000000000000001</v>
      </c>
      <c r="C15">
        <f t="shared" si="1"/>
        <v>0.35</v>
      </c>
      <c r="D15" s="50">
        <f>D$7*0.7</f>
        <v>5.0959999999999998E-3</v>
      </c>
      <c r="E15">
        <f>E$7</f>
        <v>0.10444000000000001</v>
      </c>
      <c r="G15">
        <f t="shared" si="2"/>
        <v>0.3548</v>
      </c>
      <c r="H15" t="str">
        <f t="shared" si="2"/>
        <v>coke - IPCC</v>
      </c>
      <c r="I15" s="3">
        <v>0</v>
      </c>
      <c r="J15" t="s">
        <v>23</v>
      </c>
      <c r="K15">
        <f t="shared" si="3"/>
        <v>0.152</v>
      </c>
      <c r="L15" t="str">
        <f t="shared" si="3"/>
        <v>coal coking - IPCC</v>
      </c>
      <c r="M15">
        <v>1</v>
      </c>
      <c r="N15" t="s">
        <v>23</v>
      </c>
    </row>
    <row r="16" spans="1:17" x14ac:dyDescent="0.25">
      <c r="A16" t="s">
        <v>134</v>
      </c>
      <c r="B16">
        <f t="shared" si="1"/>
        <v>1.1000000000000001</v>
      </c>
      <c r="C16">
        <f t="shared" si="1"/>
        <v>0.35</v>
      </c>
      <c r="D16" s="50">
        <f>D$7*0.7</f>
        <v>5.0959999999999998E-3</v>
      </c>
      <c r="E16">
        <f>E$7</f>
        <v>0.10444000000000001</v>
      </c>
      <c r="G16">
        <f t="shared" si="2"/>
        <v>0.3548</v>
      </c>
      <c r="H16" t="str">
        <f t="shared" si="2"/>
        <v>coke - IPCC</v>
      </c>
      <c r="I16" s="3">
        <v>0</v>
      </c>
      <c r="J16" t="s">
        <v>23</v>
      </c>
      <c r="K16">
        <f t="shared" si="3"/>
        <v>0.152</v>
      </c>
      <c r="L16" t="str">
        <f t="shared" si="3"/>
        <v>coal coking - IPCC</v>
      </c>
      <c r="M16">
        <v>0.5</v>
      </c>
      <c r="N16" t="s">
        <v>23</v>
      </c>
    </row>
    <row r="17" spans="1:17" x14ac:dyDescent="0.25">
      <c r="A17" t="s">
        <v>136</v>
      </c>
      <c r="B17">
        <v>1.1200000000000001</v>
      </c>
      <c r="C17">
        <v>0</v>
      </c>
      <c r="D17" s="50">
        <f>0.013*0.56</f>
        <v>7.28E-3</v>
      </c>
      <c r="E17">
        <v>0.37331999999999999</v>
      </c>
      <c r="F17">
        <v>6.8400000000000002E-2</v>
      </c>
      <c r="G17">
        <v>0.35489999999999999</v>
      </c>
      <c r="H17" t="s">
        <v>137</v>
      </c>
      <c r="I17" s="3">
        <v>0</v>
      </c>
      <c r="J17" t="s">
        <v>23</v>
      </c>
      <c r="K17" s="3">
        <v>0.152</v>
      </c>
      <c r="L17" t="s">
        <v>138</v>
      </c>
      <c r="M17">
        <v>0</v>
      </c>
      <c r="N17" t="s">
        <v>23</v>
      </c>
    </row>
    <row r="18" spans="1:17" x14ac:dyDescent="0.25">
      <c r="A18" t="s">
        <v>151</v>
      </c>
      <c r="B18" s="23">
        <v>1.2</v>
      </c>
      <c r="E18">
        <v>0.09</v>
      </c>
      <c r="G18">
        <v>0.25800000000000001</v>
      </c>
      <c r="H18" t="s">
        <v>112</v>
      </c>
      <c r="I18">
        <v>0</v>
      </c>
      <c r="J18" t="s">
        <v>23</v>
      </c>
      <c r="K18">
        <v>0.14399999999999999</v>
      </c>
      <c r="L18" t="s">
        <v>115</v>
      </c>
      <c r="M18">
        <v>0</v>
      </c>
      <c r="N18" t="s">
        <v>23</v>
      </c>
      <c r="Q18" t="s">
        <v>160</v>
      </c>
    </row>
    <row r="19" spans="1:17" x14ac:dyDescent="0.25">
      <c r="A19" t="s">
        <v>159</v>
      </c>
      <c r="B19" s="23">
        <v>1.3</v>
      </c>
      <c r="C19">
        <v>0</v>
      </c>
      <c r="E19">
        <v>0.107</v>
      </c>
      <c r="G19">
        <v>0.28199999999999997</v>
      </c>
      <c r="H19" t="s">
        <v>112</v>
      </c>
      <c r="I19">
        <v>0</v>
      </c>
      <c r="J19" t="s">
        <v>23</v>
      </c>
      <c r="K19">
        <v>0.16</v>
      </c>
      <c r="L19" t="s">
        <v>115</v>
      </c>
      <c r="M19">
        <v>0</v>
      </c>
      <c r="N19" t="s">
        <v>23</v>
      </c>
    </row>
    <row r="20" spans="1:17" x14ac:dyDescent="0.25">
      <c r="A20" t="s">
        <v>152</v>
      </c>
      <c r="B20">
        <v>1088</v>
      </c>
      <c r="C20">
        <v>358</v>
      </c>
      <c r="D20">
        <v>2.5700000000000001E-2</v>
      </c>
      <c r="E20">
        <v>0.26800000000000002</v>
      </c>
      <c r="F20">
        <v>5.4399999999999997E-2</v>
      </c>
      <c r="G20">
        <v>0.35899999999999999</v>
      </c>
      <c r="H20" t="s">
        <v>112</v>
      </c>
      <c r="I20">
        <v>0</v>
      </c>
      <c r="J20" t="s">
        <v>23</v>
      </c>
      <c r="K20">
        <v>0.19</v>
      </c>
      <c r="L20" t="s">
        <v>115</v>
      </c>
      <c r="M20">
        <v>0</v>
      </c>
      <c r="N20" t="s">
        <v>23</v>
      </c>
    </row>
    <row r="21" spans="1:17" x14ac:dyDescent="0.25">
      <c r="A21" t="s">
        <v>143</v>
      </c>
      <c r="D21">
        <v>0</v>
      </c>
      <c r="E21">
        <v>0.107</v>
      </c>
      <c r="G21">
        <v>0.28199999999999997</v>
      </c>
      <c r="H21" t="s">
        <v>112</v>
      </c>
    </row>
    <row r="22" spans="1:17" x14ac:dyDescent="0.25">
      <c r="A22" t="s">
        <v>153</v>
      </c>
      <c r="B22">
        <v>1.2</v>
      </c>
      <c r="C22">
        <v>0</v>
      </c>
      <c r="D22" s="23">
        <v>0.01</v>
      </c>
      <c r="G22">
        <f>10.42/30.23</f>
        <v>0.34469070459808138</v>
      </c>
      <c r="H22" t="s">
        <v>119</v>
      </c>
      <c r="K22">
        <v>0</v>
      </c>
      <c r="L22" t="s">
        <v>120</v>
      </c>
      <c r="M22">
        <v>0</v>
      </c>
      <c r="N22" t="s">
        <v>23</v>
      </c>
    </row>
    <row r="23" spans="1:17" x14ac:dyDescent="0.25">
      <c r="A23" t="s">
        <v>156</v>
      </c>
      <c r="E23">
        <v>0.09</v>
      </c>
      <c r="G23">
        <f>11.49/30.23</f>
        <v>0.38008600727753888</v>
      </c>
      <c r="H23" t="s">
        <v>119</v>
      </c>
      <c r="I23">
        <v>0</v>
      </c>
      <c r="J23" t="s">
        <v>23</v>
      </c>
      <c r="K23">
        <f>(2.69+1.41)/31.2</f>
        <v>0.13141025641025642</v>
      </c>
      <c r="L23" t="s">
        <v>123</v>
      </c>
      <c r="M23">
        <v>0</v>
      </c>
      <c r="N23" t="s">
        <v>23</v>
      </c>
    </row>
    <row r="24" spans="1:17" x14ac:dyDescent="0.25">
      <c r="A24" t="s">
        <v>168</v>
      </c>
      <c r="G24">
        <f>11.04/30.23</f>
        <v>0.36520013231888848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E9" sqref="E9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0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108</v>
      </c>
      <c r="B7">
        <f>0.9058</f>
        <v>0.90580000000000005</v>
      </c>
      <c r="C7">
        <f>0.1169+0.0731</f>
        <v>0.19</v>
      </c>
      <c r="D7">
        <v>0</v>
      </c>
      <c r="E7" t="s">
        <v>112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5">
      <c r="A8" t="s">
        <v>109</v>
      </c>
      <c r="B8">
        <v>0.95</v>
      </c>
      <c r="C8">
        <v>0.155</v>
      </c>
      <c r="D8">
        <v>0.01</v>
      </c>
      <c r="E8" t="s">
        <v>116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110</v>
      </c>
      <c r="B9" s="23">
        <v>0.95</v>
      </c>
      <c r="C9" s="23">
        <v>0.155</v>
      </c>
      <c r="D9">
        <v>0</v>
      </c>
      <c r="E9" t="s">
        <v>112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111</v>
      </c>
      <c r="B10" s="27">
        <f>53.4/62.7</f>
        <v>0.85167464114832525</v>
      </c>
      <c r="C10" s="27">
        <f>17/62.7</f>
        <v>0.27113237639553428</v>
      </c>
      <c r="D10" s="21">
        <f>0.43/47.1</f>
        <v>9.1295116772823776E-3</v>
      </c>
      <c r="E10" t="s">
        <v>120</v>
      </c>
      <c r="F10">
        <v>0</v>
      </c>
      <c r="G10" t="s">
        <v>23</v>
      </c>
      <c r="H10" s="23">
        <v>0.04</v>
      </c>
      <c r="I10">
        <v>0.13</v>
      </c>
      <c r="J10" s="23">
        <v>7.0000000000000007E-2</v>
      </c>
    </row>
    <row r="11" spans="1:10" x14ac:dyDescent="0.25">
      <c r="A11" t="s">
        <v>127</v>
      </c>
      <c r="B11" s="23">
        <v>0.95</v>
      </c>
      <c r="C11" s="23">
        <v>0.15</v>
      </c>
      <c r="D11" s="23">
        <v>0</v>
      </c>
      <c r="E11" s="23" t="s">
        <v>112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5">
      <c r="A12" t="s">
        <v>131</v>
      </c>
      <c r="B12">
        <f t="shared" ref="B12:J16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5">
      <c r="A13" t="s">
        <v>132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5">
      <c r="A14" t="s">
        <v>133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5">
      <c r="A15" t="s">
        <v>134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0" x14ac:dyDescent="0.25">
      <c r="A16" t="s">
        <v>136</v>
      </c>
      <c r="B16">
        <v>0.90580000000000005</v>
      </c>
      <c r="C16">
        <f>0.1169+0.0731</f>
        <v>0.19</v>
      </c>
      <c r="D16">
        <v>0</v>
      </c>
      <c r="E16" t="s">
        <v>137</v>
      </c>
      <c r="F16">
        <v>0</v>
      </c>
      <c r="G16" t="s">
        <v>23</v>
      </c>
      <c r="H16">
        <f>0.0757*0.913606</f>
        <v>6.9159974200000002E-2</v>
      </c>
      <c r="I16">
        <f t="shared" si="0"/>
        <v>7.1999999999999995E-2</v>
      </c>
      <c r="J16">
        <f t="shared" si="0"/>
        <v>7.4236999999999997E-2</v>
      </c>
    </row>
    <row r="17" spans="1:10" x14ac:dyDescent="0.25">
      <c r="A17" t="s">
        <v>151</v>
      </c>
    </row>
    <row r="18" spans="1:10" x14ac:dyDescent="0.25">
      <c r="A18" t="s">
        <v>159</v>
      </c>
    </row>
    <row r="19" spans="1:10" x14ac:dyDescent="0.25">
      <c r="A19" t="s">
        <v>152</v>
      </c>
    </row>
    <row r="20" spans="1:10" x14ac:dyDescent="0.25">
      <c r="A20" t="s">
        <v>143</v>
      </c>
      <c r="B20">
        <f>0.788</f>
        <v>0.78800000000000003</v>
      </c>
      <c r="C20">
        <v>0.34</v>
      </c>
      <c r="D20">
        <v>1E-3</v>
      </c>
      <c r="E20" t="s">
        <v>120</v>
      </c>
      <c r="H20">
        <v>0.03</v>
      </c>
      <c r="I20">
        <v>3.5000000000000003E-2</v>
      </c>
      <c r="J20">
        <f>49.5*Ref!C12</f>
        <v>7.0667466761845266E-2</v>
      </c>
    </row>
    <row r="21" spans="1:10" x14ac:dyDescent="0.25">
      <c r="A21" t="s">
        <v>153</v>
      </c>
      <c r="D21">
        <v>0</v>
      </c>
      <c r="E21" t="s">
        <v>120</v>
      </c>
    </row>
    <row r="22" spans="1:10" x14ac:dyDescent="0.25">
      <c r="A22" t="s">
        <v>156</v>
      </c>
      <c r="D22" s="21">
        <f>0.4/47.1</f>
        <v>8.4925690021231421E-3</v>
      </c>
      <c r="E22" t="s">
        <v>120</v>
      </c>
      <c r="I22">
        <v>0.09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A17" sqref="A17:A22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76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3" x14ac:dyDescent="0.25">
      <c r="A7" t="s">
        <v>108</v>
      </c>
      <c r="B7" s="5">
        <v>0.87</v>
      </c>
      <c r="C7" s="5">
        <v>1.3869199999999999</v>
      </c>
    </row>
    <row r="8" spans="1:3" x14ac:dyDescent="0.25">
      <c r="A8" t="s">
        <v>109</v>
      </c>
      <c r="B8" s="25">
        <f>B7</f>
        <v>0.87</v>
      </c>
      <c r="C8" s="25">
        <f>C7</f>
        <v>1.3869199999999999</v>
      </c>
    </row>
    <row r="9" spans="1:3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111</v>
      </c>
      <c r="B10" s="25">
        <f>B9</f>
        <v>0.87</v>
      </c>
      <c r="C10" s="25">
        <v>1.3869199999999999</v>
      </c>
    </row>
    <row r="11" spans="1:3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3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3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3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3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3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1" x14ac:dyDescent="0.25">
      <c r="A17" t="s">
        <v>151</v>
      </c>
    </row>
    <row r="18" spans="1:1" x14ac:dyDescent="0.25">
      <c r="A18" t="s">
        <v>159</v>
      </c>
    </row>
    <row r="19" spans="1:1" x14ac:dyDescent="0.25">
      <c r="A19" t="s">
        <v>152</v>
      </c>
    </row>
    <row r="20" spans="1:1" x14ac:dyDescent="0.25">
      <c r="A20" t="s">
        <v>143</v>
      </c>
    </row>
    <row r="21" spans="1:1" x14ac:dyDescent="0.25">
      <c r="A21" t="s">
        <v>153</v>
      </c>
    </row>
    <row r="22" spans="1:1" x14ac:dyDescent="0.25">
      <c r="A22" t="s">
        <v>156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25" sqref="C25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x14ac:dyDescent="0.25">
      <c r="A7" t="s">
        <v>108</v>
      </c>
      <c r="B7" s="5">
        <v>0.32</v>
      </c>
      <c r="C7" s="5">
        <v>0</v>
      </c>
      <c r="D7" t="s">
        <v>124</v>
      </c>
      <c r="F7" s="5">
        <f>57.7/129.5</f>
        <v>0.44555984555984557</v>
      </c>
    </row>
    <row r="8" spans="1:10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x14ac:dyDescent="0.25">
      <c r="A12" t="s">
        <v>128</v>
      </c>
      <c r="F12" s="5">
        <f>48/126.8</f>
        <v>0.37854889589905366</v>
      </c>
    </row>
    <row r="13" spans="1:10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natural gas - IPCC</v>
      </c>
      <c r="E13">
        <f t="shared" si="0"/>
        <v>0</v>
      </c>
      <c r="F13">
        <f t="shared" si="0"/>
        <v>0.44555984555984557</v>
      </c>
    </row>
    <row r="14" spans="1:10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natural gas - IPCC</v>
      </c>
      <c r="E14">
        <f t="shared" si="0"/>
        <v>0</v>
      </c>
      <c r="F14">
        <f t="shared" si="0"/>
        <v>0.44555984555984557</v>
      </c>
    </row>
    <row r="15" spans="1:10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natural gas - IPCC</v>
      </c>
      <c r="E15">
        <f t="shared" si="0"/>
        <v>0</v>
      </c>
      <c r="F15">
        <f t="shared" si="0"/>
        <v>0.44555984555984557</v>
      </c>
    </row>
    <row r="16" spans="1:10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natural gas - IPCC</v>
      </c>
      <c r="E16">
        <f t="shared" si="0"/>
        <v>0</v>
      </c>
      <c r="F16">
        <f t="shared" si="0"/>
        <v>0.44555984555984557</v>
      </c>
    </row>
    <row r="17" spans="1:6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x14ac:dyDescent="0.25">
      <c r="A18" t="s">
        <v>151</v>
      </c>
      <c r="B18" s="5">
        <v>1</v>
      </c>
      <c r="D18" t="s">
        <v>174</v>
      </c>
    </row>
    <row r="19" spans="1:6" x14ac:dyDescent="0.25">
      <c r="A19" t="s">
        <v>159</v>
      </c>
      <c r="B19" s="5">
        <v>1</v>
      </c>
      <c r="D19" t="s">
        <v>173</v>
      </c>
    </row>
    <row r="20" spans="1:6" x14ac:dyDescent="0.25">
      <c r="A20" t="s">
        <v>152</v>
      </c>
    </row>
    <row r="21" spans="1:6" x14ac:dyDescent="0.25">
      <c r="A21" t="s">
        <v>143</v>
      </c>
    </row>
    <row r="22" spans="1:6" x14ac:dyDescent="0.25">
      <c r="A22" t="s">
        <v>153</v>
      </c>
    </row>
    <row r="23" spans="1:6" x14ac:dyDescent="0.25">
      <c r="A23" t="s">
        <v>156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8" sqref="F28"/>
    </sheetView>
  </sheetViews>
  <sheetFormatPr defaultColWidth="8.85546875" defaultRowHeight="15" x14ac:dyDescent="0.25"/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125</v>
      </c>
      <c r="D5" s="5"/>
    </row>
    <row r="6" spans="1:4" x14ac:dyDescent="0.25">
      <c r="A6" t="s">
        <v>107</v>
      </c>
      <c r="B6" s="5">
        <v>0.8</v>
      </c>
      <c r="C6" s="19" t="s">
        <v>125</v>
      </c>
      <c r="D6" s="5"/>
    </row>
    <row r="7" spans="1:4" x14ac:dyDescent="0.25">
      <c r="A7" t="s">
        <v>108</v>
      </c>
      <c r="B7" s="5">
        <v>0.8</v>
      </c>
      <c r="C7" t="s">
        <v>124</v>
      </c>
      <c r="D7" s="5"/>
    </row>
    <row r="8" spans="1:4" x14ac:dyDescent="0.25">
      <c r="A8" t="s">
        <v>109</v>
      </c>
      <c r="B8" s="5">
        <v>0.8</v>
      </c>
      <c r="C8" t="s">
        <v>124</v>
      </c>
      <c r="D8" s="19" t="s">
        <v>77</v>
      </c>
    </row>
    <row r="9" spans="1:4" x14ac:dyDescent="0.25">
      <c r="A9" t="s">
        <v>110</v>
      </c>
      <c r="B9" s="5">
        <v>0.8</v>
      </c>
      <c r="C9" t="s">
        <v>118</v>
      </c>
      <c r="D9" s="19" t="s">
        <v>77</v>
      </c>
    </row>
    <row r="10" spans="1:4" x14ac:dyDescent="0.25">
      <c r="A10" t="s">
        <v>111</v>
      </c>
      <c r="B10" s="5">
        <v>0.8</v>
      </c>
      <c r="C10" t="s">
        <v>120</v>
      </c>
      <c r="D10" s="5"/>
    </row>
    <row r="11" spans="1:4" x14ac:dyDescent="0.25">
      <c r="A11" t="s">
        <v>131</v>
      </c>
      <c r="B11">
        <f t="shared" ref="B11:C15" si="0">B$7</f>
        <v>0.8</v>
      </c>
      <c r="C11" t="str">
        <f t="shared" si="0"/>
        <v>natural gas - IPCC</v>
      </c>
      <c r="D11" s="5"/>
    </row>
    <row r="12" spans="1:4" x14ac:dyDescent="0.25">
      <c r="A12" t="s">
        <v>132</v>
      </c>
      <c r="B12">
        <f t="shared" si="0"/>
        <v>0.8</v>
      </c>
      <c r="C12" t="str">
        <f t="shared" si="0"/>
        <v>natural gas - IPCC</v>
      </c>
    </row>
    <row r="13" spans="1:4" x14ac:dyDescent="0.25">
      <c r="A13" t="s">
        <v>133</v>
      </c>
      <c r="B13">
        <f t="shared" si="0"/>
        <v>0.8</v>
      </c>
      <c r="C13" t="str">
        <f t="shared" si="0"/>
        <v>natural gas - IPCC</v>
      </c>
    </row>
    <row r="14" spans="1:4" x14ac:dyDescent="0.25">
      <c r="A14" t="s">
        <v>134</v>
      </c>
      <c r="B14">
        <f t="shared" si="0"/>
        <v>0.8</v>
      </c>
      <c r="C14" t="str">
        <f t="shared" si="0"/>
        <v>natural gas - IPCC</v>
      </c>
    </row>
    <row r="15" spans="1:4" x14ac:dyDescent="0.25">
      <c r="A15" t="s">
        <v>136</v>
      </c>
      <c r="B15">
        <f t="shared" si="0"/>
        <v>0.8</v>
      </c>
      <c r="C15" t="str">
        <f t="shared" si="0"/>
        <v>natural gas - IPCC</v>
      </c>
    </row>
    <row r="16" spans="1:4" x14ac:dyDescent="0.25">
      <c r="A16" t="s">
        <v>127</v>
      </c>
      <c r="B16">
        <v>0.8</v>
      </c>
      <c r="C16" t="s">
        <v>115</v>
      </c>
    </row>
    <row r="17" spans="1:1" x14ac:dyDescent="0.25">
      <c r="A17" t="s">
        <v>151</v>
      </c>
    </row>
    <row r="18" spans="1:1" x14ac:dyDescent="0.25">
      <c r="A18" t="s">
        <v>159</v>
      </c>
    </row>
    <row r="19" spans="1:1" x14ac:dyDescent="0.25">
      <c r="A19" t="s">
        <v>152</v>
      </c>
    </row>
    <row r="20" spans="1:1" x14ac:dyDescent="0.25">
      <c r="A20" t="s">
        <v>143</v>
      </c>
    </row>
    <row r="21" spans="1:1" x14ac:dyDescent="0.25">
      <c r="A21" t="s">
        <v>153</v>
      </c>
    </row>
    <row r="22" spans="1:1" x14ac:dyDescent="0.25">
      <c r="A2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2019-05-07T18:05:01Z</dcterms:modified>
</cp:coreProperties>
</file>