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19B92E8E-1B00-0A4E-8196-B1EA97C61FC9}" xr6:coauthVersionLast="43" xr6:coauthVersionMax="43" xr10:uidLastSave="{00000000-0000-0000-0000-000000000000}"/>
  <bookViews>
    <workbookView xWindow="2580" yWindow="460" windowWidth="28800" windowHeight="17540" tabRatio="598" activeTab="9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G16" i="23"/>
  <c r="D16" i="23"/>
  <c r="C16" i="23"/>
  <c r="D15" i="23"/>
  <c r="C15" i="23"/>
  <c r="G15" i="23"/>
  <c r="D13" i="23"/>
  <c r="C13" i="23"/>
  <c r="D12" i="23"/>
  <c r="C12" i="23"/>
  <c r="G10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3" i="23" l="1"/>
  <c r="F18" i="23"/>
  <c r="F12" i="23"/>
  <c r="G6" i="23"/>
  <c r="F7" i="23"/>
  <c r="F9" i="23"/>
  <c r="F15" i="23"/>
  <c r="L19" i="22" l="1"/>
  <c r="I19" i="22"/>
  <c r="H19" i="22"/>
  <c r="F19" i="22"/>
  <c r="D19" i="22"/>
  <c r="C19" i="22"/>
  <c r="L18" i="22"/>
  <c r="I18" i="22"/>
  <c r="H18" i="22"/>
  <c r="F18" i="22"/>
  <c r="D18" i="22"/>
  <c r="C18" i="22"/>
  <c r="L17" i="22"/>
  <c r="I17" i="22"/>
  <c r="H17" i="22"/>
  <c r="F17" i="22"/>
  <c r="D17" i="22"/>
  <c r="C17" i="22"/>
  <c r="L16" i="22"/>
  <c r="I16" i="22"/>
  <c r="H16" i="22"/>
  <c r="F16" i="22"/>
  <c r="D16" i="22"/>
  <c r="C16" i="22"/>
  <c r="L15" i="22"/>
  <c r="I15" i="22"/>
  <c r="H15" i="22"/>
  <c r="F15" i="22"/>
  <c r="D15" i="22"/>
  <c r="C15" i="22"/>
  <c r="L14" i="22"/>
  <c r="I14" i="22"/>
  <c r="H14" i="22"/>
  <c r="F14" i="22"/>
  <c r="D14" i="22"/>
  <c r="C14" i="22"/>
  <c r="K5" i="22" l="1"/>
  <c r="K6" i="22"/>
  <c r="K7" i="22"/>
  <c r="L13" i="22" l="1"/>
  <c r="I13" i="22"/>
  <c r="H13" i="22"/>
  <c r="F13" i="22"/>
  <c r="D13" i="22"/>
  <c r="C13" i="22"/>
  <c r="L12" i="22"/>
  <c r="I12" i="22"/>
  <c r="H12" i="22"/>
  <c r="F12" i="22"/>
  <c r="D12" i="22"/>
  <c r="C12" i="22"/>
  <c r="L11" i="22"/>
  <c r="I11" i="22"/>
  <c r="H11" i="22"/>
  <c r="F11" i="22"/>
  <c r="D11" i="22"/>
  <c r="C11" i="22"/>
  <c r="E5" i="22" l="1"/>
  <c r="E10" i="22" s="1"/>
  <c r="J5" i="22"/>
  <c r="J10" i="22" s="1"/>
  <c r="I6" i="22"/>
  <c r="G6" i="22" s="1"/>
  <c r="P10" i="22"/>
  <c r="O10" i="22"/>
  <c r="N10" i="22"/>
  <c r="M10" i="22"/>
  <c r="L10" i="22"/>
  <c r="K10" i="22"/>
  <c r="H10" i="22"/>
  <c r="F10" i="22"/>
  <c r="E4" i="22"/>
  <c r="G8" i="22"/>
  <c r="G9" i="22"/>
  <c r="G19" i="22" l="1"/>
  <c r="G15" i="22"/>
  <c r="G18" i="22"/>
  <c r="G14" i="22"/>
  <c r="G17" i="22"/>
  <c r="G16" i="22"/>
  <c r="G13" i="22"/>
  <c r="G12" i="22"/>
  <c r="G11" i="22"/>
  <c r="K9" i="22"/>
  <c r="E9" i="22"/>
  <c r="K8" i="22"/>
  <c r="E8" i="22"/>
  <c r="D5" i="22"/>
  <c r="D10" i="22" s="1"/>
  <c r="K16" i="22" l="1"/>
  <c r="K14" i="22"/>
  <c r="K19" i="22"/>
  <c r="K15" i="22"/>
  <c r="K18" i="22"/>
  <c r="K17" i="22"/>
  <c r="E17" i="22"/>
  <c r="E16" i="22"/>
  <c r="E18" i="22"/>
  <c r="E19" i="22"/>
  <c r="E15" i="22"/>
  <c r="E14" i="22"/>
  <c r="K13" i="22"/>
  <c r="K12" i="22"/>
  <c r="K11" i="22"/>
  <c r="E11" i="22"/>
  <c r="E13" i="22"/>
  <c r="E12" i="22"/>
  <c r="G4" i="22"/>
  <c r="J6" i="22"/>
  <c r="E6" i="22"/>
  <c r="I7" i="22"/>
  <c r="G7" i="22" s="1"/>
  <c r="I5" i="22"/>
  <c r="I10" i="22" s="1"/>
  <c r="E7" i="22"/>
  <c r="G5" i="22" l="1"/>
  <c r="G10" i="22" s="1"/>
  <c r="G8" i="12" l="1"/>
  <c r="G5" i="12"/>
  <c r="K11" i="20" l="1"/>
  <c r="K8" i="20"/>
  <c r="M8" i="20" l="1"/>
  <c r="M11" i="20"/>
  <c r="E19" i="13"/>
  <c r="E18" i="13"/>
  <c r="E16" i="13"/>
  <c r="E15" i="13"/>
  <c r="E13" i="13"/>
  <c r="E12" i="13"/>
  <c r="E10" i="13"/>
  <c r="E9" i="13"/>
  <c r="E7" i="13"/>
  <c r="E6" i="13"/>
  <c r="M5" i="20" l="1"/>
  <c r="M4" i="20"/>
  <c r="E6" i="9"/>
  <c r="E5" i="9"/>
  <c r="C6" i="8"/>
  <c r="C5" i="8"/>
  <c r="K6" i="20"/>
  <c r="M6" i="20" s="1"/>
  <c r="J5" i="20"/>
  <c r="G5" i="20"/>
  <c r="E7" i="9" l="1"/>
  <c r="C4" i="9"/>
  <c r="C7" i="8"/>
  <c r="O7" i="20"/>
  <c r="N7" i="20"/>
  <c r="L7" i="20"/>
  <c r="K7" i="20"/>
  <c r="M7" i="20" s="1"/>
  <c r="J7" i="20"/>
  <c r="I7" i="20"/>
  <c r="F7" i="20"/>
  <c r="E7" i="20"/>
  <c r="D7" i="20"/>
  <c r="C7" i="20"/>
  <c r="C5" i="9" l="1"/>
  <c r="C6" i="9"/>
  <c r="C7" i="9"/>
  <c r="O13" i="20"/>
  <c r="O12" i="20"/>
  <c r="O10" i="20"/>
  <c r="O9" i="20"/>
  <c r="N13" i="20" l="1"/>
  <c r="N12" i="20"/>
  <c r="N10" i="20"/>
  <c r="N9" i="20"/>
  <c r="J12" i="20" l="1"/>
  <c r="C19" i="2" l="1"/>
  <c r="C18" i="2"/>
  <c r="C16" i="2"/>
  <c r="C15" i="2"/>
  <c r="G19" i="12" l="1"/>
  <c r="G18" i="12"/>
  <c r="G16" i="12"/>
  <c r="G15" i="12"/>
  <c r="G13" i="12"/>
  <c r="G12" i="12"/>
  <c r="I10" i="20"/>
  <c r="H10" i="20"/>
  <c r="F10" i="20"/>
  <c r="D10" i="20"/>
  <c r="C10" i="20"/>
  <c r="M9" i="20"/>
  <c r="I9" i="20"/>
  <c r="H9" i="20"/>
  <c r="F9" i="20"/>
  <c r="D9" i="20"/>
  <c r="C9" i="20"/>
  <c r="M10" i="20"/>
  <c r="K9" i="20"/>
  <c r="J9" i="20"/>
  <c r="G9" i="20"/>
  <c r="C13" i="20"/>
  <c r="C12" i="20"/>
  <c r="D13" i="20"/>
  <c r="D12" i="20"/>
  <c r="F13" i="20"/>
  <c r="F12" i="20"/>
  <c r="G13" i="20"/>
  <c r="G12" i="20"/>
  <c r="H13" i="20"/>
  <c r="H12" i="20"/>
  <c r="I13" i="20"/>
  <c r="I12" i="20"/>
  <c r="J13" i="20"/>
  <c r="K13" i="20"/>
  <c r="K12" i="20"/>
  <c r="M13" i="20"/>
  <c r="M12" i="20"/>
  <c r="J10" i="20" l="1"/>
  <c r="K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E14" i="12" l="1"/>
  <c r="D5" i="24"/>
  <c r="D17" i="24"/>
  <c r="D14" i="24"/>
  <c r="D8" i="24"/>
  <c r="D11" i="24"/>
  <c r="E8" i="23"/>
  <c r="E11" i="23"/>
  <c r="E5" i="23"/>
  <c r="E14" i="23"/>
  <c r="E17" i="23"/>
  <c r="M7" i="22"/>
  <c r="M6" i="22"/>
  <c r="L4" i="22"/>
  <c r="L8" i="20"/>
  <c r="L11" i="20"/>
  <c r="E9" i="12"/>
  <c r="E5" i="12"/>
  <c r="F4" i="13"/>
  <c r="F5" i="13" s="1"/>
  <c r="I14" i="18"/>
  <c r="L5" i="20"/>
  <c r="D14" i="2"/>
  <c r="D17" i="2"/>
  <c r="I17" i="18"/>
  <c r="I11" i="18"/>
  <c r="I8" i="18"/>
  <c r="I5" i="18"/>
  <c r="D8" i="2"/>
  <c r="D5" i="2"/>
  <c r="C6" i="7"/>
  <c r="C10" i="7"/>
  <c r="C4" i="7"/>
  <c r="C8" i="7"/>
  <c r="C11" i="7"/>
  <c r="C5" i="7"/>
  <c r="C9" i="7"/>
  <c r="C12" i="7"/>
  <c r="D20" i="8" s="1"/>
  <c r="E19" i="23" l="1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L13" i="20"/>
  <c r="L12" i="20"/>
  <c r="L9" i="20"/>
  <c r="L10" i="20"/>
  <c r="F19" i="13"/>
  <c r="F15" i="13"/>
  <c r="F7" i="13"/>
  <c r="F8" i="13" s="1"/>
  <c r="F18" i="13"/>
  <c r="F10" i="13"/>
  <c r="F11" i="13" s="1"/>
  <c r="F6" i="13"/>
  <c r="F13" i="13"/>
  <c r="F14" i="13" s="1"/>
  <c r="F9" i="13"/>
  <c r="F16" i="13"/>
  <c r="F17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D9" i="8" l="1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<sst xmlns="http://schemas.openxmlformats.org/spreadsheetml/2006/main" count="450" uniqueCount="137">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</sst>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:B19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6" width="17.83203125" style="61" customWidth="1"/>
    <col min="7" max="7" width="25.5" style="21" customWidth="1"/>
    <col min="8" max="16384" width="8.83203125" style="21"/>
  </cols>
  <sheetData>
    <row r="1" spans="1:7" x14ac:dyDescent="0.2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">
      <c r="A2" s="48" t="s">
        <v>1</v>
      </c>
      <c r="B2" s="48"/>
      <c r="C2" s="21" t="s">
        <v>32</v>
      </c>
      <c r="D2" s="21" t="s">
        <v>33</v>
      </c>
    </row>
    <row r="3" spans="1:7" x14ac:dyDescent="0.2">
      <c r="A3" s="48" t="s">
        <v>2</v>
      </c>
      <c r="B3" s="48"/>
    </row>
    <row r="4" spans="1:7" s="29" customFormat="1" ht="16" thickBot="1" x14ac:dyDescent="0.25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ht="16" x14ac:dyDescent="0.2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ht="16" x14ac:dyDescent="0.2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7" thickBot="1" x14ac:dyDescent="0.25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ht="16" x14ac:dyDescent="0.2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ht="16" x14ac:dyDescent="0.2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7" thickBot="1" x14ac:dyDescent="0.25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ht="16" x14ac:dyDescent="0.2">
      <c r="A11" s="46" t="s">
        <v>64</v>
      </c>
      <c r="B11" s="32" t="s">
        <v>136</v>
      </c>
      <c r="C11" s="50">
        <v>0</v>
      </c>
      <c r="D11" s="50">
        <v>0</v>
      </c>
    </row>
    <row r="12" spans="1:7" ht="16" x14ac:dyDescent="0.2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7" thickBot="1" x14ac:dyDescent="0.25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ht="16" x14ac:dyDescent="0.2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ht="16" x14ac:dyDescent="0.2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7" thickBot="1" x14ac:dyDescent="0.25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ht="16" x14ac:dyDescent="0.2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ht="16" x14ac:dyDescent="0.2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7" thickBot="1" x14ac:dyDescent="0.25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5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2" width="10.83203125" style="21" customWidth="1"/>
    <col min="3" max="16384" width="8.83203125" style="21"/>
  </cols>
  <sheetData>
    <row r="1" spans="1:6" x14ac:dyDescent="0.2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">
      <c r="A3" s="73" t="s">
        <v>2</v>
      </c>
      <c r="B3" s="48"/>
    </row>
    <row r="4" spans="1:6" s="29" customFormat="1" ht="16" thickBot="1" x14ac:dyDescent="0.25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7" thickBot="1" x14ac:dyDescent="0.25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3" spans="1:6" s="39" customFormat="1" x14ac:dyDescent="0.2">
      <c r="A23" s="21"/>
      <c r="B23" s="21"/>
      <c r="C23" s="21"/>
      <c r="D23" s="21"/>
    </row>
    <row r="27" spans="1:6" s="39" customFormat="1" x14ac:dyDescent="0.2">
      <c r="A27" s="21"/>
      <c r="B27" s="21"/>
      <c r="C27" s="21"/>
      <c r="D27" s="21"/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8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8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4" sqref="B14:B19"/>
    </sheetView>
  </sheetViews>
  <sheetFormatPr baseColWidth="10" defaultColWidth="8.83203125" defaultRowHeight="15" x14ac:dyDescent="0.2"/>
  <cols>
    <col min="1" max="1" width="18.33203125" style="21" customWidth="1"/>
    <col min="2" max="2" width="12" style="21" customWidth="1"/>
    <col min="3" max="3" width="14.33203125" bestFit="1" customWidth="1"/>
    <col min="4" max="4" width="19.1640625" bestFit="1" customWidth="1"/>
    <col min="5" max="5" width="17.6640625" bestFit="1" customWidth="1"/>
    <col min="6" max="6" width="14.33203125" bestFit="1" customWidth="1"/>
    <col min="7" max="7" width="14.33203125" customWidth="1"/>
    <col min="8" max="9" width="8.83203125" style="34"/>
    <col min="10" max="10" width="9.1640625" style="34"/>
    <col min="13" max="16" width="8.83203125" style="34"/>
  </cols>
  <sheetData>
    <row r="1" spans="1:17" x14ac:dyDescent="0.2">
      <c r="A1" s="39" t="s">
        <v>0</v>
      </c>
      <c r="B1" s="39" t="s">
        <v>135</v>
      </c>
      <c r="C1" t="s">
        <v>9</v>
      </c>
      <c r="D1" s="17" t="s">
        <v>70</v>
      </c>
      <c r="E1" t="s">
        <v>86</v>
      </c>
      <c r="F1" t="s">
        <v>88</v>
      </c>
      <c r="G1" t="s">
        <v>126</v>
      </c>
      <c r="H1" s="34" t="s">
        <v>123</v>
      </c>
      <c r="I1" s="34" t="s">
        <v>117</v>
      </c>
      <c r="J1" s="34" t="s">
        <v>124</v>
      </c>
      <c r="K1" t="s">
        <v>118</v>
      </c>
      <c r="L1" t="s">
        <v>4</v>
      </c>
      <c r="M1" s="34" t="s">
        <v>125</v>
      </c>
      <c r="N1" s="34" t="s">
        <v>97</v>
      </c>
      <c r="O1" s="34" t="s">
        <v>99</v>
      </c>
      <c r="P1" s="34" t="s">
        <v>115</v>
      </c>
      <c r="Q1" t="s">
        <v>2</v>
      </c>
    </row>
    <row r="2" spans="1:17" s="2" customFormat="1" x14ac:dyDescent="0.2">
      <c r="A2" s="2" t="s">
        <v>1</v>
      </c>
      <c r="D2" s="2" t="s">
        <v>112</v>
      </c>
      <c r="E2" s="2" t="s">
        <v>110</v>
      </c>
      <c r="G2" s="2" t="s">
        <v>111</v>
      </c>
      <c r="H2" s="97" t="s">
        <v>111</v>
      </c>
      <c r="I2" s="97" t="s">
        <v>111</v>
      </c>
      <c r="J2" s="97" t="s">
        <v>111</v>
      </c>
      <c r="K2" s="2" t="s">
        <v>111</v>
      </c>
      <c r="L2" s="2" t="s">
        <v>100</v>
      </c>
      <c r="M2" s="2" t="s">
        <v>130</v>
      </c>
      <c r="N2" s="97" t="s">
        <v>98</v>
      </c>
      <c r="O2" s="97" t="s">
        <v>98</v>
      </c>
      <c r="P2" s="97" t="s">
        <v>116</v>
      </c>
    </row>
    <row r="3" spans="1:17" x14ac:dyDescent="0.2">
      <c r="A3" s="48" t="s">
        <v>2</v>
      </c>
      <c r="B3" s="48"/>
    </row>
    <row r="4" spans="1:17" x14ac:dyDescent="0.2">
      <c r="A4" s="26" t="s">
        <v>113</v>
      </c>
      <c r="B4" s="26"/>
      <c r="C4" t="s">
        <v>122</v>
      </c>
      <c r="D4">
        <v>0</v>
      </c>
      <c r="E4">
        <f>0.0102+0.10641+2.406035</f>
        <v>2.5226450000000002</v>
      </c>
      <c r="F4" t="s">
        <v>114</v>
      </c>
      <c r="G4" s="24">
        <f>H4+I4</f>
        <v>2.6949999999999998</v>
      </c>
      <c r="I4" s="34">
        <v>2.6949999999999998</v>
      </c>
      <c r="J4" s="98"/>
      <c r="K4" s="18">
        <v>0.40333000000000002</v>
      </c>
      <c r="L4">
        <f>75*Ref!B$18</f>
        <v>0.27</v>
      </c>
      <c r="N4" s="34">
        <v>0.05</v>
      </c>
      <c r="P4" s="34">
        <v>0.72</v>
      </c>
    </row>
    <row r="5" spans="1:17" x14ac:dyDescent="0.2">
      <c r="A5" s="21" t="s">
        <v>121</v>
      </c>
      <c r="C5" t="s">
        <v>122</v>
      </c>
      <c r="D5">
        <f>13.1*28.6/1000</f>
        <v>0.37466000000000005</v>
      </c>
      <c r="E5">
        <f>3.7*1.31/1.4</f>
        <v>3.4621428571428576</v>
      </c>
      <c r="F5" t="s">
        <v>114</v>
      </c>
      <c r="G5" s="24">
        <f>H5+I5</f>
        <v>1.7271428571428573</v>
      </c>
      <c r="I5" s="98">
        <f>2.418/1.4</f>
        <v>1.7271428571428573</v>
      </c>
      <c r="J5" s="98">
        <f>1.195*1.3/1.4</f>
        <v>1.1096428571428574</v>
      </c>
      <c r="K5" s="18">
        <f>0.09*28/1.4</f>
        <v>1.8</v>
      </c>
      <c r="L5">
        <v>0</v>
      </c>
    </row>
    <row r="6" spans="1:17" x14ac:dyDescent="0.2">
      <c r="A6" s="26" t="s">
        <v>119</v>
      </c>
      <c r="B6" s="26"/>
      <c r="C6" t="s">
        <v>122</v>
      </c>
      <c r="D6">
        <v>0</v>
      </c>
      <c r="E6">
        <f>3.7/1.3</f>
        <v>2.8461538461538463</v>
      </c>
      <c r="F6" t="s">
        <v>114</v>
      </c>
      <c r="G6" s="24">
        <f>H6+I6</f>
        <v>1.2030769230769232</v>
      </c>
      <c r="I6" s="98">
        <f>1.564/1.3</f>
        <v>1.2030769230769232</v>
      </c>
      <c r="J6" s="98">
        <f>0.954/1.3</f>
        <v>0.73384615384615381</v>
      </c>
      <c r="K6" s="18">
        <f>0.037*28/1.3</f>
        <v>0.79692307692307696</v>
      </c>
      <c r="L6">
        <v>0</v>
      </c>
      <c r="M6" s="34">
        <f>613*Ref!B18</f>
        <v>2.2067999999999999</v>
      </c>
      <c r="Q6" t="s">
        <v>127</v>
      </c>
    </row>
    <row r="7" spans="1:17" x14ac:dyDescent="0.2">
      <c r="A7" s="26" t="s">
        <v>120</v>
      </c>
      <c r="B7" s="26"/>
      <c r="C7" t="s">
        <v>122</v>
      </c>
      <c r="D7">
        <v>0</v>
      </c>
      <c r="E7">
        <f>3.7/1.3</f>
        <v>2.8461538461538463</v>
      </c>
      <c r="F7" t="s">
        <v>114</v>
      </c>
      <c r="G7" s="24">
        <f>H7+I7</f>
        <v>2.25</v>
      </c>
      <c r="I7" s="98">
        <f>2.925/1.3</f>
        <v>2.25</v>
      </c>
      <c r="J7" s="98">
        <v>0</v>
      </c>
      <c r="K7" s="18">
        <f>0.049*28/1.3</f>
        <v>1.0553846153846154</v>
      </c>
      <c r="L7">
        <v>0</v>
      </c>
      <c r="M7" s="34">
        <f>1122*Ref!B18</f>
        <v>4.0392000000000001</v>
      </c>
      <c r="Q7" t="s">
        <v>127</v>
      </c>
    </row>
    <row r="8" spans="1:17" x14ac:dyDescent="0.2">
      <c r="A8" s="99" t="s">
        <v>128</v>
      </c>
      <c r="B8" s="99"/>
      <c r="C8" t="s">
        <v>122</v>
      </c>
      <c r="D8">
        <v>0</v>
      </c>
      <c r="E8">
        <f>1/0.364</f>
        <v>2.7472527472527473</v>
      </c>
      <c r="F8" t="s">
        <v>114</v>
      </c>
      <c r="G8" s="24">
        <f t="shared" ref="G8" si="0">H8+I8</f>
        <v>0.54300000000000004</v>
      </c>
      <c r="I8" s="100">
        <v>0.54300000000000004</v>
      </c>
      <c r="J8" s="98"/>
      <c r="K8" s="18">
        <f>0.0365*28</f>
        <v>1.022</v>
      </c>
      <c r="L8">
        <v>0</v>
      </c>
    </row>
    <row r="9" spans="1:17" x14ac:dyDescent="0.2">
      <c r="A9" s="99" t="s">
        <v>129</v>
      </c>
      <c r="B9" s="99"/>
      <c r="C9" t="s">
        <v>122</v>
      </c>
      <c r="D9">
        <v>0</v>
      </c>
      <c r="E9">
        <f>1/0.341</f>
        <v>2.9325513196480935</v>
      </c>
      <c r="F9" t="s">
        <v>114</v>
      </c>
      <c r="G9" s="24">
        <f>H9+I9</f>
        <v>1.3819999999999999</v>
      </c>
      <c r="I9" s="100">
        <v>1.3819999999999999</v>
      </c>
      <c r="J9" s="98"/>
      <c r="K9" s="18">
        <f>0.047*28</f>
        <v>1.3160000000000001</v>
      </c>
      <c r="L9">
        <v>0</v>
      </c>
    </row>
    <row r="10" spans="1:17" s="29" customFormat="1" ht="16" thickBot="1" x14ac:dyDescent="0.25">
      <c r="A10" s="29" t="s">
        <v>3</v>
      </c>
      <c r="C10" s="29" t="s">
        <v>122</v>
      </c>
      <c r="D10" s="29">
        <f>D5</f>
        <v>0.37466000000000005</v>
      </c>
      <c r="E10" s="29">
        <f t="shared" ref="E10:P10" si="1">E5</f>
        <v>3.4621428571428576</v>
      </c>
      <c r="F10" s="29" t="str">
        <f t="shared" si="1"/>
        <v>dry cleft timber</v>
      </c>
      <c r="G10" s="29">
        <f t="shared" si="1"/>
        <v>1.7271428571428573</v>
      </c>
      <c r="H10" s="35">
        <f t="shared" si="1"/>
        <v>0</v>
      </c>
      <c r="I10" s="35">
        <f t="shared" si="1"/>
        <v>1.7271428571428573</v>
      </c>
      <c r="J10" s="35">
        <f t="shared" si="1"/>
        <v>1.1096428571428574</v>
      </c>
      <c r="K10" s="29">
        <f t="shared" si="1"/>
        <v>1.8</v>
      </c>
      <c r="L10" s="29">
        <f t="shared" si="1"/>
        <v>0</v>
      </c>
      <c r="M10" s="35">
        <f t="shared" si="1"/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</row>
    <row r="11" spans="1:17" ht="16" x14ac:dyDescent="0.2">
      <c r="A11" s="32" t="s">
        <v>78</v>
      </c>
      <c r="B11" s="32" t="s">
        <v>136</v>
      </c>
      <c r="C11" t="str">
        <f>C$9</f>
        <v>diesel</v>
      </c>
      <c r="D11">
        <f t="shared" ref="D11:L19" si="2">D$9</f>
        <v>0</v>
      </c>
      <c r="E11">
        <f t="shared" si="2"/>
        <v>2.9325513196480935</v>
      </c>
      <c r="F11" t="str">
        <f t="shared" si="2"/>
        <v>dry cleft timber</v>
      </c>
      <c r="G11">
        <f t="shared" si="2"/>
        <v>1.3819999999999999</v>
      </c>
      <c r="H11" s="34">
        <f t="shared" si="2"/>
        <v>0</v>
      </c>
      <c r="I11" s="34">
        <f t="shared" si="2"/>
        <v>1.3819999999999999</v>
      </c>
      <c r="J11"/>
      <c r="K11">
        <f t="shared" si="2"/>
        <v>1.3160000000000001</v>
      </c>
      <c r="L11">
        <f t="shared" si="2"/>
        <v>0</v>
      </c>
      <c r="M11"/>
      <c r="N11"/>
      <c r="O11"/>
      <c r="P11"/>
    </row>
    <row r="12" spans="1:17" ht="16" x14ac:dyDescent="0.2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>
        <f t="shared" si="2"/>
        <v>2.9325513196480935</v>
      </c>
      <c r="F12" t="str">
        <f t="shared" si="2"/>
        <v>dry cleft timber</v>
      </c>
      <c r="G12">
        <f t="shared" si="2"/>
        <v>1.3819999999999999</v>
      </c>
      <c r="H12" s="34">
        <f t="shared" si="2"/>
        <v>0</v>
      </c>
      <c r="I12" s="34">
        <f t="shared" si="2"/>
        <v>1.3819999999999999</v>
      </c>
      <c r="J12"/>
      <c r="K12">
        <f t="shared" si="2"/>
        <v>1.3160000000000001</v>
      </c>
      <c r="L12">
        <f t="shared" si="2"/>
        <v>0</v>
      </c>
      <c r="M12"/>
      <c r="N12"/>
      <c r="O12"/>
      <c r="P12"/>
    </row>
    <row r="13" spans="1:17" s="29" customFormat="1" ht="17" thickBot="1" x14ac:dyDescent="0.25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29">
        <f t="shared" si="2"/>
        <v>2.9325513196480935</v>
      </c>
      <c r="F13" s="29" t="str">
        <f t="shared" si="2"/>
        <v>dry cleft timber</v>
      </c>
      <c r="G13" s="29">
        <f t="shared" si="2"/>
        <v>1.3819999999999999</v>
      </c>
      <c r="H13" s="35">
        <f t="shared" si="2"/>
        <v>0</v>
      </c>
      <c r="I13" s="35">
        <f t="shared" si="2"/>
        <v>1.3819999999999999</v>
      </c>
      <c r="K13" s="29">
        <f t="shared" si="2"/>
        <v>1.3160000000000001</v>
      </c>
      <c r="L13" s="29">
        <f t="shared" si="2"/>
        <v>0</v>
      </c>
    </row>
    <row r="14" spans="1:17" ht="16" x14ac:dyDescent="0.2">
      <c r="A14" s="53" t="s">
        <v>63</v>
      </c>
      <c r="B14" s="32" t="s">
        <v>136</v>
      </c>
      <c r="C14" t="str">
        <f>C$9</f>
        <v>diesel</v>
      </c>
      <c r="D14">
        <f t="shared" si="2"/>
        <v>0</v>
      </c>
      <c r="E14">
        <f t="shared" si="2"/>
        <v>2.9325513196480935</v>
      </c>
      <c r="F14" t="str">
        <f t="shared" si="2"/>
        <v>dry cleft timber</v>
      </c>
      <c r="G14">
        <f t="shared" si="2"/>
        <v>1.3819999999999999</v>
      </c>
      <c r="H14" s="34">
        <f t="shared" si="2"/>
        <v>0</v>
      </c>
      <c r="I14" s="34">
        <f t="shared" si="2"/>
        <v>1.3819999999999999</v>
      </c>
      <c r="J14"/>
      <c r="K14">
        <f t="shared" si="2"/>
        <v>1.3160000000000001</v>
      </c>
      <c r="L14">
        <f t="shared" si="2"/>
        <v>0</v>
      </c>
      <c r="M14"/>
      <c r="N14"/>
      <c r="O14"/>
      <c r="P14"/>
    </row>
    <row r="15" spans="1:17" ht="16" x14ac:dyDescent="0.2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>
        <f t="shared" si="2"/>
        <v>2.9325513196480935</v>
      </c>
      <c r="F15" t="str">
        <f t="shared" si="2"/>
        <v>dry cleft timber</v>
      </c>
      <c r="G15">
        <f t="shared" si="2"/>
        <v>1.3819999999999999</v>
      </c>
      <c r="H15" s="34">
        <f t="shared" si="2"/>
        <v>0</v>
      </c>
      <c r="I15" s="34">
        <f t="shared" si="2"/>
        <v>1.3819999999999999</v>
      </c>
      <c r="J15"/>
      <c r="K15">
        <f t="shared" si="2"/>
        <v>1.3160000000000001</v>
      </c>
      <c r="L15">
        <f t="shared" si="2"/>
        <v>0</v>
      </c>
      <c r="M15"/>
      <c r="N15"/>
      <c r="O15"/>
      <c r="P15"/>
    </row>
    <row r="16" spans="1:17" s="29" customFormat="1" ht="17" thickBot="1" x14ac:dyDescent="0.25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29">
        <f t="shared" si="2"/>
        <v>2.9325513196480935</v>
      </c>
      <c r="F16" s="29" t="str">
        <f t="shared" si="2"/>
        <v>dry cleft timber</v>
      </c>
      <c r="G16" s="29">
        <f t="shared" si="2"/>
        <v>1.3819999999999999</v>
      </c>
      <c r="H16" s="35">
        <f t="shared" si="2"/>
        <v>0</v>
      </c>
      <c r="I16" s="35">
        <f t="shared" si="2"/>
        <v>1.3819999999999999</v>
      </c>
      <c r="K16" s="29">
        <f t="shared" si="2"/>
        <v>1.3160000000000001</v>
      </c>
      <c r="L16" s="29">
        <f t="shared" si="2"/>
        <v>0</v>
      </c>
    </row>
    <row r="17" spans="1:16" ht="16" x14ac:dyDescent="0.2">
      <c r="A17" s="46" t="s">
        <v>64</v>
      </c>
      <c r="B17" s="32" t="s">
        <v>136</v>
      </c>
      <c r="C17" t="str">
        <f>C$9</f>
        <v>diesel</v>
      </c>
      <c r="D17">
        <f t="shared" si="2"/>
        <v>0</v>
      </c>
      <c r="E17">
        <f t="shared" si="2"/>
        <v>2.9325513196480935</v>
      </c>
      <c r="F17" t="str">
        <f t="shared" si="2"/>
        <v>dry cleft timber</v>
      </c>
      <c r="G17">
        <f t="shared" si="2"/>
        <v>1.3819999999999999</v>
      </c>
      <c r="H17" s="34">
        <f t="shared" si="2"/>
        <v>0</v>
      </c>
      <c r="I17" s="34">
        <f t="shared" si="2"/>
        <v>1.3819999999999999</v>
      </c>
      <c r="J17"/>
      <c r="K17">
        <f t="shared" si="2"/>
        <v>1.3160000000000001</v>
      </c>
      <c r="L17">
        <f t="shared" si="2"/>
        <v>0</v>
      </c>
      <c r="M17"/>
      <c r="N17"/>
      <c r="O17"/>
      <c r="P17"/>
    </row>
    <row r="18" spans="1:16" ht="16" x14ac:dyDescent="0.2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>
        <f t="shared" si="2"/>
        <v>2.9325513196480935</v>
      </c>
      <c r="F18" t="str">
        <f t="shared" si="2"/>
        <v>dry cleft timber</v>
      </c>
      <c r="G18">
        <f t="shared" si="2"/>
        <v>1.3819999999999999</v>
      </c>
      <c r="H18" s="34">
        <f t="shared" si="2"/>
        <v>0</v>
      </c>
      <c r="I18" s="34">
        <f t="shared" si="2"/>
        <v>1.3819999999999999</v>
      </c>
      <c r="J18"/>
      <c r="K18">
        <f t="shared" si="2"/>
        <v>1.3160000000000001</v>
      </c>
      <c r="L18">
        <f t="shared" si="2"/>
        <v>0</v>
      </c>
      <c r="M18"/>
      <c r="N18"/>
      <c r="O18"/>
      <c r="P18"/>
    </row>
    <row r="19" spans="1:16" s="35" customFormat="1" ht="17" thickBot="1" x14ac:dyDescent="0.25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29">
        <f t="shared" si="2"/>
        <v>2.9325513196480935</v>
      </c>
      <c r="F19" s="29" t="str">
        <f t="shared" si="2"/>
        <v>dry cleft timber</v>
      </c>
      <c r="G19" s="29">
        <f t="shared" si="2"/>
        <v>1.3819999999999999</v>
      </c>
      <c r="H19" s="35">
        <f t="shared" si="2"/>
        <v>0</v>
      </c>
      <c r="I19" s="35">
        <f t="shared" si="2"/>
        <v>1.3819999999999999</v>
      </c>
      <c r="J19" s="29"/>
      <c r="K19" s="29">
        <f t="shared" si="2"/>
        <v>1.3160000000000001</v>
      </c>
      <c r="L19" s="29">
        <f t="shared" si="2"/>
        <v>0</v>
      </c>
      <c r="M19" s="29"/>
      <c r="N19" s="29"/>
      <c r="O19" s="29"/>
      <c r="P19" s="2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6" width="11.6640625" customWidth="1"/>
    <col min="7" max="7" width="14.83203125" customWidth="1"/>
    <col min="8" max="8" width="27.5" bestFit="1" customWidth="1"/>
    <col min="9" max="9" width="15.33203125" customWidth="1"/>
    <col min="10" max="11" width="11.33203125" customWidth="1"/>
    <col min="12" max="12" width="18.5" customWidth="1"/>
  </cols>
  <sheetData>
    <row r="1" spans="1:15" x14ac:dyDescent="0.2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t="s">
        <v>8</v>
      </c>
      <c r="G1" t="s">
        <v>86</v>
      </c>
      <c r="H1" t="s">
        <v>88</v>
      </c>
      <c r="I1" t="s">
        <v>35</v>
      </c>
      <c r="J1" t="s">
        <v>95</v>
      </c>
      <c r="K1" t="s">
        <v>92</v>
      </c>
      <c r="L1" t="s">
        <v>4</v>
      </c>
      <c r="M1" t="s">
        <v>91</v>
      </c>
      <c r="N1" t="s">
        <v>97</v>
      </c>
      <c r="O1" t="s">
        <v>99</v>
      </c>
    </row>
    <row r="2" spans="1:15" s="3" customFormat="1" x14ac:dyDescent="0.2">
      <c r="A2" s="3" t="s">
        <v>1</v>
      </c>
      <c r="D2" s="3" t="s">
        <v>85</v>
      </c>
      <c r="E2" s="3" t="s">
        <v>69</v>
      </c>
      <c r="G2" s="3" t="s">
        <v>87</v>
      </c>
      <c r="I2" s="3" t="s">
        <v>71</v>
      </c>
      <c r="J2" s="3" t="s">
        <v>93</v>
      </c>
      <c r="K2" s="3" t="s">
        <v>93</v>
      </c>
      <c r="L2" s="3" t="s">
        <v>100</v>
      </c>
      <c r="M2" s="3" t="s">
        <v>105</v>
      </c>
      <c r="N2" s="3" t="s">
        <v>98</v>
      </c>
      <c r="O2" s="3" t="s">
        <v>98</v>
      </c>
    </row>
    <row r="3" spans="1:15" s="3" customFormat="1" x14ac:dyDescent="0.2">
      <c r="A3" s="3" t="s">
        <v>2</v>
      </c>
    </row>
    <row r="4" spans="1:15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21" t="s">
        <v>62</v>
      </c>
      <c r="G4" s="21">
        <v>0.78900000000000003</v>
      </c>
      <c r="H4" s="21" t="s">
        <v>102</v>
      </c>
      <c r="I4" s="21">
        <v>0.21</v>
      </c>
      <c r="J4" s="21">
        <v>0.17</v>
      </c>
      <c r="K4" s="21">
        <v>0.47</v>
      </c>
      <c r="L4" s="21">
        <v>0</v>
      </c>
      <c r="M4" s="22">
        <f>(K4/44)*2*61*(1-0.99)</f>
        <v>1.3031818181818193E-2</v>
      </c>
      <c r="N4" s="21">
        <v>0.45</v>
      </c>
      <c r="O4" s="21">
        <v>0.73399999999999999</v>
      </c>
    </row>
    <row r="5" spans="1:15" s="21" customFormat="1" x14ac:dyDescent="0.2">
      <c r="A5" s="21" t="s">
        <v>103</v>
      </c>
      <c r="C5" s="21" t="s">
        <v>59</v>
      </c>
      <c r="D5" s="21">
        <v>0</v>
      </c>
      <c r="E5" s="21">
        <v>0</v>
      </c>
      <c r="F5" s="21" t="s">
        <v>62</v>
      </c>
      <c r="G5" s="38">
        <f>(0.36+0.01)/1.15</f>
        <v>0.32173913043478264</v>
      </c>
      <c r="H5" s="21" t="s">
        <v>102</v>
      </c>
      <c r="I5" s="21">
        <v>0</v>
      </c>
      <c r="J5" s="38">
        <f>0.32/1.15</f>
        <v>0.27826086956521739</v>
      </c>
      <c r="K5" s="21">
        <v>0</v>
      </c>
      <c r="L5" s="38">
        <f>0.027/1.15*Ref!B18*1000</f>
        <v>8.4521739130434786E-2</v>
      </c>
      <c r="M5" s="87">
        <f>K5*0.0016</f>
        <v>0</v>
      </c>
      <c r="N5" s="21">
        <v>0.14299999999999999</v>
      </c>
      <c r="O5" s="27">
        <v>0</v>
      </c>
    </row>
    <row r="6" spans="1:15" s="21" customFormat="1" x14ac:dyDescent="0.2">
      <c r="A6" s="21" t="s">
        <v>104</v>
      </c>
      <c r="C6" s="21" t="s">
        <v>59</v>
      </c>
      <c r="D6" s="21">
        <v>0</v>
      </c>
      <c r="E6" s="21">
        <v>0</v>
      </c>
      <c r="F6" s="21" t="s">
        <v>62</v>
      </c>
      <c r="G6" s="38">
        <v>1.52</v>
      </c>
      <c r="H6" s="21" t="s">
        <v>102</v>
      </c>
      <c r="I6" s="27">
        <v>0.1918</v>
      </c>
      <c r="J6" s="38">
        <v>0.193</v>
      </c>
      <c r="K6" s="21">
        <f>1.29-0.05</f>
        <v>1.24</v>
      </c>
      <c r="L6" s="38">
        <v>0</v>
      </c>
      <c r="M6" s="87">
        <f>K6*0.0015</f>
        <v>1.8600000000000001E-3</v>
      </c>
      <c r="N6" s="40">
        <v>2</v>
      </c>
      <c r="O6" s="21">
        <v>0</v>
      </c>
    </row>
    <row r="7" spans="1:15" s="29" customFormat="1" ht="16" thickBot="1" x14ac:dyDescent="0.25">
      <c r="A7" s="29" t="s">
        <v>101</v>
      </c>
      <c r="C7" s="29" t="str">
        <f>C4</f>
        <v>natural gas - IPCC</v>
      </c>
      <c r="D7" s="29">
        <f t="shared" ref="D7:O7" si="0">D4</f>
        <v>0</v>
      </c>
      <c r="E7" s="29">
        <f t="shared" si="0"/>
        <v>0</v>
      </c>
      <c r="F7" s="29" t="str">
        <f t="shared" si="0"/>
        <v>charcoal - IPCC</v>
      </c>
      <c r="G7" s="29">
        <v>0.6</v>
      </c>
      <c r="H7" s="29" t="s">
        <v>96</v>
      </c>
      <c r="I7" s="29">
        <f t="shared" si="0"/>
        <v>0.21</v>
      </c>
      <c r="J7" s="29">
        <f t="shared" si="0"/>
        <v>0.17</v>
      </c>
      <c r="K7" s="29">
        <f t="shared" si="0"/>
        <v>0.47</v>
      </c>
      <c r="L7" s="29">
        <f t="shared" si="0"/>
        <v>0</v>
      </c>
      <c r="M7" s="89">
        <f>K7*0.0015</f>
        <v>7.0500000000000001E-4</v>
      </c>
      <c r="N7" s="29">
        <f t="shared" si="0"/>
        <v>0.45</v>
      </c>
      <c r="O7" s="29">
        <f t="shared" si="0"/>
        <v>0.73399999999999999</v>
      </c>
    </row>
    <row r="8" spans="1:15" s="1" customFormat="1" ht="16" x14ac:dyDescent="0.2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39" t="s">
        <v>62</v>
      </c>
      <c r="G8" s="43">
        <v>1.52</v>
      </c>
      <c r="H8" s="39" t="s">
        <v>102</v>
      </c>
      <c r="I8" s="33">
        <v>0.1918</v>
      </c>
      <c r="J8" s="50">
        <v>0.193</v>
      </c>
      <c r="K8" s="39">
        <f>1.29-0.05</f>
        <v>1.24</v>
      </c>
      <c r="L8" s="43">
        <f>K8*90*Ref!B$18</f>
        <v>0.40175999999999995</v>
      </c>
      <c r="M8" s="91">
        <f>K8*0.0015</f>
        <v>1.8600000000000001E-3</v>
      </c>
      <c r="N8" s="92">
        <v>2</v>
      </c>
      <c r="O8" s="39">
        <v>0</v>
      </c>
    </row>
    <row r="9" spans="1:15" ht="16" x14ac:dyDescent="0.2">
      <c r="A9" t="s">
        <v>73</v>
      </c>
      <c r="B9" s="25" t="str">
        <f>B8</f>
        <v>steel</v>
      </c>
      <c r="C9" t="str">
        <f t="shared" ref="C9:M9" si="1">C8</f>
        <v>natural gas - IPCC</v>
      </c>
      <c r="D9">
        <f t="shared" si="1"/>
        <v>0</v>
      </c>
      <c r="E9" s="85">
        <v>0.5</v>
      </c>
      <c r="F9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 t="shared" si="1"/>
        <v>0.1918</v>
      </c>
      <c r="J9" s="18">
        <f t="shared" si="1"/>
        <v>0.193</v>
      </c>
      <c r="K9">
        <f t="shared" si="1"/>
        <v>1.24</v>
      </c>
      <c r="L9" s="24">
        <f t="shared" si="1"/>
        <v>0.40175999999999995</v>
      </c>
      <c r="M9" s="88">
        <f t="shared" si="1"/>
        <v>1.8600000000000001E-3</v>
      </c>
      <c r="N9">
        <f>N8</f>
        <v>2</v>
      </c>
      <c r="O9">
        <f>O8</f>
        <v>0</v>
      </c>
    </row>
    <row r="10" spans="1:15" s="29" customFormat="1" ht="17" thickBot="1" x14ac:dyDescent="0.25">
      <c r="A10" s="29" t="s">
        <v>74</v>
      </c>
      <c r="B10" s="30" t="str">
        <f>B8</f>
        <v>steel</v>
      </c>
      <c r="C10" s="29" t="str">
        <f t="shared" ref="C10:M10" si="2">C8</f>
        <v>natural gas - IPCC</v>
      </c>
      <c r="D10" s="29">
        <f t="shared" si="2"/>
        <v>0</v>
      </c>
      <c r="E10" s="31">
        <v>1</v>
      </c>
      <c r="F10" s="29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 t="shared" si="2"/>
        <v>0.1918</v>
      </c>
      <c r="J10" s="28">
        <f t="shared" si="2"/>
        <v>0.193</v>
      </c>
      <c r="K10" s="29">
        <f t="shared" si="2"/>
        <v>1.24</v>
      </c>
      <c r="L10" s="37">
        <f t="shared" si="2"/>
        <v>0.40175999999999995</v>
      </c>
      <c r="M10" s="89">
        <f t="shared" si="2"/>
        <v>1.8600000000000001E-3</v>
      </c>
      <c r="N10" s="29">
        <f>N8</f>
        <v>2</v>
      </c>
      <c r="O10" s="29">
        <f>O8</f>
        <v>0</v>
      </c>
    </row>
    <row r="11" spans="1:15" s="1" customFormat="1" ht="16" x14ac:dyDescent="0.2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39" t="s">
        <v>62</v>
      </c>
      <c r="G11" s="43">
        <v>1.52</v>
      </c>
      <c r="H11" s="39" t="s">
        <v>102</v>
      </c>
      <c r="I11" s="33">
        <v>0.1918</v>
      </c>
      <c r="J11" s="50">
        <v>0.193</v>
      </c>
      <c r="K11" s="39">
        <f>1.29-0.05</f>
        <v>1.24</v>
      </c>
      <c r="L11" s="43">
        <f>K11*90*Ref!B$18</f>
        <v>0.40175999999999995</v>
      </c>
      <c r="M11" s="91">
        <f>K11*0.0015</f>
        <v>1.8600000000000001E-3</v>
      </c>
      <c r="N11" s="92">
        <v>2</v>
      </c>
      <c r="O11" s="39">
        <v>0</v>
      </c>
    </row>
    <row r="12" spans="1:15" ht="16" x14ac:dyDescent="0.2">
      <c r="A12" t="s">
        <v>76</v>
      </c>
      <c r="B12" s="25" t="str">
        <f>B11</f>
        <v>steel</v>
      </c>
      <c r="C12" t="str">
        <f t="shared" ref="C12:M12" si="3">C11</f>
        <v>natural gas - IPCC</v>
      </c>
      <c r="D12">
        <f t="shared" si="3"/>
        <v>0</v>
      </c>
      <c r="E12" s="85">
        <v>0.5</v>
      </c>
      <c r="F12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 t="shared" si="3"/>
        <v>0.1918</v>
      </c>
      <c r="J12" s="18">
        <f t="shared" si="3"/>
        <v>0.193</v>
      </c>
      <c r="K12">
        <f t="shared" si="3"/>
        <v>1.24</v>
      </c>
      <c r="L12" s="24">
        <f t="shared" si="3"/>
        <v>0.40175999999999995</v>
      </c>
      <c r="M12" s="88">
        <f t="shared" si="3"/>
        <v>1.8600000000000001E-3</v>
      </c>
      <c r="N12">
        <f>N11</f>
        <v>2</v>
      </c>
      <c r="O12">
        <f>O11</f>
        <v>0</v>
      </c>
    </row>
    <row r="13" spans="1:15" s="29" customFormat="1" ht="17" thickBot="1" x14ac:dyDescent="0.25">
      <c r="A13" s="29" t="s">
        <v>77</v>
      </c>
      <c r="B13" s="30" t="str">
        <f>B11</f>
        <v>steel</v>
      </c>
      <c r="C13" s="29" t="str">
        <f t="shared" ref="C13:M13" si="4">C11</f>
        <v>natural gas - IPCC</v>
      </c>
      <c r="D13" s="29">
        <f t="shared" si="4"/>
        <v>0</v>
      </c>
      <c r="E13" s="31">
        <v>1</v>
      </c>
      <c r="F13" s="29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 t="shared" si="4"/>
        <v>0.1918</v>
      </c>
      <c r="J13" s="28">
        <f t="shared" si="4"/>
        <v>0.193</v>
      </c>
      <c r="K13" s="29">
        <f t="shared" si="4"/>
        <v>1.24</v>
      </c>
      <c r="L13" s="37">
        <f t="shared" si="4"/>
        <v>0.40175999999999995</v>
      </c>
      <c r="M13" s="89">
        <f t="shared" si="4"/>
        <v>1.8600000000000001E-3</v>
      </c>
      <c r="N13" s="29">
        <f>N11</f>
        <v>2</v>
      </c>
      <c r="O13" s="29">
        <f>O11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6"/>
  <sheetViews>
    <sheetView workbookViewId="0">
      <selection activeCell="B8" sqref="B8:B22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ht="16" x14ac:dyDescent="0.2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ht="16" x14ac:dyDescent="0.2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ht="16" x14ac:dyDescent="0.2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ht="16" x14ac:dyDescent="0.2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ht="16" x14ac:dyDescent="0.2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7" thickBot="1" x14ac:dyDescent="0.25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ht="16" x14ac:dyDescent="0.2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ht="16" x14ac:dyDescent="0.2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">
      <c r="D23" s="20"/>
      <c r="E23" s="20"/>
    </row>
    <row r="24" spans="1:5" s="39" customFormat="1" x14ac:dyDescent="0.2">
      <c r="A24" s="21"/>
      <c r="B24" s="21"/>
      <c r="C24" s="20"/>
      <c r="D24" s="20"/>
      <c r="E24" s="20"/>
    </row>
    <row r="25" spans="1:5" s="21" customFormat="1" x14ac:dyDescent="0.2">
      <c r="C25" s="20"/>
      <c r="D25" s="20"/>
      <c r="E25" s="20"/>
    </row>
    <row r="26" spans="1:5" s="21" customFormat="1" x14ac:dyDescent="0.2">
      <c r="C26" s="20"/>
      <c r="D26" s="20"/>
      <c r="E26" s="20"/>
    </row>
    <row r="27" spans="1:5" s="21" customFormat="1" x14ac:dyDescent="0.2">
      <c r="C27" s="20"/>
      <c r="D27" s="20"/>
      <c r="E27" s="20"/>
    </row>
    <row r="28" spans="1:5" s="39" customFormat="1" x14ac:dyDescent="0.2">
      <c r="A28" s="21"/>
      <c r="B28" s="21"/>
      <c r="C28" s="20"/>
      <c r="D28" s="20"/>
      <c r="E28" s="20"/>
    </row>
    <row r="29" spans="1:5" s="21" customFormat="1" x14ac:dyDescent="0.2">
      <c r="C29" s="20"/>
      <c r="D29" s="20"/>
      <c r="E29" s="20"/>
    </row>
    <row r="30" spans="1:5" s="21" customFormat="1" x14ac:dyDescent="0.2">
      <c r="C30" s="20"/>
      <c r="D30" s="20"/>
      <c r="E30" s="20"/>
    </row>
    <row r="31" spans="1:5" s="21" customFormat="1" x14ac:dyDescent="0.2">
      <c r="C31" s="20"/>
      <c r="D31" s="20"/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workbookViewId="0">
      <selection activeCell="B8" sqref="B8:B22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3.1640625" style="20" bestFit="1" customWidth="1"/>
    <col min="4" max="4" width="13.16406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6" thickBot="1" x14ac:dyDescent="0.25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ht="16" x14ac:dyDescent="0.2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ht="16" x14ac:dyDescent="0.2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ht="16" x14ac:dyDescent="0.2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ht="16" x14ac:dyDescent="0.2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7" thickBot="1" x14ac:dyDescent="0.25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C23" s="20"/>
      <c r="D23" s="20"/>
      <c r="E23" s="20"/>
      <c r="F23" s="20"/>
      <c r="G23" s="20"/>
      <c r="H23" s="20"/>
      <c r="I23" s="20"/>
      <c r="J23" s="20"/>
      <c r="K23" s="20"/>
    </row>
    <row r="24" spans="1:11" s="39" customFormat="1" x14ac:dyDescent="0.2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2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2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7"/>
  <sheetViews>
    <sheetView workbookViewId="0">
      <selection activeCell="B19" sqref="B1:B19"/>
    </sheetView>
  </sheetViews>
  <sheetFormatPr baseColWidth="10" defaultColWidth="8.83203125" defaultRowHeight="15" x14ac:dyDescent="0.2"/>
  <cols>
    <col min="1" max="1" width="10.664062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8" width="15.83203125" style="20" customWidth="1"/>
    <col min="9" max="9" width="15.83203125" style="47" customWidth="1"/>
    <col min="10" max="10" width="19" style="20" bestFit="1" customWidth="1"/>
    <col min="11" max="11" width="17.83203125" style="20" bestFit="1" customWidth="1"/>
    <col min="12" max="16384" width="8.83203125" style="21"/>
  </cols>
  <sheetData>
    <row r="1" spans="1:11" x14ac:dyDescent="0.2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">
      <c r="A3" s="48" t="s">
        <v>2</v>
      </c>
      <c r="B3" s="48"/>
    </row>
    <row r="4" spans="1:11" s="29" customFormat="1" ht="16" thickBot="1" x14ac:dyDescent="0.25">
      <c r="A4" s="29" t="s">
        <v>3</v>
      </c>
      <c r="C4" s="41"/>
      <c r="D4" s="41"/>
      <c r="E4" s="41"/>
      <c r="F4" s="41"/>
      <c r="G4" s="41"/>
      <c r="H4" s="41"/>
      <c r="I4" s="82"/>
      <c r="J4" s="41"/>
      <c r="K4" s="41"/>
    </row>
    <row r="5" spans="1:11" s="39" customFormat="1" ht="17.25" customHeight="1" x14ac:dyDescent="0.2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ht="16" x14ac:dyDescent="0.2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25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ht="16" x14ac:dyDescent="0.2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7" thickBot="1" x14ac:dyDescent="0.25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ht="16" x14ac:dyDescent="0.2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7" thickBot="1" x14ac:dyDescent="0.25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ht="16" x14ac:dyDescent="0.2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ht="16" x14ac:dyDescent="0.2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7" thickBot="1" x14ac:dyDescent="0.25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ht="16" x14ac:dyDescent="0.2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ht="16" x14ac:dyDescent="0.2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7" thickBot="1" x14ac:dyDescent="0.25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1" spans="1:11" s="39" customFormat="1" x14ac:dyDescent="0.2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9"/>
    </sheetView>
  </sheetViews>
  <sheetFormatPr baseColWidth="10" defaultColWidth="8.83203125" defaultRowHeight="15" x14ac:dyDescent="0.2"/>
  <cols>
    <col min="1" max="1" width="11.33203125" style="21" customWidth="1"/>
    <col min="2" max="2" width="15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9" sqref="B1:B19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zoomScaleNormal="100" workbookViewId="0">
      <selection activeCell="B1" sqref="B1:B19"/>
    </sheetView>
  </sheetViews>
  <sheetFormatPr baseColWidth="10" defaultColWidth="11.5" defaultRowHeight="15" x14ac:dyDescent="0.2"/>
  <sheetData>
    <row r="1" spans="1:4" x14ac:dyDescent="0.2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">
      <c r="A2" s="73" t="s">
        <v>38</v>
      </c>
      <c r="B2" s="48"/>
      <c r="C2" s="74" t="s">
        <v>132</v>
      </c>
      <c r="D2" s="75" t="s">
        <v>50</v>
      </c>
    </row>
    <row r="3" spans="1:4" x14ac:dyDescent="0.2">
      <c r="A3" s="73" t="s">
        <v>2</v>
      </c>
      <c r="B3" s="48"/>
      <c r="C3" s="74" t="s">
        <v>52</v>
      </c>
      <c r="D3" s="76"/>
    </row>
    <row r="4" spans="1:4" ht="16" thickBot="1" x14ac:dyDescent="0.25">
      <c r="A4" s="79" t="s">
        <v>3</v>
      </c>
      <c r="B4" s="29"/>
      <c r="C4" s="43">
        <v>0</v>
      </c>
      <c r="D4" s="80">
        <v>0.32</v>
      </c>
    </row>
    <row r="5" spans="1:4" ht="16" x14ac:dyDescent="0.2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ht="16" x14ac:dyDescent="0.2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ht="16" x14ac:dyDescent="0.2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2019-10-12T23:41:22Z</dcterms:modified>
</cp:coreProperties>
</file>