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4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5" l="1"/>
  <c r="H34" i="15"/>
  <c r="G34" i="15"/>
  <c r="F34" i="15"/>
  <c r="E34" i="15"/>
  <c r="D34" i="15"/>
  <c r="C34" i="15"/>
  <c r="B34" i="15"/>
  <c r="K33" i="15"/>
  <c r="H33" i="15"/>
  <c r="G33" i="15"/>
  <c r="F33" i="15"/>
  <c r="E33" i="15"/>
  <c r="D33" i="15"/>
  <c r="C33" i="15"/>
  <c r="B33" i="15"/>
  <c r="K30" i="15"/>
  <c r="H30" i="15"/>
  <c r="G30" i="15"/>
  <c r="F30" i="15"/>
  <c r="E30" i="15"/>
  <c r="D30" i="15"/>
  <c r="C30" i="15"/>
  <c r="B30" i="15"/>
  <c r="H28" i="15"/>
  <c r="K28" i="15"/>
  <c r="G28" i="15"/>
  <c r="F28" i="15"/>
  <c r="E28" i="15"/>
  <c r="D28" i="15"/>
  <c r="C28" i="15"/>
  <c r="B28" i="15"/>
  <c r="B70" i="4"/>
  <c r="F70" i="4"/>
  <c r="C67" i="4"/>
  <c r="E67" i="4"/>
  <c r="G49" i="3"/>
  <c r="F49" i="3"/>
  <c r="C49" i="3"/>
  <c r="B49" i="3"/>
  <c r="B52" i="3"/>
  <c r="G74" i="4"/>
  <c r="G73" i="4"/>
  <c r="G72" i="4"/>
  <c r="G71" i="4"/>
  <c r="C74" i="4"/>
  <c r="C73" i="4"/>
  <c r="C72" i="4"/>
  <c r="C71" i="4"/>
  <c r="C69" i="4"/>
  <c r="C68" i="4"/>
  <c r="C66" i="4"/>
  <c r="G64" i="4"/>
  <c r="F64" i="4"/>
  <c r="G63" i="4"/>
  <c r="F63" i="4"/>
  <c r="G62" i="4"/>
  <c r="F62" i="4"/>
  <c r="G61" i="4"/>
  <c r="F61" i="4"/>
  <c r="C64" i="4"/>
  <c r="B64" i="4"/>
  <c r="C63" i="4"/>
  <c r="B63" i="4"/>
  <c r="C62" i="4"/>
  <c r="B62" i="4"/>
  <c r="C61" i="4"/>
  <c r="B61" i="4"/>
  <c r="G59" i="4"/>
  <c r="G58" i="4"/>
  <c r="G57" i="4"/>
  <c r="G56" i="4"/>
  <c r="C59" i="4"/>
  <c r="B59" i="4"/>
  <c r="C58" i="4"/>
  <c r="B58" i="4"/>
  <c r="C57" i="4"/>
  <c r="B57" i="4"/>
  <c r="C56" i="4"/>
  <c r="B56" i="4"/>
  <c r="G65" i="4"/>
  <c r="F65" i="4"/>
  <c r="B65" i="4"/>
  <c r="F55" i="4"/>
  <c r="C54" i="4"/>
  <c r="C53" i="4"/>
  <c r="C47" i="4"/>
  <c r="C52" i="4"/>
  <c r="C51" i="4"/>
  <c r="C46" i="4"/>
  <c r="C44" i="4"/>
  <c r="G42" i="4"/>
  <c r="G53" i="4" s="1"/>
  <c r="F42" i="4"/>
  <c r="F54" i="4" s="1"/>
  <c r="G41" i="4"/>
  <c r="G51" i="4" s="1"/>
  <c r="F41" i="4"/>
  <c r="F52" i="4" s="1"/>
  <c r="B42" i="4"/>
  <c r="B54" i="4" s="1"/>
  <c r="B41" i="4"/>
  <c r="B52" i="4" s="1"/>
  <c r="B21" i="4"/>
  <c r="C50" i="4"/>
  <c r="B50" i="4"/>
  <c r="C49" i="4"/>
  <c r="B49" i="4"/>
  <c r="C48" i="4"/>
  <c r="B48" i="4"/>
  <c r="C45" i="4"/>
  <c r="B45" i="4"/>
  <c r="C43" i="4"/>
  <c r="B43" i="4"/>
  <c r="G40" i="4"/>
  <c r="F40" i="4"/>
  <c r="G39" i="4"/>
  <c r="G38" i="4"/>
  <c r="C39" i="4"/>
  <c r="C38" i="4"/>
  <c r="G32" i="4"/>
  <c r="C32" i="4"/>
  <c r="G37" i="4"/>
  <c r="G36" i="4"/>
  <c r="C37" i="4"/>
  <c r="C36" i="4"/>
  <c r="G31" i="4"/>
  <c r="C31" i="4"/>
  <c r="G29" i="4"/>
  <c r="C29" i="4"/>
  <c r="C35" i="4"/>
  <c r="C34" i="4"/>
  <c r="C33" i="4"/>
  <c r="C30" i="4"/>
  <c r="C28" i="4"/>
  <c r="E73" i="4"/>
  <c r="E72" i="4"/>
  <c r="E71" i="4"/>
  <c r="D71" i="4"/>
  <c r="E68" i="4"/>
  <c r="E66" i="4"/>
  <c r="D66" i="4"/>
  <c r="E63" i="4"/>
  <c r="E62" i="4"/>
  <c r="E61" i="4"/>
  <c r="D61" i="4"/>
  <c r="E58" i="4"/>
  <c r="E57" i="4"/>
  <c r="E56" i="4"/>
  <c r="D56" i="4"/>
  <c r="E54" i="4"/>
  <c r="E53" i="4"/>
  <c r="E52" i="4"/>
  <c r="E51" i="4"/>
  <c r="D51" i="4"/>
  <c r="E48" i="4"/>
  <c r="E47" i="4"/>
  <c r="E46" i="4"/>
  <c r="E45" i="4"/>
  <c r="E44" i="4"/>
  <c r="D44" i="4"/>
  <c r="E43" i="4"/>
  <c r="D43" i="4"/>
  <c r="E39" i="4"/>
  <c r="E38" i="4"/>
  <c r="E37" i="4"/>
  <c r="E36" i="4"/>
  <c r="D36" i="4"/>
  <c r="E33" i="4"/>
  <c r="E32" i="4"/>
  <c r="E31" i="4"/>
  <c r="E30" i="4"/>
  <c r="E29" i="4"/>
  <c r="D29" i="4"/>
  <c r="E28" i="4"/>
  <c r="D28" i="4"/>
  <c r="F27" i="4"/>
  <c r="B27" i="4"/>
  <c r="F26" i="4"/>
  <c r="B26" i="4"/>
  <c r="G25" i="4"/>
  <c r="G35" i="4" s="1"/>
  <c r="F25" i="4"/>
  <c r="B25" i="4"/>
  <c r="G73" i="3"/>
  <c r="F73" i="3"/>
  <c r="G72" i="3"/>
  <c r="F72" i="3"/>
  <c r="G71" i="3"/>
  <c r="F71" i="3"/>
  <c r="G70" i="3"/>
  <c r="F70" i="3"/>
  <c r="C73" i="3"/>
  <c r="B73" i="3"/>
  <c r="C72" i="3"/>
  <c r="B72" i="3"/>
  <c r="C71" i="3"/>
  <c r="B71" i="3"/>
  <c r="C70" i="3"/>
  <c r="B70" i="3"/>
  <c r="G63" i="3"/>
  <c r="F63" i="3"/>
  <c r="G62" i="3"/>
  <c r="F62" i="3"/>
  <c r="G61" i="3"/>
  <c r="F61" i="3"/>
  <c r="G60" i="3"/>
  <c r="F60" i="3"/>
  <c r="C63" i="3"/>
  <c r="B63" i="3"/>
  <c r="C62" i="3"/>
  <c r="B62" i="3"/>
  <c r="C61" i="3"/>
  <c r="B61" i="3"/>
  <c r="C60" i="3"/>
  <c r="B60" i="3"/>
  <c r="G68" i="3"/>
  <c r="F68" i="3"/>
  <c r="G67" i="3"/>
  <c r="F67" i="3"/>
  <c r="G66" i="3"/>
  <c r="F66" i="3"/>
  <c r="G65" i="3"/>
  <c r="F65" i="3"/>
  <c r="C68" i="3"/>
  <c r="C67" i="3"/>
  <c r="C66" i="3"/>
  <c r="C65" i="3"/>
  <c r="G58" i="3"/>
  <c r="F58" i="3"/>
  <c r="G57" i="3"/>
  <c r="F57" i="3"/>
  <c r="G56" i="3"/>
  <c r="F56" i="3"/>
  <c r="G55" i="3"/>
  <c r="F55" i="3"/>
  <c r="C58" i="3"/>
  <c r="B58" i="3"/>
  <c r="C57" i="3"/>
  <c r="B57" i="3"/>
  <c r="C56" i="3"/>
  <c r="B56" i="3"/>
  <c r="C55" i="3"/>
  <c r="B55" i="3"/>
  <c r="E72" i="3"/>
  <c r="E71" i="3"/>
  <c r="E70" i="3"/>
  <c r="D70" i="3"/>
  <c r="E67" i="3"/>
  <c r="E66" i="3"/>
  <c r="E65" i="3"/>
  <c r="D65" i="3"/>
  <c r="E62" i="3"/>
  <c r="E61" i="3"/>
  <c r="E60" i="3"/>
  <c r="D60" i="3"/>
  <c r="E57" i="3"/>
  <c r="E56" i="3"/>
  <c r="E55" i="3"/>
  <c r="D55" i="3"/>
  <c r="G53" i="3"/>
  <c r="F53" i="3"/>
  <c r="G52" i="3"/>
  <c r="F52" i="3"/>
  <c r="C52" i="3"/>
  <c r="C53" i="3"/>
  <c r="G46" i="3"/>
  <c r="F46" i="3"/>
  <c r="C46" i="3"/>
  <c r="G42" i="3"/>
  <c r="F42" i="3"/>
  <c r="C42" i="3"/>
  <c r="C51" i="3"/>
  <c r="C50" i="3"/>
  <c r="C45" i="3"/>
  <c r="C43" i="3"/>
  <c r="G48" i="3"/>
  <c r="F48" i="3"/>
  <c r="C48" i="3"/>
  <c r="B48" i="3"/>
  <c r="G47" i="3"/>
  <c r="F47" i="3"/>
  <c r="C47" i="3"/>
  <c r="B47" i="3"/>
  <c r="G44" i="3"/>
  <c r="F44" i="3"/>
  <c r="C44" i="3"/>
  <c r="B44" i="3"/>
  <c r="B41" i="3"/>
  <c r="G40" i="3"/>
  <c r="G50" i="3" s="1"/>
  <c r="F40" i="3"/>
  <c r="F50" i="3" s="1"/>
  <c r="B40" i="3"/>
  <c r="B50" i="3" s="1"/>
  <c r="E53" i="3"/>
  <c r="E52" i="3"/>
  <c r="E51" i="3"/>
  <c r="E50" i="3"/>
  <c r="D50" i="3"/>
  <c r="E47" i="3"/>
  <c r="E46" i="3"/>
  <c r="E45" i="3"/>
  <c r="E44" i="3"/>
  <c r="E43" i="3"/>
  <c r="D43" i="3"/>
  <c r="E42" i="3"/>
  <c r="D42" i="3"/>
  <c r="B64" i="3"/>
  <c r="G36" i="3"/>
  <c r="F36" i="3"/>
  <c r="E36" i="3"/>
  <c r="C36" i="3"/>
  <c r="G35" i="3"/>
  <c r="F35" i="3"/>
  <c r="E35" i="3"/>
  <c r="D35" i="3"/>
  <c r="C35" i="3"/>
  <c r="G38" i="3"/>
  <c r="F38" i="3"/>
  <c r="E38" i="3"/>
  <c r="C38" i="3"/>
  <c r="G37" i="3"/>
  <c r="F37" i="3"/>
  <c r="E37" i="3"/>
  <c r="C37" i="3"/>
  <c r="G31" i="3"/>
  <c r="F31" i="3"/>
  <c r="E31" i="3"/>
  <c r="C31" i="3"/>
  <c r="G30" i="3"/>
  <c r="F30" i="3"/>
  <c r="E30" i="3"/>
  <c r="C30" i="3"/>
  <c r="G28" i="3"/>
  <c r="F28" i="3"/>
  <c r="E28" i="3"/>
  <c r="D28" i="3"/>
  <c r="C28" i="3"/>
  <c r="C34" i="3"/>
  <c r="C33" i="3"/>
  <c r="E32" i="3"/>
  <c r="C32" i="3"/>
  <c r="E29" i="3"/>
  <c r="C29" i="3"/>
  <c r="E27" i="3"/>
  <c r="D27" i="3"/>
  <c r="C27" i="3"/>
  <c r="B26" i="3"/>
  <c r="B25" i="3"/>
  <c r="B36" i="3" s="1"/>
  <c r="G24" i="3"/>
  <c r="G34" i="3" s="1"/>
  <c r="F24" i="3"/>
  <c r="F32" i="3" s="1"/>
  <c r="B24" i="3"/>
  <c r="B33" i="3" s="1"/>
  <c r="B21" i="3"/>
  <c r="B20" i="3"/>
  <c r="G18" i="3"/>
  <c r="G19" i="3"/>
  <c r="G20" i="3"/>
  <c r="D57" i="17"/>
  <c r="C57" i="17"/>
  <c r="D56" i="17"/>
  <c r="C56" i="17"/>
  <c r="D50" i="17"/>
  <c r="C50" i="17"/>
  <c r="D55" i="17"/>
  <c r="C55" i="17"/>
  <c r="D54" i="17"/>
  <c r="C54" i="17"/>
  <c r="D49" i="17"/>
  <c r="C49" i="17"/>
  <c r="D47" i="17"/>
  <c r="C47" i="17"/>
  <c r="B44" i="17"/>
  <c r="B49" i="17" s="1"/>
  <c r="B45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77" i="17"/>
  <c r="B77" i="17"/>
  <c r="C76" i="17"/>
  <c r="B76" i="17"/>
  <c r="C75" i="17"/>
  <c r="B75" i="17"/>
  <c r="C74" i="17"/>
  <c r="B74" i="17"/>
  <c r="D72" i="17"/>
  <c r="C72" i="17"/>
  <c r="D71" i="17"/>
  <c r="C71" i="17"/>
  <c r="D70" i="17"/>
  <c r="C70" i="17"/>
  <c r="D69" i="17"/>
  <c r="C69" i="17"/>
  <c r="D67" i="17"/>
  <c r="C67" i="17"/>
  <c r="B67" i="17"/>
  <c r="D66" i="17"/>
  <c r="C66" i="17"/>
  <c r="B66" i="17"/>
  <c r="D65" i="17"/>
  <c r="C65" i="17"/>
  <c r="B65" i="17"/>
  <c r="D64" i="17"/>
  <c r="C64" i="17"/>
  <c r="B64" i="17"/>
  <c r="D62" i="17"/>
  <c r="C62" i="17"/>
  <c r="D61" i="17"/>
  <c r="C61" i="17"/>
  <c r="D60" i="17"/>
  <c r="C60" i="17"/>
  <c r="D59" i="17"/>
  <c r="C59" i="17"/>
  <c r="D73" i="17"/>
  <c r="B68" i="17"/>
  <c r="B58" i="17"/>
  <c r="D53" i="17"/>
  <c r="C53" i="17"/>
  <c r="B53" i="17"/>
  <c r="D52" i="17"/>
  <c r="C52" i="17"/>
  <c r="B52" i="17"/>
  <c r="D51" i="17"/>
  <c r="C51" i="17"/>
  <c r="B51" i="17"/>
  <c r="D48" i="17"/>
  <c r="C48" i="17"/>
  <c r="B48" i="17"/>
  <c r="D46" i="17"/>
  <c r="C46" i="17"/>
  <c r="B46" i="17"/>
  <c r="D42" i="17"/>
  <c r="C42" i="17"/>
  <c r="B42" i="17"/>
  <c r="D41" i="17"/>
  <c r="C41" i="17"/>
  <c r="B41" i="17"/>
  <c r="D40" i="17"/>
  <c r="C40" i="17"/>
  <c r="D39" i="17"/>
  <c r="C39" i="17"/>
  <c r="D35" i="17"/>
  <c r="C35" i="17"/>
  <c r="B35" i="17"/>
  <c r="D34" i="17"/>
  <c r="C34" i="17"/>
  <c r="D32" i="17"/>
  <c r="C32" i="17"/>
  <c r="B29" i="17"/>
  <c r="B32" i="17" s="1"/>
  <c r="B28" i="17"/>
  <c r="D38" i="17"/>
  <c r="C38" i="17"/>
  <c r="D37" i="17"/>
  <c r="C37" i="17"/>
  <c r="D36" i="17"/>
  <c r="C36" i="17"/>
  <c r="D33" i="17"/>
  <c r="C33" i="17"/>
  <c r="D31" i="17"/>
  <c r="C31" i="17"/>
  <c r="F67" i="4" l="1"/>
  <c r="G67" i="4"/>
  <c r="B67" i="4"/>
  <c r="F43" i="4"/>
  <c r="F48" i="4"/>
  <c r="F45" i="4"/>
  <c r="F35" i="4"/>
  <c r="B39" i="4"/>
  <c r="B38" i="4"/>
  <c r="B32" i="4"/>
  <c r="B28" i="4"/>
  <c r="B33" i="4"/>
  <c r="F33" i="4"/>
  <c r="B34" i="4"/>
  <c r="B35" i="4"/>
  <c r="F39" i="4"/>
  <c r="F32" i="4"/>
  <c r="F38" i="4"/>
  <c r="G33" i="4"/>
  <c r="B37" i="4"/>
  <c r="B36" i="4"/>
  <c r="B31" i="4"/>
  <c r="B29" i="4"/>
  <c r="F28" i="4"/>
  <c r="B30" i="4"/>
  <c r="F30" i="4"/>
  <c r="F34" i="4"/>
  <c r="F37" i="4"/>
  <c r="F31" i="4"/>
  <c r="F29" i="4"/>
  <c r="F36" i="4"/>
  <c r="G28" i="4"/>
  <c r="G30" i="4"/>
  <c r="G34" i="4"/>
  <c r="F49" i="4"/>
  <c r="F50" i="4"/>
  <c r="G44" i="4"/>
  <c r="G46" i="4"/>
  <c r="G52" i="4"/>
  <c r="G47" i="4"/>
  <c r="G54" i="4"/>
  <c r="G45" i="4"/>
  <c r="G49" i="4"/>
  <c r="G50" i="4"/>
  <c r="B44" i="4"/>
  <c r="B46" i="4"/>
  <c r="B51" i="4"/>
  <c r="F51" i="4"/>
  <c r="B47" i="4"/>
  <c r="B53" i="4"/>
  <c r="F53" i="4"/>
  <c r="F56" i="4"/>
  <c r="F57" i="4"/>
  <c r="F58" i="4"/>
  <c r="F59" i="4"/>
  <c r="B66" i="4"/>
  <c r="B68" i="4"/>
  <c r="B69" i="4"/>
  <c r="F66" i="4"/>
  <c r="F68" i="4"/>
  <c r="F69" i="4"/>
  <c r="G66" i="4"/>
  <c r="G68" i="4"/>
  <c r="G69" i="4"/>
  <c r="G43" i="4"/>
  <c r="G48" i="4"/>
  <c r="F44" i="4"/>
  <c r="F46" i="4"/>
  <c r="F47" i="4"/>
  <c r="F71" i="4"/>
  <c r="F72" i="4"/>
  <c r="F73" i="4"/>
  <c r="F74" i="4"/>
  <c r="B28" i="3"/>
  <c r="F51" i="3"/>
  <c r="G29" i="3"/>
  <c r="B38" i="3"/>
  <c r="F43" i="3"/>
  <c r="B35" i="3"/>
  <c r="B32" i="3"/>
  <c r="B27" i="3"/>
  <c r="B29" i="3"/>
  <c r="B34" i="3"/>
  <c r="G32" i="3"/>
  <c r="F45" i="3"/>
  <c r="B51" i="3"/>
  <c r="G27" i="3"/>
  <c r="G51" i="3"/>
  <c r="G33" i="3"/>
  <c r="F34" i="3"/>
  <c r="B30" i="3"/>
  <c r="G43" i="3"/>
  <c r="G45" i="3"/>
  <c r="F27" i="3"/>
  <c r="F33" i="3"/>
  <c r="B53" i="3"/>
  <c r="F29" i="3"/>
  <c r="B31" i="3"/>
  <c r="B37" i="3"/>
  <c r="B43" i="3"/>
  <c r="B45" i="3"/>
  <c r="B42" i="3"/>
  <c r="B46" i="3"/>
  <c r="B65" i="3"/>
  <c r="B66" i="3"/>
  <c r="B67" i="3"/>
  <c r="B68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0" i="17"/>
  <c r="B70" i="17"/>
  <c r="B69" i="17"/>
  <c r="B71" i="17"/>
  <c r="B72" i="17"/>
  <c r="B39" i="17"/>
  <c r="B54" i="17"/>
  <c r="B50" i="17"/>
  <c r="B57" i="17"/>
  <c r="B59" i="17"/>
  <c r="B60" i="17"/>
  <c r="B61" i="17"/>
  <c r="B62" i="17"/>
  <c r="B56" i="17"/>
  <c r="B47" i="17"/>
  <c r="B55" i="17"/>
  <c r="D74" i="17"/>
  <c r="D75" i="17"/>
  <c r="D76" i="17"/>
  <c r="D77" i="17"/>
  <c r="B34" i="17"/>
  <c r="B31" i="17"/>
  <c r="B33" i="17"/>
  <c r="B36" i="17"/>
  <c r="B37" i="17"/>
  <c r="B38" i="17"/>
  <c r="B74" i="4" l="1"/>
  <c r="B73" i="4"/>
  <c r="B72" i="4"/>
  <c r="B71" i="4"/>
  <c r="F19" i="3" l="1"/>
  <c r="B19" i="3"/>
  <c r="F18" i="3"/>
  <c r="B18" i="3"/>
  <c r="B24" i="4"/>
  <c r="G24" i="4"/>
  <c r="F24" i="4"/>
  <c r="H18" i="6"/>
  <c r="C18" i="6"/>
  <c r="B18" i="6"/>
  <c r="H17" i="6"/>
  <c r="C17" i="6"/>
  <c r="B17" i="6"/>
  <c r="D25" i="17"/>
  <c r="B25" i="17"/>
  <c r="D26" i="17"/>
  <c r="B26" i="17"/>
  <c r="B27" i="17"/>
  <c r="C4" i="17" l="1"/>
  <c r="B7" i="17"/>
  <c r="B4" i="17" s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24" i="15"/>
  <c r="D13" i="16"/>
  <c r="D14" i="16"/>
  <c r="D22" i="6"/>
  <c r="D10" i="6"/>
  <c r="J20" i="6"/>
  <c r="B20" i="6"/>
  <c r="G22" i="15"/>
  <c r="K23" i="15"/>
  <c r="G23" i="15"/>
  <c r="K10" i="15"/>
  <c r="G10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14"/>
  <c r="B15" i="14"/>
  <c r="C15" i="8"/>
  <c r="B15" i="8"/>
  <c r="B16" i="8" s="1"/>
  <c r="J16" i="6"/>
  <c r="I16" i="6"/>
  <c r="H16" i="6" l="1"/>
  <c r="C16" i="6"/>
  <c r="D17" i="15"/>
  <c r="B16" i="2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2" i="15" s="1"/>
  <c r="D7" i="15"/>
  <c r="D4" i="15" s="1"/>
  <c r="D8" i="15"/>
  <c r="B9" i="15"/>
  <c r="C9" i="15"/>
  <c r="D9" i="15"/>
  <c r="C10" i="15"/>
  <c r="D10" i="15"/>
  <c r="B12" i="15"/>
  <c r="G12" i="15"/>
  <c r="I12" i="15"/>
  <c r="K12" i="15"/>
  <c r="M12" i="15"/>
  <c r="B13" i="15"/>
  <c r="C13" i="15"/>
  <c r="G13" i="15"/>
  <c r="H13" i="15"/>
  <c r="K13" i="15"/>
  <c r="L13" i="15"/>
  <c r="E13" i="15"/>
  <c r="B14" i="15"/>
  <c r="C14" i="15"/>
  <c r="D14" i="15"/>
  <c r="G14" i="15"/>
  <c r="H14" i="15"/>
  <c r="K14" i="15"/>
  <c r="L14" i="15"/>
  <c r="E14" i="15"/>
  <c r="B15" i="15"/>
  <c r="C15" i="15"/>
  <c r="D15" i="15"/>
  <c r="G15" i="15"/>
  <c r="H15" i="15"/>
  <c r="K15" i="15"/>
  <c r="L15" i="15"/>
  <c r="E15" i="15"/>
  <c r="B16" i="15"/>
  <c r="C16" i="15"/>
  <c r="D16" i="15"/>
  <c r="G16" i="15"/>
  <c r="H16" i="15"/>
  <c r="K16" i="15"/>
  <c r="L16" i="15"/>
  <c r="E16" i="15"/>
  <c r="C12" i="15" l="1"/>
  <c r="D13" i="15"/>
  <c r="D12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7" i="6"/>
  <c r="H13" i="6" s="1"/>
  <c r="F12" i="9"/>
  <c r="F11" i="9"/>
  <c r="F10" i="9"/>
  <c r="F9" i="9"/>
  <c r="F8" i="9"/>
  <c r="F7" i="9"/>
  <c r="F6" i="9"/>
  <c r="F12" i="4" l="1"/>
  <c r="F16" i="9"/>
  <c r="F17" i="9"/>
  <c r="H14" i="6"/>
  <c r="F13" i="9"/>
  <c r="H15" i="6"/>
  <c r="F14" i="9"/>
  <c r="H12" i="6"/>
  <c r="F15" i="9"/>
  <c r="B11" i="2"/>
  <c r="E4" i="12" l="1"/>
  <c r="D4" i="12"/>
  <c r="C4" i="12"/>
  <c r="C10" i="6" l="1"/>
  <c r="C9" i="8" l="1"/>
  <c r="B21" i="7" l="1"/>
  <c r="B20" i="7" l="1"/>
  <c r="B10" i="9"/>
  <c r="B10" i="6"/>
  <c r="C8" i="8"/>
  <c r="B8" i="8"/>
  <c r="B9" i="8" s="1"/>
  <c r="B10" i="8" s="1"/>
  <c r="B12" i="4" l="1"/>
  <c r="H6" i="6"/>
  <c r="C6" i="8"/>
  <c r="B6" i="8"/>
  <c r="B5" i="8" s="1"/>
  <c r="B5" i="6" l="1"/>
  <c r="B7" i="6"/>
  <c r="B6" i="6"/>
  <c r="B15" i="6" l="1"/>
  <c r="B14" i="6"/>
  <c r="B13" i="6"/>
  <c r="B12" i="6"/>
  <c r="C7" i="6"/>
  <c r="C14" i="6" l="1"/>
  <c r="C13" i="6"/>
  <c r="C12" i="6"/>
  <c r="C15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5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<sst xmlns="http://schemas.openxmlformats.org/spreadsheetml/2006/main" count="1492" uniqueCount="241">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</sst>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166" fontId="1" fillId="0" borderId="0" xfId="0" applyNumberFormat="1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2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5" fontId="20" fillId="0" borderId="0" xfId="0" applyNumberFormat="1" applyFont="1" applyFill="1"/>
    <xf numFmtId="166" fontId="0" fillId="0" borderId="9" xfId="0" applyNumberFormat="1" applyBorder="1"/>
    <xf numFmtId="165" fontId="24" fillId="0" borderId="0" xfId="0" applyNumberFormat="1" applyFont="1"/>
    <xf numFmtId="165" fontId="0" fillId="0" borderId="9" xfId="0" applyNumberFormat="1" applyFill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/>
    <xf numFmtId="166" fontId="0" fillId="0" borderId="9" xfId="0" applyNumberFormat="1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2" fillId="0" borderId="0" xfId="0" applyFont="1" applyBorder="1"/>
    <xf numFmtId="0" fontId="23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7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B63" sqref="B63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  <c r="G1" t="s">
        <v>81</v>
      </c>
    </row>
    <row r="2" spans="1:7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7" x14ac:dyDescent="0.25">
      <c r="A3" s="2" t="s">
        <v>2</v>
      </c>
      <c r="B3" s="2" t="s">
        <v>63</v>
      </c>
      <c r="C3" s="2"/>
      <c r="D3" s="2"/>
      <c r="E3" s="2"/>
      <c r="F3" s="2"/>
    </row>
    <row r="4" spans="1:7" x14ac:dyDescent="0.25">
      <c r="A4" s="3" t="s">
        <v>3</v>
      </c>
      <c r="B4" s="21">
        <f>B7</f>
        <v>0.77808901338313108</v>
      </c>
      <c r="C4" s="21">
        <f>C7</f>
        <v>0.126</v>
      </c>
      <c r="D4" t="s">
        <v>57</v>
      </c>
      <c r="E4">
        <v>0</v>
      </c>
      <c r="F4" t="s">
        <v>23</v>
      </c>
    </row>
    <row r="5" spans="1:7" hidden="1" x14ac:dyDescent="0.25">
      <c r="A5" s="3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hidden="1" x14ac:dyDescent="0.25">
      <c r="A6" s="3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hidden="1" x14ac:dyDescent="0.25">
      <c r="A7" s="3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hidden="1" x14ac:dyDescent="0.25">
      <c r="A8" s="3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s="62" customFormat="1" hidden="1" x14ac:dyDescent="0.25">
      <c r="A9" s="59" t="s">
        <v>110</v>
      </c>
      <c r="B9" s="60">
        <v>0.7</v>
      </c>
      <c r="C9" s="61">
        <v>0.2</v>
      </c>
      <c r="D9" s="62" t="s">
        <v>122</v>
      </c>
      <c r="E9" s="62">
        <v>0</v>
      </c>
      <c r="F9" s="62" t="s">
        <v>23</v>
      </c>
    </row>
    <row r="10" spans="1:7" s="62" customFormat="1" hidden="1" x14ac:dyDescent="0.25">
      <c r="A10" s="59" t="s">
        <v>111</v>
      </c>
      <c r="B10" s="63">
        <f>24.7/32</f>
        <v>0.77187499999999998</v>
      </c>
      <c r="C10" s="62">
        <v>0.12</v>
      </c>
      <c r="D10" s="62" t="s">
        <v>123</v>
      </c>
      <c r="E10" s="62">
        <v>0</v>
      </c>
      <c r="F10" s="62" t="s">
        <v>23</v>
      </c>
    </row>
    <row r="11" spans="1:7" s="62" customFormat="1" hidden="1" x14ac:dyDescent="0.25">
      <c r="A11" s="59" t="s">
        <v>126</v>
      </c>
      <c r="B11" s="64">
        <f>AVERAGE(B6:B10)</f>
        <v>0.74065294253676606</v>
      </c>
      <c r="C11" s="62">
        <f>AVERAGE(C6:C10)</f>
        <v>0.12720000000000001</v>
      </c>
      <c r="D11" s="62" t="s">
        <v>115</v>
      </c>
      <c r="E11" s="62">
        <v>0</v>
      </c>
      <c r="F11" s="62" t="s">
        <v>23</v>
      </c>
    </row>
    <row r="12" spans="1:7" hidden="1" x14ac:dyDescent="0.25">
      <c r="A12" s="3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hidden="1" x14ac:dyDescent="0.25">
      <c r="A13" s="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hidden="1" x14ac:dyDescent="0.25">
      <c r="A14" s="3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hidden="1" x14ac:dyDescent="0.25">
      <c r="A15" s="3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hidden="1" x14ac:dyDescent="0.25">
      <c r="A16" s="3" t="s">
        <v>136</v>
      </c>
      <c r="B16" s="48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7" hidden="1" x14ac:dyDescent="0.25">
      <c r="A17" s="3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7" hidden="1" x14ac:dyDescent="0.25">
      <c r="A18" s="3" t="s">
        <v>151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7" hidden="1" x14ac:dyDescent="0.25">
      <c r="A19" s="3" t="s">
        <v>158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7" hidden="1" x14ac:dyDescent="0.25">
      <c r="A20" s="3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7" hidden="1" x14ac:dyDescent="0.25">
      <c r="A21" s="3" t="s">
        <v>143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7" hidden="1" x14ac:dyDescent="0.25">
      <c r="A22" s="3" t="s">
        <v>153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7" hidden="1" x14ac:dyDescent="0.25">
      <c r="A23" s="3" t="s">
        <v>156</v>
      </c>
      <c r="B23" s="51">
        <f>(B10-3.16/3.24*B10)+B10</f>
        <v>0.79093364197530858</v>
      </c>
      <c r="C23">
        <v>0.1</v>
      </c>
      <c r="D23" s="46" t="s">
        <v>123</v>
      </c>
      <c r="E23">
        <v>0</v>
      </c>
      <c r="F23" t="s">
        <v>23</v>
      </c>
    </row>
    <row r="24" spans="1:7" hidden="1" x14ac:dyDescent="0.25">
      <c r="A24" s="3" t="s">
        <v>168</v>
      </c>
      <c r="B24" s="51">
        <f>30.23/(30.23+2.23)</f>
        <v>0.93130006161429446</v>
      </c>
      <c r="C24">
        <v>0.1</v>
      </c>
      <c r="D24" s="46" t="s">
        <v>123</v>
      </c>
      <c r="E24">
        <v>0</v>
      </c>
      <c r="F24" t="s">
        <v>23</v>
      </c>
    </row>
    <row r="25" spans="1:7" hidden="1" x14ac:dyDescent="0.25">
      <c r="A25" s="3" t="s">
        <v>169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7" hidden="1" x14ac:dyDescent="0.25">
      <c r="A26" s="3" t="s">
        <v>170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7" s="30" customFormat="1" hidden="1" x14ac:dyDescent="0.25">
      <c r="A27" s="57" t="s">
        <v>166</v>
      </c>
      <c r="B27" s="31">
        <f>1/1.2852</f>
        <v>0.77808901338313108</v>
      </c>
      <c r="C27" s="30">
        <v>0.126</v>
      </c>
      <c r="D27" s="30" t="s">
        <v>115</v>
      </c>
      <c r="E27" s="30">
        <v>0</v>
      </c>
      <c r="F27" s="30" t="s">
        <v>23</v>
      </c>
    </row>
    <row r="28" spans="1:7" s="99" customFormat="1" x14ac:dyDescent="0.25">
      <c r="A28" s="95" t="s">
        <v>201</v>
      </c>
      <c r="B28" s="96">
        <f>1/1.3</f>
        <v>0.76923076923076916</v>
      </c>
      <c r="C28" s="97">
        <v>0.1</v>
      </c>
      <c r="D28" s="98" t="s">
        <v>115</v>
      </c>
      <c r="E28" s="99">
        <v>0</v>
      </c>
      <c r="F28" s="99" t="s">
        <v>23</v>
      </c>
      <c r="G28" s="99" t="s">
        <v>185</v>
      </c>
    </row>
    <row r="29" spans="1:7" x14ac:dyDescent="0.25">
      <c r="A29" s="73" t="s">
        <v>202</v>
      </c>
      <c r="B29" s="71">
        <f>1/1.22</f>
        <v>0.81967213114754101</v>
      </c>
      <c r="C29" s="70">
        <v>0.02</v>
      </c>
      <c r="D29" s="1" t="s">
        <v>115</v>
      </c>
      <c r="E29">
        <v>0</v>
      </c>
      <c r="F29" t="s">
        <v>23</v>
      </c>
      <c r="G29" t="s">
        <v>186</v>
      </c>
    </row>
    <row r="30" spans="1:7" x14ac:dyDescent="0.25">
      <c r="A30" s="73" t="s">
        <v>203</v>
      </c>
      <c r="B30" s="72">
        <v>0.84</v>
      </c>
      <c r="C30" s="70">
        <v>0.02</v>
      </c>
      <c r="D30" s="1" t="s">
        <v>115</v>
      </c>
      <c r="E30">
        <v>0</v>
      </c>
      <c r="F30" t="s">
        <v>23</v>
      </c>
      <c r="G30" t="s">
        <v>187</v>
      </c>
    </row>
    <row r="31" spans="1:7" x14ac:dyDescent="0.25">
      <c r="A31" s="55" t="s">
        <v>204</v>
      </c>
      <c r="B31" s="21">
        <f>B$28</f>
        <v>0.76923076923076916</v>
      </c>
      <c r="C31" s="21">
        <f>C$28</f>
        <v>0.1</v>
      </c>
      <c r="D31" s="21" t="str">
        <f>D$28</f>
        <v>coal coking - IPCC</v>
      </c>
      <c r="E31">
        <v>0</v>
      </c>
      <c r="F31" t="s">
        <v>23</v>
      </c>
    </row>
    <row r="32" spans="1:7" x14ac:dyDescent="0.25">
      <c r="A32" s="55" t="s">
        <v>205</v>
      </c>
      <c r="B32" s="47">
        <f>B$29</f>
        <v>0.81967213114754101</v>
      </c>
      <c r="C32">
        <f>C$29</f>
        <v>0.02</v>
      </c>
      <c r="D32" t="str">
        <f>D$29</f>
        <v>coal coking - IPCC</v>
      </c>
      <c r="E32">
        <v>0</v>
      </c>
      <c r="F32" t="s">
        <v>23</v>
      </c>
    </row>
    <row r="33" spans="1:7" x14ac:dyDescent="0.25">
      <c r="A33" s="55" t="s">
        <v>206</v>
      </c>
      <c r="B33" s="21">
        <f>B$28</f>
        <v>0.76923076923076916</v>
      </c>
      <c r="C33" s="21">
        <f>C$28</f>
        <v>0.1</v>
      </c>
      <c r="D33" s="21" t="str">
        <f>D$28</f>
        <v>coal coking - IPCC</v>
      </c>
      <c r="E33" s="56">
        <v>0.05</v>
      </c>
      <c r="F33" t="s">
        <v>23</v>
      </c>
    </row>
    <row r="34" spans="1:7" x14ac:dyDescent="0.25">
      <c r="A34" s="55" t="s">
        <v>207</v>
      </c>
      <c r="B34" s="47">
        <f>B$29</f>
        <v>0.81967213114754101</v>
      </c>
      <c r="C34">
        <f>C$29</f>
        <v>0.02</v>
      </c>
      <c r="D34" t="str">
        <f>D$29</f>
        <v>coal coking - IPCC</v>
      </c>
      <c r="E34" s="56">
        <v>0.05</v>
      </c>
      <c r="F34" t="s">
        <v>23</v>
      </c>
    </row>
    <row r="35" spans="1:7" x14ac:dyDescent="0.25">
      <c r="A35" s="55" t="s">
        <v>208</v>
      </c>
      <c r="B35">
        <f>B$30</f>
        <v>0.84</v>
      </c>
      <c r="C35">
        <f>C$30</f>
        <v>0.02</v>
      </c>
      <c r="D35" t="str">
        <f>D$30</f>
        <v>coal coking - IPCC</v>
      </c>
      <c r="E35" s="56">
        <v>0.05</v>
      </c>
      <c r="F35" t="s">
        <v>23</v>
      </c>
    </row>
    <row r="36" spans="1:7" x14ac:dyDescent="0.25">
      <c r="A36" s="55" t="s">
        <v>209</v>
      </c>
      <c r="B36" s="21">
        <f t="shared" ref="B36:D38" si="4">B$28</f>
        <v>0.76923076923076916</v>
      </c>
      <c r="C36" s="21">
        <f t="shared" si="4"/>
        <v>0.1</v>
      </c>
      <c r="D36" s="21" t="str">
        <f t="shared" si="4"/>
        <v>coal coking - IPCC</v>
      </c>
      <c r="E36" s="56">
        <v>0.05</v>
      </c>
      <c r="F36" t="s">
        <v>23</v>
      </c>
    </row>
    <row r="37" spans="1:7" x14ac:dyDescent="0.25">
      <c r="A37" s="55" t="s">
        <v>210</v>
      </c>
      <c r="B37" s="21">
        <f t="shared" si="4"/>
        <v>0.76923076923076916</v>
      </c>
      <c r="C37" s="21">
        <f t="shared" si="4"/>
        <v>0.1</v>
      </c>
      <c r="D37" s="21" t="str">
        <f t="shared" si="4"/>
        <v>coal coking - IPCC</v>
      </c>
      <c r="E37" s="56">
        <v>0.05</v>
      </c>
      <c r="F37" t="s">
        <v>184</v>
      </c>
    </row>
    <row r="38" spans="1:7" x14ac:dyDescent="0.25">
      <c r="A38" s="55" t="s">
        <v>174</v>
      </c>
      <c r="B38" s="21">
        <f t="shared" si="4"/>
        <v>0.76923076923076916</v>
      </c>
      <c r="C38" s="21">
        <f t="shared" si="4"/>
        <v>0.1</v>
      </c>
      <c r="D38" s="21" t="str">
        <f t="shared" si="4"/>
        <v>coal coking - IPCC</v>
      </c>
      <c r="E38">
        <v>0</v>
      </c>
      <c r="F38" t="s">
        <v>23</v>
      </c>
    </row>
    <row r="39" spans="1:7" x14ac:dyDescent="0.25">
      <c r="A39" s="55" t="s">
        <v>175</v>
      </c>
      <c r="B39" s="47">
        <f>B$29</f>
        <v>0.81967213114754101</v>
      </c>
      <c r="C39">
        <f>C$29</f>
        <v>0.02</v>
      </c>
      <c r="D39" t="str">
        <f>D$29</f>
        <v>coal coking - IPCC</v>
      </c>
      <c r="E39">
        <v>0</v>
      </c>
      <c r="F39" t="s">
        <v>23</v>
      </c>
    </row>
    <row r="40" spans="1:7" x14ac:dyDescent="0.25">
      <c r="A40" s="55" t="s">
        <v>176</v>
      </c>
      <c r="B40" s="47">
        <f>B$29</f>
        <v>0.81967213114754101</v>
      </c>
      <c r="C40">
        <f>C$29</f>
        <v>0.02</v>
      </c>
      <c r="D40" t="str">
        <f>D$29</f>
        <v>coal coking - IPCC</v>
      </c>
      <c r="E40" s="56">
        <v>0.05</v>
      </c>
      <c r="F40" t="s">
        <v>184</v>
      </c>
    </row>
    <row r="41" spans="1:7" x14ac:dyDescent="0.25">
      <c r="A41" s="55" t="s">
        <v>177</v>
      </c>
      <c r="B41">
        <f>B$30</f>
        <v>0.84</v>
      </c>
      <c r="C41">
        <f>C$30</f>
        <v>0.02</v>
      </c>
      <c r="D41" t="str">
        <f>D$30</f>
        <v>coal coking - IPCC</v>
      </c>
      <c r="E41">
        <v>0</v>
      </c>
      <c r="F41" t="s">
        <v>23</v>
      </c>
    </row>
    <row r="42" spans="1:7" s="66" customFormat="1" ht="15.75" thickBot="1" x14ac:dyDescent="0.3">
      <c r="A42" s="67" t="s">
        <v>178</v>
      </c>
      <c r="B42" s="66">
        <f>B$30</f>
        <v>0.84</v>
      </c>
      <c r="C42" s="66">
        <f>C$30</f>
        <v>0.02</v>
      </c>
      <c r="D42" s="66" t="str">
        <f>D$30</f>
        <v>coal coking - IPCC</v>
      </c>
      <c r="E42" s="68">
        <v>0.05</v>
      </c>
      <c r="F42" s="66" t="s">
        <v>184</v>
      </c>
    </row>
    <row r="43" spans="1:7" x14ac:dyDescent="0.25">
      <c r="A43" s="73" t="s">
        <v>211</v>
      </c>
      <c r="B43" s="1">
        <v>0.754</v>
      </c>
      <c r="C43" s="1">
        <v>0</v>
      </c>
      <c r="D43" s="1" t="s">
        <v>114</v>
      </c>
      <c r="E43">
        <v>0</v>
      </c>
      <c r="F43" t="s">
        <v>23</v>
      </c>
      <c r="G43" t="s">
        <v>188</v>
      </c>
    </row>
    <row r="44" spans="1:7" x14ac:dyDescent="0.25">
      <c r="A44" s="73" t="s">
        <v>212</v>
      </c>
      <c r="B44" s="86">
        <f>1/1.3</f>
        <v>0.76923076923076916</v>
      </c>
      <c r="C44" s="72">
        <v>0.1</v>
      </c>
      <c r="D44" s="80" t="s">
        <v>114</v>
      </c>
      <c r="E44">
        <v>0</v>
      </c>
      <c r="F44" t="s">
        <v>23</v>
      </c>
    </row>
    <row r="45" spans="1:7" x14ac:dyDescent="0.25">
      <c r="A45" s="73" t="s">
        <v>213</v>
      </c>
      <c r="B45" s="85">
        <f>1/1.22</f>
        <v>0.81967213114754101</v>
      </c>
      <c r="C45" s="72">
        <v>0.02</v>
      </c>
      <c r="D45" s="80" t="s">
        <v>114</v>
      </c>
      <c r="E45">
        <v>0</v>
      </c>
      <c r="F45" t="s">
        <v>23</v>
      </c>
    </row>
    <row r="46" spans="1:7" x14ac:dyDescent="0.25">
      <c r="A46" s="55" t="s">
        <v>214</v>
      </c>
      <c r="B46">
        <f>B$43</f>
        <v>0.754</v>
      </c>
      <c r="C46">
        <f>C$43</f>
        <v>0</v>
      </c>
      <c r="D46" t="str">
        <f>D$43</f>
        <v>coal coking - CN</v>
      </c>
      <c r="E46">
        <v>0</v>
      </c>
      <c r="F46" t="s">
        <v>23</v>
      </c>
    </row>
    <row r="47" spans="1:7" x14ac:dyDescent="0.25">
      <c r="A47" s="55" t="s">
        <v>215</v>
      </c>
      <c r="B47" s="21">
        <f>B$44</f>
        <v>0.76923076923076916</v>
      </c>
      <c r="C47" s="21">
        <f>C$44</f>
        <v>0.1</v>
      </c>
      <c r="D47" s="21" t="str">
        <f>D$44</f>
        <v>coal coking - CN</v>
      </c>
      <c r="E47">
        <v>0</v>
      </c>
      <c r="F47" t="s">
        <v>23</v>
      </c>
    </row>
    <row r="48" spans="1:7" x14ac:dyDescent="0.25">
      <c r="A48" s="55" t="s">
        <v>216</v>
      </c>
      <c r="B48">
        <f>B$43</f>
        <v>0.754</v>
      </c>
      <c r="C48">
        <f>C$43</f>
        <v>0</v>
      </c>
      <c r="D48" t="str">
        <f>D$43</f>
        <v>coal coking - CN</v>
      </c>
      <c r="E48" s="56">
        <v>0.05</v>
      </c>
      <c r="F48" t="s">
        <v>23</v>
      </c>
    </row>
    <row r="49" spans="1:6" x14ac:dyDescent="0.25">
      <c r="A49" s="55" t="s">
        <v>217</v>
      </c>
      <c r="B49" s="21">
        <f>B$44</f>
        <v>0.76923076923076916</v>
      </c>
      <c r="C49" s="21">
        <f>C$44</f>
        <v>0.1</v>
      </c>
      <c r="D49" s="21" t="str">
        <f>D$44</f>
        <v>coal coking - CN</v>
      </c>
      <c r="E49" s="56">
        <v>0.05</v>
      </c>
      <c r="F49" t="s">
        <v>23</v>
      </c>
    </row>
    <row r="50" spans="1:6" x14ac:dyDescent="0.25">
      <c r="A50" s="55" t="s">
        <v>218</v>
      </c>
      <c r="B50" s="47">
        <f>B$45</f>
        <v>0.81967213114754101</v>
      </c>
      <c r="C50" s="47">
        <f>C$45</f>
        <v>0.02</v>
      </c>
      <c r="D50" s="47" t="str">
        <f>D$45</f>
        <v>coal coking - CN</v>
      </c>
      <c r="E50" s="56">
        <v>0.05</v>
      </c>
      <c r="F50" t="s">
        <v>23</v>
      </c>
    </row>
    <row r="51" spans="1:6" x14ac:dyDescent="0.25">
      <c r="A51" s="55" t="s">
        <v>219</v>
      </c>
      <c r="B51">
        <f>B$43</f>
        <v>0.754</v>
      </c>
      <c r="C51">
        <f>C$43</f>
        <v>0</v>
      </c>
      <c r="D51" t="str">
        <f>D$43</f>
        <v>coal coking - CN</v>
      </c>
      <c r="E51" s="56">
        <v>1</v>
      </c>
      <c r="F51" t="s">
        <v>23</v>
      </c>
    </row>
    <row r="52" spans="1:6" x14ac:dyDescent="0.25">
      <c r="A52" s="55" t="s">
        <v>220</v>
      </c>
      <c r="B52">
        <f t="shared" ref="B52:D52" si="5">B$43</f>
        <v>0.754</v>
      </c>
      <c r="C52">
        <f t="shared" si="5"/>
        <v>0</v>
      </c>
      <c r="D52" t="str">
        <f t="shared" si="5"/>
        <v>coal coking - CN</v>
      </c>
      <c r="E52" s="56">
        <v>0.05</v>
      </c>
      <c r="F52" s="30" t="s">
        <v>189</v>
      </c>
    </row>
    <row r="53" spans="1:6" x14ac:dyDescent="0.25">
      <c r="A53" s="55" t="s">
        <v>179</v>
      </c>
      <c r="B53">
        <f>B$43</f>
        <v>0.754</v>
      </c>
      <c r="C53">
        <f>C$43</f>
        <v>0</v>
      </c>
      <c r="D53" t="str">
        <f>D$43</f>
        <v>coal coking - CN</v>
      </c>
      <c r="E53">
        <v>0</v>
      </c>
      <c r="F53" s="30" t="s">
        <v>23</v>
      </c>
    </row>
    <row r="54" spans="1:6" x14ac:dyDescent="0.25">
      <c r="A54" s="55" t="s">
        <v>180</v>
      </c>
      <c r="B54" s="21">
        <f>B$44</f>
        <v>0.76923076923076916</v>
      </c>
      <c r="C54" s="21">
        <f>C$44</f>
        <v>0.1</v>
      </c>
      <c r="D54" s="21" t="str">
        <f>D$44</f>
        <v>coal coking - CN</v>
      </c>
      <c r="E54">
        <v>0</v>
      </c>
      <c r="F54" s="30" t="s">
        <v>23</v>
      </c>
    </row>
    <row r="55" spans="1:6" x14ac:dyDescent="0.25">
      <c r="A55" s="55" t="s">
        <v>181</v>
      </c>
      <c r="B55" s="21">
        <f>B$44</f>
        <v>0.76923076923076916</v>
      </c>
      <c r="C55" s="21">
        <f>C$44</f>
        <v>0.1</v>
      </c>
      <c r="D55" s="21" t="str">
        <f>D$44</f>
        <v>coal coking - CN</v>
      </c>
      <c r="E55" s="56">
        <v>0.05</v>
      </c>
      <c r="F55" s="30" t="s">
        <v>189</v>
      </c>
    </row>
    <row r="56" spans="1:6" x14ac:dyDescent="0.25">
      <c r="A56" s="55" t="s">
        <v>182</v>
      </c>
      <c r="B56" s="47">
        <f>B$45</f>
        <v>0.81967213114754101</v>
      </c>
      <c r="C56" s="47">
        <f>C$45</f>
        <v>0.02</v>
      </c>
      <c r="D56" s="47" t="str">
        <f>D$45</f>
        <v>coal coking - CN</v>
      </c>
      <c r="E56">
        <v>0</v>
      </c>
      <c r="F56" s="30" t="s">
        <v>23</v>
      </c>
    </row>
    <row r="57" spans="1:6" s="66" customFormat="1" ht="15.75" thickBot="1" x14ac:dyDescent="0.3">
      <c r="A57" s="67" t="s">
        <v>183</v>
      </c>
      <c r="B57" s="87">
        <f>B$45</f>
        <v>0.81967213114754101</v>
      </c>
      <c r="C57" s="87">
        <f>C$45</f>
        <v>0.02</v>
      </c>
      <c r="D57" s="87" t="str">
        <f>D$45</f>
        <v>coal coking - CN</v>
      </c>
      <c r="E57" s="68">
        <v>0.05</v>
      </c>
      <c r="F57" s="66" t="s">
        <v>189</v>
      </c>
    </row>
    <row r="58" spans="1:6" s="1" customFormat="1" x14ac:dyDescent="0.25">
      <c r="A58" s="74" t="s">
        <v>221</v>
      </c>
      <c r="B58" s="75">
        <f>1/1.43</f>
        <v>0.69930069930069938</v>
      </c>
      <c r="C58" s="1">
        <v>0.19</v>
      </c>
      <c r="D58" s="1" t="s">
        <v>121</v>
      </c>
      <c r="E58" s="1">
        <v>0</v>
      </c>
      <c r="F58" s="1" t="s">
        <v>23</v>
      </c>
    </row>
    <row r="59" spans="1:6" x14ac:dyDescent="0.25">
      <c r="A59" s="54" t="s">
        <v>222</v>
      </c>
      <c r="B59" s="21">
        <f t="shared" ref="B59:B62" si="6">B$58</f>
        <v>0.69930069930069938</v>
      </c>
      <c r="C59" s="21">
        <f t="shared" ref="C59:D62" si="7">C$58</f>
        <v>0.19</v>
      </c>
      <c r="D59" s="21" t="str">
        <f t="shared" si="7"/>
        <v>coal coking - JP IPCC</v>
      </c>
      <c r="E59">
        <v>0</v>
      </c>
      <c r="F59" t="s">
        <v>23</v>
      </c>
    </row>
    <row r="60" spans="1:6" x14ac:dyDescent="0.25">
      <c r="A60" s="54" t="s">
        <v>223</v>
      </c>
      <c r="B60" s="21">
        <f t="shared" si="6"/>
        <v>0.69930069930069938</v>
      </c>
      <c r="C60" s="21">
        <f t="shared" si="7"/>
        <v>0.19</v>
      </c>
      <c r="D60" s="21" t="str">
        <f t="shared" si="7"/>
        <v>coal coking - JP IPCC</v>
      </c>
      <c r="E60" s="56">
        <v>0.05</v>
      </c>
      <c r="F60" t="s">
        <v>23</v>
      </c>
    </row>
    <row r="61" spans="1:6" x14ac:dyDescent="0.25">
      <c r="A61" s="54" t="s">
        <v>224</v>
      </c>
      <c r="B61" s="21">
        <f t="shared" si="6"/>
        <v>0.69930069930069938</v>
      </c>
      <c r="C61" s="21">
        <f t="shared" si="7"/>
        <v>0.19</v>
      </c>
      <c r="D61" s="21" t="str">
        <f t="shared" si="7"/>
        <v>coal coking - JP IPCC</v>
      </c>
      <c r="E61" s="56">
        <v>1</v>
      </c>
      <c r="F61" t="s">
        <v>23</v>
      </c>
    </row>
    <row r="62" spans="1:6" s="66" customFormat="1" ht="15.75" thickBot="1" x14ac:dyDescent="0.3">
      <c r="A62" s="69" t="s">
        <v>225</v>
      </c>
      <c r="B62" s="65">
        <f t="shared" si="6"/>
        <v>0.69930069930069938</v>
      </c>
      <c r="C62" s="65">
        <f t="shared" si="7"/>
        <v>0.19</v>
      </c>
      <c r="D62" s="65" t="str">
        <f t="shared" si="7"/>
        <v>coal coking - JP IPCC</v>
      </c>
      <c r="E62" s="68">
        <v>0.05</v>
      </c>
      <c r="F62" s="66" t="s">
        <v>189</v>
      </c>
    </row>
    <row r="63" spans="1:6" x14ac:dyDescent="0.25">
      <c r="A63" s="74" t="s">
        <v>226</v>
      </c>
      <c r="B63" s="76">
        <v>0.7</v>
      </c>
      <c r="C63" s="77">
        <v>0.2</v>
      </c>
      <c r="D63" s="78" t="s">
        <v>122</v>
      </c>
      <c r="E63">
        <v>0</v>
      </c>
      <c r="F63" t="s">
        <v>23</v>
      </c>
    </row>
    <row r="64" spans="1:6" x14ac:dyDescent="0.25">
      <c r="A64" s="54" t="s">
        <v>227</v>
      </c>
      <c r="B64" s="21">
        <f t="shared" ref="B64:B67" si="8">B$63</f>
        <v>0.7</v>
      </c>
      <c r="C64" s="21">
        <f t="shared" ref="C64:D67" si="9">C$63</f>
        <v>0.2</v>
      </c>
      <c r="D64" s="21" t="str">
        <f t="shared" si="9"/>
        <v>coal hard - RU</v>
      </c>
      <c r="E64">
        <v>0</v>
      </c>
      <c r="F64" t="s">
        <v>23</v>
      </c>
    </row>
    <row r="65" spans="1:7" x14ac:dyDescent="0.25">
      <c r="A65" s="54" t="s">
        <v>228</v>
      </c>
      <c r="B65" s="21">
        <f t="shared" si="8"/>
        <v>0.7</v>
      </c>
      <c r="C65" s="21">
        <f t="shared" si="9"/>
        <v>0.2</v>
      </c>
      <c r="D65" s="21" t="str">
        <f t="shared" si="9"/>
        <v>coal hard - RU</v>
      </c>
      <c r="E65" s="56">
        <v>0.05</v>
      </c>
      <c r="F65" t="s">
        <v>23</v>
      </c>
    </row>
    <row r="66" spans="1:7" x14ac:dyDescent="0.25">
      <c r="A66" s="54" t="s">
        <v>229</v>
      </c>
      <c r="B66" s="21">
        <f t="shared" si="8"/>
        <v>0.7</v>
      </c>
      <c r="C66" s="21">
        <f t="shared" si="9"/>
        <v>0.2</v>
      </c>
      <c r="D66" s="21" t="str">
        <f t="shared" si="9"/>
        <v>coal hard - RU</v>
      </c>
      <c r="E66" s="56">
        <v>1</v>
      </c>
      <c r="F66" t="s">
        <v>23</v>
      </c>
    </row>
    <row r="67" spans="1:7" s="66" customFormat="1" ht="15.75" thickBot="1" x14ac:dyDescent="0.3">
      <c r="A67" s="69" t="s">
        <v>230</v>
      </c>
      <c r="B67" s="65">
        <f t="shared" si="8"/>
        <v>0.7</v>
      </c>
      <c r="C67" s="65">
        <f t="shared" si="9"/>
        <v>0.2</v>
      </c>
      <c r="D67" s="65" t="str">
        <f t="shared" si="9"/>
        <v>coal hard - RU</v>
      </c>
      <c r="E67" s="68">
        <v>0.05</v>
      </c>
      <c r="F67" s="66" t="s">
        <v>184</v>
      </c>
    </row>
    <row r="68" spans="1:7" x14ac:dyDescent="0.25">
      <c r="A68" s="74" t="s">
        <v>231</v>
      </c>
      <c r="B68" s="79">
        <f>24.7/32</f>
        <v>0.77187499999999998</v>
      </c>
      <c r="C68" s="78">
        <v>0.12</v>
      </c>
      <c r="D68" s="78" t="s">
        <v>123</v>
      </c>
      <c r="E68">
        <v>0</v>
      </c>
      <c r="F68" t="s">
        <v>23</v>
      </c>
      <c r="G68" t="s">
        <v>190</v>
      </c>
    </row>
    <row r="69" spans="1:7" x14ac:dyDescent="0.25">
      <c r="A69" s="54" t="s">
        <v>232</v>
      </c>
      <c r="B69" s="21">
        <f t="shared" ref="B69:B72" si="10">B$68</f>
        <v>0.77187499999999998</v>
      </c>
      <c r="C69" s="21">
        <f t="shared" ref="C69:D72" si="11">C$68</f>
        <v>0.12</v>
      </c>
      <c r="D69" s="21" t="str">
        <f t="shared" si="11"/>
        <v>coal coking - US</v>
      </c>
      <c r="E69">
        <v>0</v>
      </c>
      <c r="F69" t="s">
        <v>23</v>
      </c>
    </row>
    <row r="70" spans="1:7" x14ac:dyDescent="0.25">
      <c r="A70" s="54" t="s">
        <v>233</v>
      </c>
      <c r="B70" s="21">
        <f t="shared" si="10"/>
        <v>0.77187499999999998</v>
      </c>
      <c r="C70" s="21">
        <f t="shared" si="11"/>
        <v>0.12</v>
      </c>
      <c r="D70" s="21" t="str">
        <f t="shared" si="11"/>
        <v>coal coking - US</v>
      </c>
      <c r="E70" s="56">
        <v>0.05</v>
      </c>
      <c r="F70" t="s">
        <v>23</v>
      </c>
    </row>
    <row r="71" spans="1:7" x14ac:dyDescent="0.25">
      <c r="A71" s="54" t="s">
        <v>234</v>
      </c>
      <c r="B71" s="21">
        <f t="shared" si="10"/>
        <v>0.77187499999999998</v>
      </c>
      <c r="C71" s="21">
        <f t="shared" si="11"/>
        <v>0.12</v>
      </c>
      <c r="D71" s="21" t="str">
        <f t="shared" si="11"/>
        <v>coal coking - US</v>
      </c>
      <c r="E71" s="56">
        <v>1</v>
      </c>
      <c r="F71" t="s">
        <v>23</v>
      </c>
    </row>
    <row r="72" spans="1:7" s="66" customFormat="1" ht="15.75" thickBot="1" x14ac:dyDescent="0.3">
      <c r="A72" s="69" t="s">
        <v>235</v>
      </c>
      <c r="B72" s="65">
        <f t="shared" si="10"/>
        <v>0.77187499999999998</v>
      </c>
      <c r="C72" s="65">
        <f t="shared" si="11"/>
        <v>0.12</v>
      </c>
      <c r="D72" s="65" t="str">
        <f t="shared" si="11"/>
        <v>coal coking - US</v>
      </c>
      <c r="E72" s="68">
        <v>0.05</v>
      </c>
      <c r="F72" s="66" t="s">
        <v>184</v>
      </c>
    </row>
    <row r="73" spans="1:7" x14ac:dyDescent="0.25">
      <c r="A73" s="74" t="s">
        <v>236</v>
      </c>
      <c r="B73" s="1">
        <v>0.7</v>
      </c>
      <c r="C73" s="80">
        <v>0.2</v>
      </c>
      <c r="D73" s="75" t="str">
        <f t="shared" ref="D73" si="12">D$7</f>
        <v>coal coking - IPCC</v>
      </c>
      <c r="E73">
        <v>0</v>
      </c>
      <c r="F73" t="s">
        <v>23</v>
      </c>
    </row>
    <row r="74" spans="1:7" x14ac:dyDescent="0.25">
      <c r="A74" s="54" t="s">
        <v>237</v>
      </c>
      <c r="B74" s="21">
        <f t="shared" ref="B74:B77" si="13">B$73</f>
        <v>0.7</v>
      </c>
      <c r="C74" s="21">
        <f t="shared" ref="C74:D77" si="14">C$73</f>
        <v>0.2</v>
      </c>
      <c r="D74" s="21" t="str">
        <f t="shared" si="14"/>
        <v>coal coking - IPCC</v>
      </c>
      <c r="E74">
        <v>0</v>
      </c>
      <c r="F74" t="s">
        <v>23</v>
      </c>
    </row>
    <row r="75" spans="1:7" x14ac:dyDescent="0.25">
      <c r="A75" s="54" t="s">
        <v>238</v>
      </c>
      <c r="B75" s="21">
        <f t="shared" si="13"/>
        <v>0.7</v>
      </c>
      <c r="C75" s="21">
        <f t="shared" si="14"/>
        <v>0.2</v>
      </c>
      <c r="D75" s="21" t="str">
        <f t="shared" si="14"/>
        <v>coal coking - IPCC</v>
      </c>
      <c r="E75" s="56">
        <v>0.05</v>
      </c>
      <c r="F75" t="s">
        <v>23</v>
      </c>
    </row>
    <row r="76" spans="1:7" x14ac:dyDescent="0.25">
      <c r="A76" s="54" t="s">
        <v>239</v>
      </c>
      <c r="B76" s="21">
        <f t="shared" si="13"/>
        <v>0.7</v>
      </c>
      <c r="C76" s="21">
        <f t="shared" si="14"/>
        <v>0.2</v>
      </c>
      <c r="D76" s="21" t="str">
        <f t="shared" si="14"/>
        <v>coal coking - IPCC</v>
      </c>
      <c r="E76" s="56">
        <v>1</v>
      </c>
      <c r="F76" t="s">
        <v>23</v>
      </c>
    </row>
    <row r="77" spans="1:7" s="66" customFormat="1" ht="15.75" thickBot="1" x14ac:dyDescent="0.3">
      <c r="A77" s="69" t="s">
        <v>240</v>
      </c>
      <c r="B77" s="65">
        <f t="shared" si="13"/>
        <v>0.7</v>
      </c>
      <c r="C77" s="65">
        <f t="shared" si="14"/>
        <v>0.2</v>
      </c>
      <c r="D77" s="65" t="str">
        <f t="shared" si="14"/>
        <v>coal coking - IPCC</v>
      </c>
      <c r="E77" s="68">
        <v>0.05</v>
      </c>
      <c r="F77" s="66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topLeftCell="A7" workbookViewId="0">
      <selection activeCell="A25" sqref="A25:XFD75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x14ac:dyDescent="0.25">
      <c r="A19" t="s">
        <v>151</v>
      </c>
    </row>
    <row r="20" spans="1:6" x14ac:dyDescent="0.25">
      <c r="A20" t="s">
        <v>158</v>
      </c>
    </row>
    <row r="21" spans="1:6" x14ac:dyDescent="0.25">
      <c r="A21" t="s">
        <v>152</v>
      </c>
    </row>
    <row r="22" spans="1:6" x14ac:dyDescent="0.25">
      <c r="A22" t="s">
        <v>143</v>
      </c>
    </row>
    <row r="23" spans="1:6" x14ac:dyDescent="0.25">
      <c r="A23" t="s">
        <v>153</v>
      </c>
    </row>
    <row r="24" spans="1:6" x14ac:dyDescent="0.25">
      <c r="A24" t="s">
        <v>156</v>
      </c>
    </row>
    <row r="25" spans="1:6" s="1" customFormat="1" x14ac:dyDescent="0.25">
      <c r="A25" s="73" t="s">
        <v>201</v>
      </c>
    </row>
    <row r="26" spans="1:6" s="1" customFormat="1" x14ac:dyDescent="0.25">
      <c r="A26" s="73" t="s">
        <v>202</v>
      </c>
    </row>
    <row r="27" spans="1:6" s="1" customFormat="1" x14ac:dyDescent="0.25">
      <c r="A27" s="73" t="s">
        <v>203</v>
      </c>
    </row>
    <row r="28" spans="1:6" x14ac:dyDescent="0.25">
      <c r="A28" s="55" t="s">
        <v>204</v>
      </c>
    </row>
    <row r="29" spans="1:6" x14ac:dyDescent="0.25">
      <c r="A29" s="55" t="s">
        <v>205</v>
      </c>
    </row>
    <row r="30" spans="1:6" x14ac:dyDescent="0.25">
      <c r="A30" s="55" t="s">
        <v>206</v>
      </c>
    </row>
    <row r="31" spans="1:6" x14ac:dyDescent="0.25">
      <c r="A31" s="55" t="s">
        <v>207</v>
      </c>
    </row>
    <row r="32" spans="1:6" x14ac:dyDescent="0.25">
      <c r="A32" s="55" t="s">
        <v>208</v>
      </c>
    </row>
    <row r="33" spans="1:1" x14ac:dyDescent="0.25">
      <c r="A33" s="55" t="s">
        <v>209</v>
      </c>
    </row>
    <row r="34" spans="1:1" x14ac:dyDescent="0.25">
      <c r="A34" s="55" t="s">
        <v>210</v>
      </c>
    </row>
    <row r="35" spans="1:1" x14ac:dyDescent="0.25">
      <c r="A35" s="55" t="s">
        <v>174</v>
      </c>
    </row>
    <row r="36" spans="1:1" x14ac:dyDescent="0.25">
      <c r="A36" s="55" t="s">
        <v>175</v>
      </c>
    </row>
    <row r="37" spans="1:1" x14ac:dyDescent="0.25">
      <c r="A37" s="55" t="s">
        <v>176</v>
      </c>
    </row>
    <row r="38" spans="1:1" x14ac:dyDescent="0.25">
      <c r="A38" s="55" t="s">
        <v>177</v>
      </c>
    </row>
    <row r="39" spans="1:1" s="66" customFormat="1" ht="15.75" thickBot="1" x14ac:dyDescent="0.3">
      <c r="A39" s="67" t="s">
        <v>178</v>
      </c>
    </row>
    <row r="40" spans="1:1" s="1" customFormat="1" x14ac:dyDescent="0.25">
      <c r="A40" s="73" t="s">
        <v>211</v>
      </c>
    </row>
    <row r="41" spans="1:1" s="1" customFormat="1" x14ac:dyDescent="0.25">
      <c r="A41" s="73" t="s">
        <v>212</v>
      </c>
    </row>
    <row r="42" spans="1:1" s="1" customFormat="1" x14ac:dyDescent="0.25">
      <c r="A42" s="73" t="s">
        <v>213</v>
      </c>
    </row>
    <row r="43" spans="1:1" x14ac:dyDescent="0.25">
      <c r="A43" s="55" t="s">
        <v>214</v>
      </c>
    </row>
    <row r="44" spans="1:1" x14ac:dyDescent="0.25">
      <c r="A44" s="55" t="s">
        <v>215</v>
      </c>
    </row>
    <row r="45" spans="1:1" x14ac:dyDescent="0.25">
      <c r="A45" s="55" t="s">
        <v>216</v>
      </c>
    </row>
    <row r="46" spans="1:1" x14ac:dyDescent="0.25">
      <c r="A46" s="55" t="s">
        <v>217</v>
      </c>
    </row>
    <row r="47" spans="1:1" x14ac:dyDescent="0.25">
      <c r="A47" s="55" t="s">
        <v>218</v>
      </c>
    </row>
    <row r="48" spans="1:1" x14ac:dyDescent="0.25">
      <c r="A48" s="55" t="s">
        <v>219</v>
      </c>
    </row>
    <row r="49" spans="1:1" x14ac:dyDescent="0.25">
      <c r="A49" s="55" t="s">
        <v>220</v>
      </c>
    </row>
    <row r="50" spans="1:1" x14ac:dyDescent="0.25">
      <c r="A50" s="55" t="s">
        <v>179</v>
      </c>
    </row>
    <row r="51" spans="1:1" x14ac:dyDescent="0.25">
      <c r="A51" s="55" t="s">
        <v>180</v>
      </c>
    </row>
    <row r="52" spans="1:1" x14ac:dyDescent="0.25">
      <c r="A52" s="55" t="s">
        <v>181</v>
      </c>
    </row>
    <row r="53" spans="1:1" x14ac:dyDescent="0.25">
      <c r="A53" s="55" t="s">
        <v>182</v>
      </c>
    </row>
    <row r="54" spans="1:1" s="66" customFormat="1" ht="15.75" thickBot="1" x14ac:dyDescent="0.3">
      <c r="A54" s="67" t="s">
        <v>183</v>
      </c>
    </row>
    <row r="55" spans="1:1" s="1" customFormat="1" x14ac:dyDescent="0.25">
      <c r="A55" s="73" t="s">
        <v>221</v>
      </c>
    </row>
    <row r="56" spans="1:1" x14ac:dyDescent="0.25">
      <c r="A56" s="55" t="s">
        <v>222</v>
      </c>
    </row>
    <row r="57" spans="1:1" x14ac:dyDescent="0.25">
      <c r="A57" s="55" t="s">
        <v>223</v>
      </c>
    </row>
    <row r="58" spans="1:1" x14ac:dyDescent="0.25">
      <c r="A58" s="55" t="s">
        <v>224</v>
      </c>
    </row>
    <row r="59" spans="1:1" s="66" customFormat="1" ht="15.75" thickBot="1" x14ac:dyDescent="0.3">
      <c r="A59" s="67" t="s">
        <v>225</v>
      </c>
    </row>
    <row r="60" spans="1:1" s="1" customFormat="1" x14ac:dyDescent="0.25">
      <c r="A60" s="73" t="s">
        <v>226</v>
      </c>
    </row>
    <row r="61" spans="1:1" x14ac:dyDescent="0.25">
      <c r="A61" s="55" t="s">
        <v>227</v>
      </c>
    </row>
    <row r="62" spans="1:1" x14ac:dyDescent="0.25">
      <c r="A62" s="55" t="s">
        <v>228</v>
      </c>
    </row>
    <row r="63" spans="1:1" x14ac:dyDescent="0.25">
      <c r="A63" s="55" t="s">
        <v>229</v>
      </c>
    </row>
    <row r="64" spans="1:1" s="66" customFormat="1" ht="15.75" thickBot="1" x14ac:dyDescent="0.3">
      <c r="A64" s="67" t="s">
        <v>230</v>
      </c>
    </row>
    <row r="65" spans="1:1" s="1" customFormat="1" x14ac:dyDescent="0.25">
      <c r="A65" s="73" t="s">
        <v>231</v>
      </c>
    </row>
    <row r="66" spans="1:1" x14ac:dyDescent="0.25">
      <c r="A66" s="55" t="s">
        <v>232</v>
      </c>
    </row>
    <row r="67" spans="1:1" x14ac:dyDescent="0.25">
      <c r="A67" s="55" t="s">
        <v>233</v>
      </c>
    </row>
    <row r="68" spans="1:1" x14ac:dyDescent="0.25">
      <c r="A68" s="55" t="s">
        <v>234</v>
      </c>
    </row>
    <row r="69" spans="1:1" s="66" customFormat="1" ht="15.75" thickBot="1" x14ac:dyDescent="0.3">
      <c r="A69" s="67" t="s">
        <v>235</v>
      </c>
    </row>
    <row r="70" spans="1:1" s="1" customFormat="1" x14ac:dyDescent="0.25">
      <c r="A70" s="73" t="s">
        <v>236</v>
      </c>
    </row>
    <row r="71" spans="1:1" x14ac:dyDescent="0.25">
      <c r="A71" s="55" t="s">
        <v>237</v>
      </c>
    </row>
    <row r="72" spans="1:1" x14ac:dyDescent="0.25">
      <c r="A72" s="55" t="s">
        <v>238</v>
      </c>
    </row>
    <row r="73" spans="1:1" x14ac:dyDescent="0.25">
      <c r="A73" s="55" t="s">
        <v>239</v>
      </c>
    </row>
    <row r="74" spans="1:1" s="66" customFormat="1" ht="15.75" thickBot="1" x14ac:dyDescent="0.3">
      <c r="A74" s="67" t="s">
        <v>240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" workbookViewId="0">
      <selection activeCell="A22" sqref="A22:XFD72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</v>
      </c>
      <c r="C4">
        <v>0</v>
      </c>
    </row>
    <row r="5" spans="1:3" x14ac:dyDescent="0.25">
      <c r="A5" t="s">
        <v>107</v>
      </c>
      <c r="B5">
        <v>0.01</v>
      </c>
      <c r="C5">
        <v>0</v>
      </c>
    </row>
    <row r="6" spans="1:3" x14ac:dyDescent="0.25">
      <c r="A6" t="s">
        <v>108</v>
      </c>
      <c r="B6">
        <v>0.01</v>
      </c>
      <c r="C6">
        <v>0</v>
      </c>
    </row>
    <row r="7" spans="1:3" x14ac:dyDescent="0.25">
      <c r="A7" t="s">
        <v>109</v>
      </c>
      <c r="B7">
        <v>0.01</v>
      </c>
      <c r="C7">
        <v>0</v>
      </c>
    </row>
    <row r="8" spans="1:3" x14ac:dyDescent="0.25">
      <c r="A8" t="s">
        <v>110</v>
      </c>
      <c r="B8">
        <v>0.01</v>
      </c>
      <c r="C8">
        <v>0</v>
      </c>
    </row>
    <row r="9" spans="1:3" x14ac:dyDescent="0.25">
      <c r="A9" t="s">
        <v>111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  <row r="11" spans="1:3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x14ac:dyDescent="0.25">
      <c r="A13" t="s">
        <v>133</v>
      </c>
      <c r="B13">
        <f t="shared" si="1"/>
        <v>0.01</v>
      </c>
      <c r="C13">
        <f t="shared" si="0"/>
        <v>0</v>
      </c>
    </row>
    <row r="14" spans="1:3" x14ac:dyDescent="0.25">
      <c r="A14" t="s">
        <v>134</v>
      </c>
      <c r="B14">
        <f t="shared" si="1"/>
        <v>0.01</v>
      </c>
      <c r="C14">
        <f t="shared" si="0"/>
        <v>0</v>
      </c>
    </row>
    <row r="15" spans="1:3" x14ac:dyDescent="0.25">
      <c r="A15" t="s">
        <v>127</v>
      </c>
      <c r="B15">
        <f t="shared" si="1"/>
        <v>0.01</v>
      </c>
      <c r="C15">
        <f t="shared" si="0"/>
        <v>0</v>
      </c>
    </row>
    <row r="16" spans="1:3" x14ac:dyDescent="0.25">
      <c r="A16" t="s">
        <v>151</v>
      </c>
    </row>
    <row r="17" spans="1:1" x14ac:dyDescent="0.25">
      <c r="A17" t="s">
        <v>158</v>
      </c>
    </row>
    <row r="18" spans="1:1" x14ac:dyDescent="0.25">
      <c r="A18" t="s">
        <v>152</v>
      </c>
    </row>
    <row r="19" spans="1:1" x14ac:dyDescent="0.25">
      <c r="A19" t="s">
        <v>143</v>
      </c>
    </row>
    <row r="20" spans="1:1" x14ac:dyDescent="0.25">
      <c r="A20" t="s">
        <v>153</v>
      </c>
    </row>
    <row r="21" spans="1:1" x14ac:dyDescent="0.25">
      <c r="A21" t="s">
        <v>156</v>
      </c>
    </row>
    <row r="22" spans="1:1" s="1" customFormat="1" x14ac:dyDescent="0.25">
      <c r="A22" s="73" t="s">
        <v>201</v>
      </c>
    </row>
    <row r="23" spans="1:1" s="1" customFormat="1" x14ac:dyDescent="0.25">
      <c r="A23" s="73" t="s">
        <v>202</v>
      </c>
    </row>
    <row r="24" spans="1:1" s="1" customFormat="1" x14ac:dyDescent="0.25">
      <c r="A24" s="73" t="s">
        <v>203</v>
      </c>
    </row>
    <row r="25" spans="1:1" x14ac:dyDescent="0.25">
      <c r="A25" s="55" t="s">
        <v>204</v>
      </c>
    </row>
    <row r="26" spans="1:1" x14ac:dyDescent="0.25">
      <c r="A26" s="55" t="s">
        <v>205</v>
      </c>
    </row>
    <row r="27" spans="1:1" x14ac:dyDescent="0.25">
      <c r="A27" s="55" t="s">
        <v>206</v>
      </c>
    </row>
    <row r="28" spans="1:1" x14ac:dyDescent="0.25">
      <c r="A28" s="55" t="s">
        <v>207</v>
      </c>
    </row>
    <row r="29" spans="1:1" x14ac:dyDescent="0.25">
      <c r="A29" s="55" t="s">
        <v>208</v>
      </c>
    </row>
    <row r="30" spans="1:1" x14ac:dyDescent="0.25">
      <c r="A30" s="55" t="s">
        <v>209</v>
      </c>
    </row>
    <row r="31" spans="1:1" x14ac:dyDescent="0.25">
      <c r="A31" s="55" t="s">
        <v>210</v>
      </c>
    </row>
    <row r="32" spans="1:1" x14ac:dyDescent="0.25">
      <c r="A32" s="55" t="s">
        <v>174</v>
      </c>
    </row>
    <row r="33" spans="1:1" x14ac:dyDescent="0.25">
      <c r="A33" s="55" t="s">
        <v>175</v>
      </c>
    </row>
    <row r="34" spans="1:1" x14ac:dyDescent="0.25">
      <c r="A34" s="55" t="s">
        <v>176</v>
      </c>
    </row>
    <row r="35" spans="1:1" x14ac:dyDescent="0.25">
      <c r="A35" s="55" t="s">
        <v>177</v>
      </c>
    </row>
    <row r="36" spans="1:1" s="66" customFormat="1" ht="15.75" thickBot="1" x14ac:dyDescent="0.3">
      <c r="A36" s="67" t="s">
        <v>178</v>
      </c>
    </row>
    <row r="37" spans="1:1" s="1" customFormat="1" x14ac:dyDescent="0.25">
      <c r="A37" s="73" t="s">
        <v>211</v>
      </c>
    </row>
    <row r="38" spans="1:1" s="1" customFormat="1" x14ac:dyDescent="0.25">
      <c r="A38" s="73" t="s">
        <v>212</v>
      </c>
    </row>
    <row r="39" spans="1:1" s="1" customFormat="1" x14ac:dyDescent="0.25">
      <c r="A39" s="73" t="s">
        <v>213</v>
      </c>
    </row>
    <row r="40" spans="1:1" x14ac:dyDescent="0.25">
      <c r="A40" s="55" t="s">
        <v>214</v>
      </c>
    </row>
    <row r="41" spans="1:1" x14ac:dyDescent="0.25">
      <c r="A41" s="55" t="s">
        <v>215</v>
      </c>
    </row>
    <row r="42" spans="1:1" x14ac:dyDescent="0.25">
      <c r="A42" s="55" t="s">
        <v>216</v>
      </c>
    </row>
    <row r="43" spans="1:1" x14ac:dyDescent="0.25">
      <c r="A43" s="55" t="s">
        <v>217</v>
      </c>
    </row>
    <row r="44" spans="1:1" x14ac:dyDescent="0.25">
      <c r="A44" s="55" t="s">
        <v>218</v>
      </c>
    </row>
    <row r="45" spans="1:1" x14ac:dyDescent="0.25">
      <c r="A45" s="55" t="s">
        <v>219</v>
      </c>
    </row>
    <row r="46" spans="1:1" x14ac:dyDescent="0.25">
      <c r="A46" s="55" t="s">
        <v>220</v>
      </c>
    </row>
    <row r="47" spans="1:1" x14ac:dyDescent="0.25">
      <c r="A47" s="55" t="s">
        <v>179</v>
      </c>
    </row>
    <row r="48" spans="1:1" x14ac:dyDescent="0.25">
      <c r="A48" s="55" t="s">
        <v>180</v>
      </c>
    </row>
    <row r="49" spans="1:1" x14ac:dyDescent="0.25">
      <c r="A49" s="55" t="s">
        <v>181</v>
      </c>
    </row>
    <row r="50" spans="1:1" x14ac:dyDescent="0.25">
      <c r="A50" s="55" t="s">
        <v>182</v>
      </c>
    </row>
    <row r="51" spans="1:1" s="66" customFormat="1" ht="15.75" thickBot="1" x14ac:dyDescent="0.3">
      <c r="A51" s="67" t="s">
        <v>183</v>
      </c>
    </row>
    <row r="52" spans="1:1" s="1" customFormat="1" x14ac:dyDescent="0.25">
      <c r="A52" s="73" t="s">
        <v>221</v>
      </c>
    </row>
    <row r="53" spans="1:1" x14ac:dyDescent="0.25">
      <c r="A53" s="55" t="s">
        <v>222</v>
      </c>
    </row>
    <row r="54" spans="1:1" x14ac:dyDescent="0.25">
      <c r="A54" s="55" t="s">
        <v>223</v>
      </c>
    </row>
    <row r="55" spans="1:1" x14ac:dyDescent="0.25">
      <c r="A55" s="55" t="s">
        <v>224</v>
      </c>
    </row>
    <row r="56" spans="1:1" s="66" customFormat="1" ht="15.75" thickBot="1" x14ac:dyDescent="0.3">
      <c r="A56" s="67" t="s">
        <v>225</v>
      </c>
    </row>
    <row r="57" spans="1:1" s="1" customFormat="1" x14ac:dyDescent="0.25">
      <c r="A57" s="73" t="s">
        <v>226</v>
      </c>
    </row>
    <row r="58" spans="1:1" x14ac:dyDescent="0.25">
      <c r="A58" s="55" t="s">
        <v>227</v>
      </c>
    </row>
    <row r="59" spans="1:1" x14ac:dyDescent="0.25">
      <c r="A59" s="55" t="s">
        <v>228</v>
      </c>
    </row>
    <row r="60" spans="1:1" x14ac:dyDescent="0.25">
      <c r="A60" s="55" t="s">
        <v>229</v>
      </c>
    </row>
    <row r="61" spans="1:1" s="66" customFormat="1" ht="15.75" thickBot="1" x14ac:dyDescent="0.3">
      <c r="A61" s="67" t="s">
        <v>230</v>
      </c>
    </row>
    <row r="62" spans="1:1" s="1" customFormat="1" x14ac:dyDescent="0.25">
      <c r="A62" s="73" t="s">
        <v>231</v>
      </c>
    </row>
    <row r="63" spans="1:1" x14ac:dyDescent="0.25">
      <c r="A63" s="55" t="s">
        <v>232</v>
      </c>
    </row>
    <row r="64" spans="1:1" x14ac:dyDescent="0.25">
      <c r="A64" s="55" t="s">
        <v>233</v>
      </c>
    </row>
    <row r="65" spans="1:1" x14ac:dyDescent="0.25">
      <c r="A65" s="55" t="s">
        <v>234</v>
      </c>
    </row>
    <row r="66" spans="1:1" s="66" customFormat="1" ht="15.75" thickBot="1" x14ac:dyDescent="0.3">
      <c r="A66" s="67" t="s">
        <v>235</v>
      </c>
    </row>
    <row r="67" spans="1:1" s="1" customFormat="1" x14ac:dyDescent="0.25">
      <c r="A67" s="73" t="s">
        <v>236</v>
      </c>
    </row>
    <row r="68" spans="1:1" x14ac:dyDescent="0.25">
      <c r="A68" s="55" t="s">
        <v>237</v>
      </c>
    </row>
    <row r="69" spans="1:1" x14ac:dyDescent="0.25">
      <c r="A69" s="55" t="s">
        <v>238</v>
      </c>
    </row>
    <row r="70" spans="1:1" x14ac:dyDescent="0.25">
      <c r="A70" s="55" t="s">
        <v>239</v>
      </c>
    </row>
    <row r="71" spans="1:1" s="66" customFormat="1" ht="15.75" thickBot="1" x14ac:dyDescent="0.3">
      <c r="A71" s="67" t="s">
        <v>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10" workbookViewId="0">
      <selection activeCell="C33" sqref="C33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x14ac:dyDescent="0.25">
      <c r="A23" t="s">
        <v>166</v>
      </c>
      <c r="B23" s="45" t="s">
        <v>67</v>
      </c>
      <c r="C23" s="23" t="s">
        <v>23</v>
      </c>
      <c r="D23" s="23" t="s">
        <v>69</v>
      </c>
    </row>
    <row r="24" spans="1:4" s="1" customFormat="1" x14ac:dyDescent="0.25">
      <c r="A24" s="73" t="s">
        <v>201</v>
      </c>
    </row>
    <row r="25" spans="1:4" s="1" customFormat="1" x14ac:dyDescent="0.25">
      <c r="A25" s="73" t="s">
        <v>202</v>
      </c>
    </row>
    <row r="26" spans="1:4" s="1" customFormat="1" x14ac:dyDescent="0.25">
      <c r="A26" s="73" t="s">
        <v>203</v>
      </c>
    </row>
    <row r="27" spans="1:4" x14ac:dyDescent="0.25">
      <c r="A27" s="55" t="s">
        <v>204</v>
      </c>
    </row>
    <row r="28" spans="1:4" x14ac:dyDescent="0.25">
      <c r="A28" s="55" t="s">
        <v>205</v>
      </c>
    </row>
    <row r="29" spans="1:4" x14ac:dyDescent="0.25">
      <c r="A29" s="55" t="s">
        <v>206</v>
      </c>
    </row>
    <row r="30" spans="1:4" x14ac:dyDescent="0.25">
      <c r="A30" s="55" t="s">
        <v>207</v>
      </c>
    </row>
    <row r="31" spans="1:4" x14ac:dyDescent="0.25">
      <c r="A31" s="55" t="s">
        <v>208</v>
      </c>
    </row>
    <row r="32" spans="1:4" x14ac:dyDescent="0.25">
      <c r="A32" s="55" t="s">
        <v>209</v>
      </c>
    </row>
    <row r="33" spans="1:1" x14ac:dyDescent="0.25">
      <c r="A33" s="55" t="s">
        <v>210</v>
      </c>
    </row>
    <row r="34" spans="1:1" x14ac:dyDescent="0.25">
      <c r="A34" s="55" t="s">
        <v>174</v>
      </c>
    </row>
    <row r="35" spans="1:1" x14ac:dyDescent="0.25">
      <c r="A35" s="55" t="s">
        <v>175</v>
      </c>
    </row>
    <row r="36" spans="1:1" x14ac:dyDescent="0.25">
      <c r="A36" s="55" t="s">
        <v>176</v>
      </c>
    </row>
    <row r="37" spans="1:1" x14ac:dyDescent="0.25">
      <c r="A37" s="55" t="s">
        <v>177</v>
      </c>
    </row>
    <row r="38" spans="1:1" s="66" customFormat="1" ht="15.75" thickBot="1" x14ac:dyDescent="0.3">
      <c r="A38" s="67" t="s">
        <v>178</v>
      </c>
    </row>
    <row r="39" spans="1:1" s="1" customFormat="1" x14ac:dyDescent="0.25">
      <c r="A39" s="73" t="s">
        <v>211</v>
      </c>
    </row>
    <row r="40" spans="1:1" s="1" customFormat="1" x14ac:dyDescent="0.25">
      <c r="A40" s="73" t="s">
        <v>212</v>
      </c>
    </row>
    <row r="41" spans="1:1" s="1" customFormat="1" x14ac:dyDescent="0.25">
      <c r="A41" s="73" t="s">
        <v>213</v>
      </c>
    </row>
    <row r="42" spans="1:1" x14ac:dyDescent="0.25">
      <c r="A42" s="55" t="s">
        <v>214</v>
      </c>
    </row>
    <row r="43" spans="1:1" x14ac:dyDescent="0.25">
      <c r="A43" s="55" t="s">
        <v>215</v>
      </c>
    </row>
    <row r="44" spans="1:1" x14ac:dyDescent="0.25">
      <c r="A44" s="55" t="s">
        <v>216</v>
      </c>
    </row>
    <row r="45" spans="1:1" x14ac:dyDescent="0.25">
      <c r="A45" s="55" t="s">
        <v>217</v>
      </c>
    </row>
    <row r="46" spans="1:1" x14ac:dyDescent="0.25">
      <c r="A46" s="55" t="s">
        <v>218</v>
      </c>
    </row>
    <row r="47" spans="1:1" x14ac:dyDescent="0.25">
      <c r="A47" s="55" t="s">
        <v>219</v>
      </c>
    </row>
    <row r="48" spans="1:1" x14ac:dyDescent="0.25">
      <c r="A48" s="55" t="s">
        <v>220</v>
      </c>
    </row>
    <row r="49" spans="1:1" x14ac:dyDescent="0.25">
      <c r="A49" s="55" t="s">
        <v>179</v>
      </c>
    </row>
    <row r="50" spans="1:1" x14ac:dyDescent="0.25">
      <c r="A50" s="55" t="s">
        <v>180</v>
      </c>
    </row>
    <row r="51" spans="1:1" x14ac:dyDescent="0.25">
      <c r="A51" s="55" t="s">
        <v>181</v>
      </c>
    </row>
    <row r="52" spans="1:1" x14ac:dyDescent="0.25">
      <c r="A52" s="55" t="s">
        <v>182</v>
      </c>
    </row>
    <row r="53" spans="1:1" s="66" customFormat="1" ht="15.75" thickBot="1" x14ac:dyDescent="0.3">
      <c r="A53" s="67" t="s">
        <v>183</v>
      </c>
    </row>
    <row r="54" spans="1:1" s="1" customFormat="1" x14ac:dyDescent="0.25">
      <c r="A54" s="73" t="s">
        <v>221</v>
      </c>
    </row>
    <row r="55" spans="1:1" x14ac:dyDescent="0.25">
      <c r="A55" s="55" t="s">
        <v>222</v>
      </c>
    </row>
    <row r="56" spans="1:1" x14ac:dyDescent="0.25">
      <c r="A56" s="55" t="s">
        <v>223</v>
      </c>
    </row>
    <row r="57" spans="1:1" x14ac:dyDescent="0.25">
      <c r="A57" s="55" t="s">
        <v>224</v>
      </c>
    </row>
    <row r="58" spans="1:1" s="66" customFormat="1" ht="15.75" thickBot="1" x14ac:dyDescent="0.3">
      <c r="A58" s="67" t="s">
        <v>225</v>
      </c>
    </row>
    <row r="59" spans="1:1" s="1" customFormat="1" x14ac:dyDescent="0.25">
      <c r="A59" s="73" t="s">
        <v>226</v>
      </c>
    </row>
    <row r="60" spans="1:1" x14ac:dyDescent="0.25">
      <c r="A60" s="55" t="s">
        <v>227</v>
      </c>
    </row>
    <row r="61" spans="1:1" x14ac:dyDescent="0.25">
      <c r="A61" s="55" t="s">
        <v>228</v>
      </c>
    </row>
    <row r="62" spans="1:1" x14ac:dyDescent="0.25">
      <c r="A62" s="55" t="s">
        <v>229</v>
      </c>
    </row>
    <row r="63" spans="1:1" s="66" customFormat="1" ht="15.75" thickBot="1" x14ac:dyDescent="0.3">
      <c r="A63" s="67" t="s">
        <v>230</v>
      </c>
    </row>
    <row r="64" spans="1:1" s="1" customFormat="1" x14ac:dyDescent="0.25">
      <c r="A64" s="73" t="s">
        <v>231</v>
      </c>
    </row>
    <row r="65" spans="1:1" x14ac:dyDescent="0.25">
      <c r="A65" s="55" t="s">
        <v>232</v>
      </c>
    </row>
    <row r="66" spans="1:1" x14ac:dyDescent="0.25">
      <c r="A66" s="55" t="s">
        <v>233</v>
      </c>
    </row>
    <row r="67" spans="1:1" x14ac:dyDescent="0.25">
      <c r="A67" s="55" t="s">
        <v>234</v>
      </c>
    </row>
    <row r="68" spans="1:1" s="66" customFormat="1" ht="15.75" thickBot="1" x14ac:dyDescent="0.3">
      <c r="A68" s="67" t="s">
        <v>235</v>
      </c>
    </row>
    <row r="69" spans="1:1" s="1" customFormat="1" x14ac:dyDescent="0.25">
      <c r="A69" s="73" t="s">
        <v>236</v>
      </c>
    </row>
    <row r="70" spans="1:1" x14ac:dyDescent="0.25">
      <c r="A70" s="55" t="s">
        <v>237</v>
      </c>
    </row>
    <row r="71" spans="1:1" x14ac:dyDescent="0.25">
      <c r="A71" s="55" t="s">
        <v>238</v>
      </c>
    </row>
    <row r="72" spans="1:1" x14ac:dyDescent="0.25">
      <c r="A72" s="55" t="s">
        <v>239</v>
      </c>
    </row>
    <row r="73" spans="1:1" s="66" customFormat="1" ht="15.75" thickBot="1" x14ac:dyDescent="0.3">
      <c r="A73" s="67" t="s">
        <v>240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9" sqref="D19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x14ac:dyDescent="0.25">
      <c r="A11" t="s">
        <v>143</v>
      </c>
      <c r="B11">
        <v>0</v>
      </c>
      <c r="C11">
        <v>1.454</v>
      </c>
      <c r="D11">
        <v>3.0000000000000001E-3</v>
      </c>
      <c r="E11" t="s">
        <v>137</v>
      </c>
      <c r="F11">
        <v>0</v>
      </c>
      <c r="G11" t="s">
        <v>23</v>
      </c>
      <c r="H11">
        <v>0</v>
      </c>
      <c r="I11">
        <v>2.5000000000000001E-2</v>
      </c>
    </row>
    <row r="12" spans="1:10" x14ac:dyDescent="0.25">
      <c r="A12" t="s">
        <v>153</v>
      </c>
      <c r="B12">
        <v>0</v>
      </c>
      <c r="C12">
        <v>1.33</v>
      </c>
      <c r="D12">
        <v>0</v>
      </c>
      <c r="E12" t="s">
        <v>120</v>
      </c>
      <c r="F12">
        <v>0</v>
      </c>
      <c r="G12" t="s">
        <v>23</v>
      </c>
      <c r="H12">
        <v>0</v>
      </c>
    </row>
    <row r="13" spans="1:10" x14ac:dyDescent="0.25">
      <c r="A13" t="s">
        <v>156</v>
      </c>
      <c r="B13">
        <v>0</v>
      </c>
      <c r="C13">
        <v>1.71</v>
      </c>
      <c r="D13">
        <f>0.18/47.1</f>
        <v>3.8216560509554136E-3</v>
      </c>
      <c r="E13" t="s">
        <v>120</v>
      </c>
      <c r="F13">
        <v>0</v>
      </c>
      <c r="G13" t="s">
        <v>23</v>
      </c>
      <c r="H13">
        <v>0</v>
      </c>
    </row>
    <row r="14" spans="1:10" x14ac:dyDescent="0.25">
      <c r="A14" t="s">
        <v>165</v>
      </c>
      <c r="B14">
        <v>0</v>
      </c>
      <c r="C14">
        <v>1.65</v>
      </c>
      <c r="D14">
        <f>0.51/47.1</f>
        <v>1.0828025477707006E-2</v>
      </c>
      <c r="E14" t="s">
        <v>120</v>
      </c>
      <c r="F14">
        <v>0</v>
      </c>
      <c r="G14" t="s">
        <v>23</v>
      </c>
      <c r="H14">
        <v>0</v>
      </c>
    </row>
    <row r="15" spans="1:10" x14ac:dyDescent="0.25">
      <c r="A15" t="s">
        <v>167</v>
      </c>
      <c r="B15">
        <v>0</v>
      </c>
      <c r="C15">
        <v>1.44</v>
      </c>
      <c r="D15">
        <v>0</v>
      </c>
      <c r="E15" t="s">
        <v>120</v>
      </c>
      <c r="F15">
        <v>0</v>
      </c>
      <c r="G15" t="s">
        <v>23</v>
      </c>
      <c r="H15">
        <v>0</v>
      </c>
    </row>
    <row r="16" spans="1:10" x14ac:dyDescent="0.25">
      <c r="A16" s="55" t="s">
        <v>174</v>
      </c>
    </row>
    <row r="17" spans="1:1" x14ac:dyDescent="0.25">
      <c r="A17" s="55" t="s">
        <v>175</v>
      </c>
    </row>
    <row r="18" spans="1:1" x14ac:dyDescent="0.25">
      <c r="A18" s="55" t="s">
        <v>176</v>
      </c>
    </row>
    <row r="19" spans="1:1" x14ac:dyDescent="0.25">
      <c r="A19" s="55" t="s">
        <v>177</v>
      </c>
    </row>
    <row r="20" spans="1:1" x14ac:dyDescent="0.25">
      <c r="A20" s="55" t="s">
        <v>178</v>
      </c>
    </row>
    <row r="21" spans="1:1" x14ac:dyDescent="0.25">
      <c r="A21" s="55" t="s">
        <v>179</v>
      </c>
    </row>
    <row r="22" spans="1:1" x14ac:dyDescent="0.25">
      <c r="A22" s="55" t="s">
        <v>180</v>
      </c>
    </row>
    <row r="23" spans="1:1" x14ac:dyDescent="0.25">
      <c r="A23" s="55" t="s">
        <v>181</v>
      </c>
    </row>
    <row r="24" spans="1:1" x14ac:dyDescent="0.25">
      <c r="A24" s="55" t="s">
        <v>182</v>
      </c>
    </row>
    <row r="25" spans="1:1" x14ac:dyDescent="0.25">
      <c r="A25" s="55" t="s">
        <v>183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B68" sqref="B68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1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81" t="s">
        <v>140</v>
      </c>
      <c r="E1" s="81" t="s">
        <v>61</v>
      </c>
      <c r="F1" t="s">
        <v>81</v>
      </c>
    </row>
    <row r="2" spans="1:6" x14ac:dyDescent="0.25">
      <c r="A2" s="2" t="s">
        <v>1</v>
      </c>
      <c r="B2" t="s">
        <v>65</v>
      </c>
      <c r="C2" t="s">
        <v>66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>
        <v>0.1</v>
      </c>
      <c r="C5">
        <v>0.1</v>
      </c>
    </row>
    <row r="6" spans="1:6" hidden="1" x14ac:dyDescent="0.25">
      <c r="A6" t="s">
        <v>107</v>
      </c>
      <c r="B6" s="23">
        <v>7.0000000000000007E-2</v>
      </c>
      <c r="C6" s="23">
        <v>0.108</v>
      </c>
    </row>
    <row r="7" spans="1:6" hidden="1" x14ac:dyDescent="0.25">
      <c r="A7" t="s">
        <v>108</v>
      </c>
      <c r="B7">
        <v>7.0000000000000007E-2</v>
      </c>
      <c r="C7">
        <v>0.108</v>
      </c>
    </row>
    <row r="8" spans="1:6" hidden="1" x14ac:dyDescent="0.25">
      <c r="A8" t="s">
        <v>109</v>
      </c>
      <c r="B8" s="23">
        <v>7.0000000000000007E-2</v>
      </c>
      <c r="C8" s="23">
        <v>0.108</v>
      </c>
    </row>
    <row r="9" spans="1:6" hidden="1" x14ac:dyDescent="0.25">
      <c r="A9" t="s">
        <v>110</v>
      </c>
      <c r="B9" s="23">
        <v>7.0000000000000007E-2</v>
      </c>
      <c r="C9">
        <f>17*Ref!B18</f>
        <v>6.1199999999999997E-2</v>
      </c>
      <c r="F9" s="35" t="s">
        <v>82</v>
      </c>
    </row>
    <row r="10" spans="1:6" hidden="1" x14ac:dyDescent="0.25">
      <c r="A10" t="s">
        <v>111</v>
      </c>
      <c r="B10" s="23">
        <v>7.0000000000000007E-2</v>
      </c>
      <c r="C10" s="23">
        <v>0.108</v>
      </c>
    </row>
    <row r="11" spans="1:6" hidden="1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136</v>
      </c>
      <c r="B16">
        <f>0.07</f>
        <v>7.0000000000000007E-2</v>
      </c>
      <c r="C16">
        <v>0.108</v>
      </c>
    </row>
    <row r="17" spans="1:6" hidden="1" x14ac:dyDescent="0.25">
      <c r="A17" t="s">
        <v>191</v>
      </c>
      <c r="B17">
        <v>5.0000000000000001E-3</v>
      </c>
      <c r="C17">
        <f>5*Ref!B18</f>
        <v>1.7999999999999999E-2</v>
      </c>
      <c r="D17" s="81" t="s">
        <v>194</v>
      </c>
      <c r="F17" t="s">
        <v>196</v>
      </c>
    </row>
    <row r="18" spans="1:6" hidden="1" x14ac:dyDescent="0.25">
      <c r="A18" t="s">
        <v>192</v>
      </c>
      <c r="B18">
        <v>0.05</v>
      </c>
      <c r="C18">
        <f>25*Ref!B18</f>
        <v>0.09</v>
      </c>
      <c r="D18" s="81" t="s">
        <v>193</v>
      </c>
      <c r="F18" t="s">
        <v>195</v>
      </c>
    </row>
    <row r="19" spans="1:6" hidden="1" x14ac:dyDescent="0.25">
      <c r="A19" t="s">
        <v>197</v>
      </c>
      <c r="B19">
        <v>0.05</v>
      </c>
      <c r="C19">
        <f>40*Ref!B18</f>
        <v>0.14399999999999999</v>
      </c>
      <c r="F19" t="s">
        <v>195</v>
      </c>
    </row>
    <row r="20" spans="1:6" hidden="1" x14ac:dyDescent="0.25">
      <c r="A20" t="s">
        <v>127</v>
      </c>
      <c r="B20">
        <f>0.07</f>
        <v>7.0000000000000007E-2</v>
      </c>
      <c r="C20">
        <v>0.108</v>
      </c>
    </row>
    <row r="21" spans="1:6" hidden="1" x14ac:dyDescent="0.25">
      <c r="A21" t="s">
        <v>151</v>
      </c>
      <c r="B21">
        <v>7.0000000000000007E-2</v>
      </c>
      <c r="C21">
        <v>0.108</v>
      </c>
    </row>
    <row r="22" spans="1:6" hidden="1" x14ac:dyDescent="0.25">
      <c r="A22" t="s">
        <v>169</v>
      </c>
      <c r="B22">
        <v>7.0000000000000007E-2</v>
      </c>
      <c r="C22">
        <v>0.108</v>
      </c>
    </row>
    <row r="23" spans="1:6" hidden="1" x14ac:dyDescent="0.25">
      <c r="A23" t="s">
        <v>170</v>
      </c>
      <c r="B23">
        <v>7.0000000000000007E-2</v>
      </c>
      <c r="C23">
        <v>0.108</v>
      </c>
    </row>
    <row r="24" spans="1:6" hidden="1" x14ac:dyDescent="0.25">
      <c r="A24" t="s">
        <v>166</v>
      </c>
      <c r="B24">
        <v>7.0000000000000007E-2</v>
      </c>
      <c r="C24">
        <v>0.108</v>
      </c>
    </row>
    <row r="25" spans="1:6" s="30" customFormat="1" hidden="1" x14ac:dyDescent="0.25">
      <c r="A25" s="30" t="s">
        <v>158</v>
      </c>
      <c r="B25" s="30">
        <v>7.0000000000000007E-2</v>
      </c>
      <c r="C25" s="30">
        <v>0.108</v>
      </c>
      <c r="D25" s="100"/>
      <c r="E25" s="100"/>
    </row>
    <row r="26" spans="1:6" s="99" customFormat="1" x14ac:dyDescent="0.25">
      <c r="A26" s="95" t="s">
        <v>201</v>
      </c>
      <c r="B26" s="98">
        <v>0.05</v>
      </c>
      <c r="C26" s="98">
        <v>0.09</v>
      </c>
      <c r="D26" s="101"/>
      <c r="E26" s="101"/>
    </row>
    <row r="27" spans="1:6" x14ac:dyDescent="0.25">
      <c r="A27" s="73" t="s">
        <v>202</v>
      </c>
      <c r="B27" s="1">
        <v>0.05</v>
      </c>
      <c r="C27" s="1">
        <v>1.7999999999999999E-2</v>
      </c>
      <c r="D27" s="82"/>
      <c r="E27" s="82"/>
    </row>
    <row r="28" spans="1:6" x14ac:dyDescent="0.25">
      <c r="A28" s="73" t="s">
        <v>203</v>
      </c>
      <c r="B28" s="80">
        <v>0.05</v>
      </c>
      <c r="C28" s="80">
        <v>1.7999999999999999E-2</v>
      </c>
      <c r="D28" s="82"/>
      <c r="E28" s="82"/>
    </row>
    <row r="29" spans="1:6" x14ac:dyDescent="0.25">
      <c r="A29" s="55" t="s">
        <v>204</v>
      </c>
      <c r="B29">
        <f>B$26</f>
        <v>0.05</v>
      </c>
      <c r="C29">
        <f>C$26</f>
        <v>0.09</v>
      </c>
    </row>
    <row r="30" spans="1:6" x14ac:dyDescent="0.25">
      <c r="A30" s="55" t="s">
        <v>205</v>
      </c>
      <c r="B30">
        <f>B$27</f>
        <v>0.05</v>
      </c>
      <c r="C30">
        <f>C$27</f>
        <v>1.7999999999999999E-2</v>
      </c>
    </row>
    <row r="31" spans="1:6" x14ac:dyDescent="0.25">
      <c r="A31" s="55" t="s">
        <v>206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207</v>
      </c>
      <c r="B32">
        <f>B$27</f>
        <v>0.05</v>
      </c>
      <c r="C32">
        <f>C$27</f>
        <v>1.7999999999999999E-2</v>
      </c>
    </row>
    <row r="33" spans="1:6" x14ac:dyDescent="0.25">
      <c r="A33" s="55" t="s">
        <v>208</v>
      </c>
      <c r="B33">
        <f>B$28</f>
        <v>0.05</v>
      </c>
      <c r="C33">
        <f>C$28</f>
        <v>1.7999999999999999E-2</v>
      </c>
    </row>
    <row r="34" spans="1:6" x14ac:dyDescent="0.25">
      <c r="A34" s="55" t="s">
        <v>209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210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174</v>
      </c>
      <c r="B36">
        <f>B$26</f>
        <v>0.05</v>
      </c>
      <c r="C36">
        <f>C$26</f>
        <v>0.09</v>
      </c>
    </row>
    <row r="37" spans="1:6" x14ac:dyDescent="0.25">
      <c r="A37" s="55" t="s">
        <v>175</v>
      </c>
      <c r="B37">
        <f>B$27</f>
        <v>0.05</v>
      </c>
      <c r="C37">
        <f>C$27</f>
        <v>1.7999999999999999E-2</v>
      </c>
    </row>
    <row r="38" spans="1:6" x14ac:dyDescent="0.25">
      <c r="A38" s="55" t="s">
        <v>176</v>
      </c>
      <c r="B38">
        <f>B$27</f>
        <v>0.05</v>
      </c>
      <c r="C38">
        <f>C$27</f>
        <v>1.7999999999999999E-2</v>
      </c>
    </row>
    <row r="39" spans="1:6" x14ac:dyDescent="0.25">
      <c r="A39" s="55" t="s">
        <v>177</v>
      </c>
      <c r="B39">
        <f>B$28</f>
        <v>0.05</v>
      </c>
      <c r="C39">
        <f>C$28</f>
        <v>1.7999999999999999E-2</v>
      </c>
    </row>
    <row r="40" spans="1:6" s="66" customFormat="1" ht="15.75" thickBot="1" x14ac:dyDescent="0.3">
      <c r="A40" s="67" t="s">
        <v>178</v>
      </c>
      <c r="B40" s="66">
        <f>B$28</f>
        <v>0.05</v>
      </c>
      <c r="C40" s="66">
        <f>C$28</f>
        <v>1.7999999999999999E-2</v>
      </c>
      <c r="D40" s="83"/>
      <c r="E40" s="83"/>
    </row>
    <row r="41" spans="1:6" s="1" customFormat="1" x14ac:dyDescent="0.25">
      <c r="A41" s="73" t="s">
        <v>211</v>
      </c>
      <c r="B41" s="1">
        <v>0.05</v>
      </c>
      <c r="C41" s="1">
        <f>45*Ref!B18</f>
        <v>0.16200000000000001</v>
      </c>
      <c r="D41" s="82">
        <v>150</v>
      </c>
      <c r="E41" s="82" t="s">
        <v>67</v>
      </c>
      <c r="F41" s="35" t="s">
        <v>198</v>
      </c>
    </row>
    <row r="42" spans="1:6" x14ac:dyDescent="0.25">
      <c r="A42" s="73" t="s">
        <v>212</v>
      </c>
      <c r="B42" s="1">
        <v>0.05</v>
      </c>
      <c r="C42" s="1">
        <f>18*Ref!B18</f>
        <v>6.4799999999999996E-2</v>
      </c>
      <c r="D42" s="82">
        <v>130</v>
      </c>
      <c r="F42" s="35" t="s">
        <v>198</v>
      </c>
    </row>
    <row r="43" spans="1:6" s="1" customFormat="1" x14ac:dyDescent="0.25">
      <c r="A43" s="73" t="s">
        <v>213</v>
      </c>
      <c r="B43" s="80">
        <v>0.05</v>
      </c>
      <c r="C43" s="80">
        <v>6.4799999999999996E-2</v>
      </c>
      <c r="E43" s="82"/>
    </row>
    <row r="44" spans="1:6" x14ac:dyDescent="0.25">
      <c r="A44" s="55" t="s">
        <v>214</v>
      </c>
      <c r="B44">
        <f>B$41</f>
        <v>0.05</v>
      </c>
      <c r="C44">
        <f>C$41</f>
        <v>0.16200000000000001</v>
      </c>
    </row>
    <row r="45" spans="1:6" x14ac:dyDescent="0.25">
      <c r="A45" s="55" t="s">
        <v>215</v>
      </c>
      <c r="B45">
        <f>B$42</f>
        <v>0.05</v>
      </c>
      <c r="C45">
        <f>C$42</f>
        <v>6.4799999999999996E-2</v>
      </c>
    </row>
    <row r="46" spans="1:6" x14ac:dyDescent="0.25">
      <c r="A46" s="55" t="s">
        <v>216</v>
      </c>
      <c r="B46">
        <f>B$41</f>
        <v>0.05</v>
      </c>
      <c r="C46">
        <f>C$41</f>
        <v>0.16200000000000001</v>
      </c>
    </row>
    <row r="47" spans="1:6" x14ac:dyDescent="0.25">
      <c r="A47" s="55" t="s">
        <v>217</v>
      </c>
      <c r="B47">
        <f>B$42</f>
        <v>0.05</v>
      </c>
      <c r="C47">
        <f>C$42</f>
        <v>6.4799999999999996E-2</v>
      </c>
    </row>
    <row r="48" spans="1:6" x14ac:dyDescent="0.25">
      <c r="A48" s="55" t="s">
        <v>218</v>
      </c>
      <c r="B48">
        <f>B$43</f>
        <v>0.05</v>
      </c>
      <c r="C48">
        <f>C$43</f>
        <v>6.4799999999999996E-2</v>
      </c>
    </row>
    <row r="49" spans="1:6" x14ac:dyDescent="0.25">
      <c r="A49" s="55" t="s">
        <v>219</v>
      </c>
      <c r="B49">
        <f>B$41</f>
        <v>0.05</v>
      </c>
      <c r="C49">
        <f>C$41</f>
        <v>0.16200000000000001</v>
      </c>
    </row>
    <row r="50" spans="1:6" x14ac:dyDescent="0.25">
      <c r="A50" s="55" t="s">
        <v>220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179</v>
      </c>
      <c r="B51">
        <f>B$41</f>
        <v>0.05</v>
      </c>
      <c r="C51">
        <f>C$41</f>
        <v>0.16200000000000001</v>
      </c>
    </row>
    <row r="52" spans="1:6" x14ac:dyDescent="0.25">
      <c r="A52" s="55" t="s">
        <v>180</v>
      </c>
      <c r="B52">
        <f>B$42</f>
        <v>0.05</v>
      </c>
      <c r="C52">
        <f>C$42</f>
        <v>6.4799999999999996E-2</v>
      </c>
    </row>
    <row r="53" spans="1:6" x14ac:dyDescent="0.25">
      <c r="A53" s="55" t="s">
        <v>181</v>
      </c>
      <c r="B53">
        <f>B$42</f>
        <v>0.05</v>
      </c>
      <c r="C53">
        <f>C$42</f>
        <v>6.4799999999999996E-2</v>
      </c>
    </row>
    <row r="54" spans="1:6" x14ac:dyDescent="0.25">
      <c r="A54" s="55" t="s">
        <v>182</v>
      </c>
      <c r="B54">
        <f>B$43</f>
        <v>0.05</v>
      </c>
      <c r="C54">
        <f>C$43</f>
        <v>6.4799999999999996E-2</v>
      </c>
    </row>
    <row r="55" spans="1:6" s="66" customFormat="1" ht="15.75" thickBot="1" x14ac:dyDescent="0.3">
      <c r="A55" s="67" t="s">
        <v>183</v>
      </c>
      <c r="B55" s="66">
        <f>B$43</f>
        <v>0.05</v>
      </c>
      <c r="C55" s="66">
        <f>C$43</f>
        <v>6.4799999999999996E-2</v>
      </c>
      <c r="D55" s="83"/>
      <c r="E55" s="83"/>
    </row>
    <row r="56" spans="1:6" x14ac:dyDescent="0.25">
      <c r="A56" s="74" t="s">
        <v>221</v>
      </c>
      <c r="B56" s="80">
        <v>0.05</v>
      </c>
      <c r="C56" s="80">
        <v>0.09</v>
      </c>
    </row>
    <row r="57" spans="1:6" x14ac:dyDescent="0.25">
      <c r="A57" s="54" t="s">
        <v>222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223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224</v>
      </c>
      <c r="B59">
        <f t="shared" si="6"/>
        <v>0.05</v>
      </c>
      <c r="C59">
        <f t="shared" si="6"/>
        <v>0.09</v>
      </c>
    </row>
    <row r="60" spans="1:6" s="66" customFormat="1" ht="15.75" thickBot="1" x14ac:dyDescent="0.3">
      <c r="A60" s="69" t="s">
        <v>225</v>
      </c>
      <c r="B60" s="66">
        <f t="shared" si="6"/>
        <v>0.05</v>
      </c>
      <c r="C60" s="66">
        <f t="shared" si="6"/>
        <v>0.09</v>
      </c>
      <c r="D60" s="83"/>
      <c r="E60" s="83"/>
    </row>
    <row r="61" spans="1:6" x14ac:dyDescent="0.25">
      <c r="A61" s="74" t="s">
        <v>226</v>
      </c>
      <c r="B61">
        <v>0.05</v>
      </c>
      <c r="C61">
        <f>17*Ref!B18</f>
        <v>6.1199999999999997E-2</v>
      </c>
      <c r="F61" t="s">
        <v>199</v>
      </c>
    </row>
    <row r="62" spans="1:6" x14ac:dyDescent="0.25">
      <c r="A62" s="54" t="s">
        <v>227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228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229</v>
      </c>
      <c r="B64">
        <f t="shared" si="7"/>
        <v>0.05</v>
      </c>
      <c r="C64">
        <f t="shared" si="7"/>
        <v>6.1199999999999997E-2</v>
      </c>
    </row>
    <row r="65" spans="1:5" s="66" customFormat="1" ht="15.75" thickBot="1" x14ac:dyDescent="0.3">
      <c r="A65" s="69" t="s">
        <v>230</v>
      </c>
      <c r="B65" s="66">
        <f t="shared" si="7"/>
        <v>0.05</v>
      </c>
      <c r="C65" s="66">
        <f t="shared" si="7"/>
        <v>6.1199999999999997E-2</v>
      </c>
      <c r="D65" s="83"/>
      <c r="E65" s="83"/>
    </row>
    <row r="66" spans="1:5" s="1" customFormat="1" x14ac:dyDescent="0.25">
      <c r="A66" s="74" t="s">
        <v>231</v>
      </c>
      <c r="B66" s="1">
        <v>0.05</v>
      </c>
      <c r="C66" s="77">
        <f>20*Ref!B18</f>
        <v>7.1999999999999995E-2</v>
      </c>
      <c r="D66" s="82"/>
      <c r="E66" s="82"/>
    </row>
    <row r="67" spans="1:5" x14ac:dyDescent="0.25">
      <c r="A67" s="54" t="s">
        <v>232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233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234</v>
      </c>
      <c r="B69" s="62">
        <f t="shared" si="8"/>
        <v>0.05</v>
      </c>
      <c r="C69" s="62">
        <f t="shared" si="8"/>
        <v>7.1999999999999995E-2</v>
      </c>
    </row>
    <row r="70" spans="1:5" s="66" customFormat="1" ht="15.75" thickBot="1" x14ac:dyDescent="0.3">
      <c r="A70" s="69" t="s">
        <v>235</v>
      </c>
      <c r="B70" s="84">
        <f t="shared" si="8"/>
        <v>0.05</v>
      </c>
      <c r="C70" s="84">
        <f t="shared" si="8"/>
        <v>7.1999999999999995E-2</v>
      </c>
      <c r="D70" s="83"/>
      <c r="E70" s="83"/>
    </row>
    <row r="71" spans="1:5" x14ac:dyDescent="0.25">
      <c r="A71" s="74" t="s">
        <v>236</v>
      </c>
      <c r="B71" s="80">
        <v>0.05</v>
      </c>
      <c r="C71" s="80">
        <v>6.1199999999999997E-2</v>
      </c>
    </row>
    <row r="72" spans="1:5" x14ac:dyDescent="0.25">
      <c r="A72" s="54" t="s">
        <v>237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238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239</v>
      </c>
      <c r="B74" s="62">
        <f t="shared" si="9"/>
        <v>0.05</v>
      </c>
      <c r="C74" s="62">
        <f t="shared" si="9"/>
        <v>6.1199999999999997E-2</v>
      </c>
    </row>
    <row r="75" spans="1:5" s="66" customFormat="1" ht="15.75" thickBot="1" x14ac:dyDescent="0.3">
      <c r="A75" s="69" t="s">
        <v>240</v>
      </c>
      <c r="B75" s="84">
        <f t="shared" si="9"/>
        <v>0.05</v>
      </c>
      <c r="C75" s="84">
        <f t="shared" si="9"/>
        <v>6.1199999999999997E-2</v>
      </c>
      <c r="D75" s="83"/>
      <c r="E75" s="83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200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hidden="1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hidden="1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7.4999999999999997E-2</v>
      </c>
    </row>
    <row r="8" spans="1:8" hidden="1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 s="33">
        <v>0.3</v>
      </c>
      <c r="G8">
        <v>0.14000000000000001</v>
      </c>
    </row>
    <row r="9" spans="1:8" hidden="1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hidden="1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hidden="1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hidden="1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hidden="1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152</v>
      </c>
      <c r="B20">
        <f>0.563/28.2</f>
        <v>1.9964539007092198E-2</v>
      </c>
      <c r="C20" t="s">
        <v>112</v>
      </c>
      <c r="D20">
        <v>0</v>
      </c>
      <c r="E20" t="s">
        <v>23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143</v>
      </c>
      <c r="B21">
        <f>0.563/28.2</f>
        <v>1.9964539007092198E-2</v>
      </c>
      <c r="C21" t="s">
        <v>112</v>
      </c>
      <c r="D21">
        <v>0</v>
      </c>
      <c r="E21" t="s">
        <v>23</v>
      </c>
      <c r="F21" s="23">
        <v>0.01</v>
      </c>
      <c r="G21">
        <v>5.3999999999999999E-2</v>
      </c>
    </row>
    <row r="22" spans="1:7" hidden="1" x14ac:dyDescent="0.25">
      <c r="A22" t="s">
        <v>153</v>
      </c>
    </row>
    <row r="23" spans="1:7" s="30" customFormat="1" hidden="1" x14ac:dyDescent="0.25">
      <c r="A23" s="30" t="s">
        <v>156</v>
      </c>
    </row>
    <row r="24" spans="1:7" s="99" customFormat="1" x14ac:dyDescent="0.25">
      <c r="A24" s="95" t="s">
        <v>201</v>
      </c>
      <c r="B24" s="99">
        <f>0.563/28.2</f>
        <v>1.9964539007092198E-2</v>
      </c>
      <c r="C24" s="99" t="s">
        <v>112</v>
      </c>
      <c r="D24" s="99">
        <v>0</v>
      </c>
      <c r="E24" s="99" t="s">
        <v>23</v>
      </c>
      <c r="F24" s="99">
        <f>0.018*0.56</f>
        <v>1.008E-2</v>
      </c>
      <c r="G24" s="99">
        <f>0.075</f>
        <v>7.4999999999999997E-2</v>
      </c>
    </row>
    <row r="25" spans="1:7" x14ac:dyDescent="0.25">
      <c r="A25" s="73" t="s">
        <v>202</v>
      </c>
      <c r="B25">
        <f>0.563/28.2</f>
        <v>1.9964539007092198E-2</v>
      </c>
      <c r="C25" t="s">
        <v>112</v>
      </c>
      <c r="D25">
        <v>0</v>
      </c>
      <c r="E25" t="s">
        <v>23</v>
      </c>
      <c r="F25" s="23">
        <v>0.01</v>
      </c>
      <c r="G25">
        <v>5.3999999999999999E-2</v>
      </c>
    </row>
    <row r="26" spans="1:7" x14ac:dyDescent="0.25">
      <c r="A26" s="73" t="s">
        <v>203</v>
      </c>
      <c r="B26">
        <f>0.563/28.2</f>
        <v>1.9964539007092198E-2</v>
      </c>
      <c r="C26" t="s">
        <v>112</v>
      </c>
      <c r="D26">
        <v>0</v>
      </c>
      <c r="E26" t="s">
        <v>23</v>
      </c>
      <c r="F26" s="23">
        <v>0.01</v>
      </c>
      <c r="G26">
        <v>5.3999999999999999E-2</v>
      </c>
    </row>
    <row r="27" spans="1:7" x14ac:dyDescent="0.25">
      <c r="A27" s="55" t="s">
        <v>204</v>
      </c>
      <c r="B27">
        <f>B$24</f>
        <v>1.9964539007092198E-2</v>
      </c>
      <c r="C27" t="str">
        <f>C$24</f>
        <v>coke - IPCC</v>
      </c>
      <c r="D27">
        <f>D$24</f>
        <v>0</v>
      </c>
      <c r="E27" t="str">
        <f>E$24</f>
        <v>charcoal</v>
      </c>
      <c r="F27">
        <f>F$24</f>
        <v>1.008E-2</v>
      </c>
      <c r="G27">
        <f>G$24</f>
        <v>7.4999999999999997E-2</v>
      </c>
    </row>
    <row r="28" spans="1:7" x14ac:dyDescent="0.25">
      <c r="A28" s="55" t="s">
        <v>205</v>
      </c>
      <c r="B28">
        <f>B$25</f>
        <v>1.9964539007092198E-2</v>
      </c>
      <c r="C28" t="str">
        <f t="shared" ref="C28:G28" si="3">C$25</f>
        <v>coke - IPCC</v>
      </c>
      <c r="D28">
        <f t="shared" si="3"/>
        <v>0</v>
      </c>
      <c r="E28" t="str">
        <f t="shared" si="3"/>
        <v>charcoal</v>
      </c>
      <c r="F28">
        <f t="shared" si="3"/>
        <v>0.01</v>
      </c>
      <c r="G28">
        <f t="shared" si="3"/>
        <v>5.3999999999999999E-2</v>
      </c>
    </row>
    <row r="29" spans="1:7" x14ac:dyDescent="0.25">
      <c r="A29" s="55" t="s">
        <v>206</v>
      </c>
      <c r="B29">
        <f>B$24</f>
        <v>1.9964539007092198E-2</v>
      </c>
      <c r="C29" t="str">
        <f>C$24</f>
        <v>coke - IPCC</v>
      </c>
      <c r="D29" s="56">
        <v>0.5</v>
      </c>
      <c r="E29" t="str">
        <f>E$24</f>
        <v>charcoal</v>
      </c>
      <c r="F29">
        <f>F$24</f>
        <v>1.008E-2</v>
      </c>
      <c r="G29">
        <f>G$24</f>
        <v>7.4999999999999997E-2</v>
      </c>
    </row>
    <row r="30" spans="1:7" x14ac:dyDescent="0.25">
      <c r="A30" s="55" t="s">
        <v>207</v>
      </c>
      <c r="B30">
        <f>B$25</f>
        <v>1.9964539007092198E-2</v>
      </c>
      <c r="C30" t="str">
        <f t="shared" ref="C30:G31" si="4">C$25</f>
        <v>coke - IPCC</v>
      </c>
      <c r="D30" s="56">
        <v>0.5</v>
      </c>
      <c r="E30" t="str">
        <f t="shared" si="4"/>
        <v>charcoal</v>
      </c>
      <c r="F30">
        <f t="shared" si="4"/>
        <v>0.01</v>
      </c>
      <c r="G30">
        <f t="shared" si="4"/>
        <v>5.3999999999999999E-2</v>
      </c>
    </row>
    <row r="31" spans="1:7" x14ac:dyDescent="0.25">
      <c r="A31" s="55" t="s">
        <v>208</v>
      </c>
      <c r="B31">
        <f>B$25</f>
        <v>1.9964539007092198E-2</v>
      </c>
      <c r="C31" t="str">
        <f t="shared" si="4"/>
        <v>coke - IPCC</v>
      </c>
      <c r="D31" s="56">
        <v>0.5</v>
      </c>
      <c r="E31" t="str">
        <f t="shared" si="4"/>
        <v>charcoal</v>
      </c>
      <c r="F31">
        <f t="shared" si="4"/>
        <v>0.01</v>
      </c>
      <c r="G31">
        <f t="shared" si="4"/>
        <v>5.3999999999999999E-2</v>
      </c>
    </row>
    <row r="32" spans="1:7" x14ac:dyDescent="0.25">
      <c r="A32" s="55" t="s">
        <v>209</v>
      </c>
      <c r="B32">
        <f>B$24</f>
        <v>1.9964539007092198E-2</v>
      </c>
      <c r="C32" t="str">
        <f>C$24</f>
        <v>coke - IPCC</v>
      </c>
      <c r="D32" s="56">
        <v>1</v>
      </c>
      <c r="E32" t="str">
        <f>E$24</f>
        <v>charcoal</v>
      </c>
      <c r="F32">
        <f>F$24</f>
        <v>1.008E-2</v>
      </c>
      <c r="G32">
        <f>G$24</f>
        <v>7.4999999999999997E-2</v>
      </c>
    </row>
    <row r="33" spans="1:7" x14ac:dyDescent="0.25">
      <c r="A33" s="55" t="s">
        <v>210</v>
      </c>
      <c r="B33">
        <f>B$24</f>
        <v>1.9964539007092198E-2</v>
      </c>
      <c r="C33" t="str">
        <f>C$24</f>
        <v>coke - IPCC</v>
      </c>
      <c r="D33" s="56">
        <v>0.2</v>
      </c>
      <c r="E33" t="s">
        <v>184</v>
      </c>
      <c r="F33">
        <f>F$24</f>
        <v>1.008E-2</v>
      </c>
      <c r="G33">
        <f>G$24</f>
        <v>7.4999999999999997E-2</v>
      </c>
    </row>
    <row r="34" spans="1:7" x14ac:dyDescent="0.25">
      <c r="A34" s="55" t="s">
        <v>174</v>
      </c>
      <c r="B34">
        <f>B$24</f>
        <v>1.9964539007092198E-2</v>
      </c>
      <c r="C34" t="str">
        <f>C$24</f>
        <v>coke - IPCC</v>
      </c>
      <c r="D34" s="56">
        <v>0.2</v>
      </c>
      <c r="E34" t="s">
        <v>184</v>
      </c>
      <c r="F34">
        <f>F$24</f>
        <v>1.008E-2</v>
      </c>
      <c r="G34">
        <f>G$24</f>
        <v>7.4999999999999997E-2</v>
      </c>
    </row>
    <row r="35" spans="1:7" x14ac:dyDescent="0.25">
      <c r="A35" s="55" t="s">
        <v>175</v>
      </c>
      <c r="B35">
        <f>B$25</f>
        <v>1.9964539007092198E-2</v>
      </c>
      <c r="C35" t="str">
        <f t="shared" ref="C35:G36" si="5">C$25</f>
        <v>coke - IPCC</v>
      </c>
      <c r="D35">
        <f t="shared" si="5"/>
        <v>0</v>
      </c>
      <c r="E35" t="str">
        <f t="shared" si="5"/>
        <v>charcoal</v>
      </c>
      <c r="F35">
        <f t="shared" si="5"/>
        <v>0.01</v>
      </c>
      <c r="G35">
        <f t="shared" si="5"/>
        <v>5.3999999999999999E-2</v>
      </c>
    </row>
    <row r="36" spans="1:7" x14ac:dyDescent="0.25">
      <c r="A36" s="55" t="s">
        <v>176</v>
      </c>
      <c r="B36">
        <f>B$25</f>
        <v>1.9964539007092198E-2</v>
      </c>
      <c r="C36" t="str">
        <f t="shared" si="5"/>
        <v>coke - IPCC</v>
      </c>
      <c r="D36" s="56">
        <v>0.5</v>
      </c>
      <c r="E36" t="str">
        <f t="shared" si="5"/>
        <v>charcoal</v>
      </c>
      <c r="F36">
        <f t="shared" si="5"/>
        <v>0.01</v>
      </c>
      <c r="G36">
        <f t="shared" si="5"/>
        <v>5.3999999999999999E-2</v>
      </c>
    </row>
    <row r="37" spans="1:7" x14ac:dyDescent="0.25">
      <c r="A37" s="55" t="s">
        <v>177</v>
      </c>
      <c r="B37">
        <f>B$25</f>
        <v>1.9964539007092198E-2</v>
      </c>
      <c r="C37" t="str">
        <f t="shared" ref="C37:G38" si="6">C$25</f>
        <v>coke - IPCC</v>
      </c>
      <c r="D37" s="56">
        <v>0</v>
      </c>
      <c r="E37" t="str">
        <f t="shared" si="6"/>
        <v>charcoal</v>
      </c>
      <c r="F37">
        <f t="shared" si="6"/>
        <v>0.01</v>
      </c>
      <c r="G37">
        <f t="shared" si="6"/>
        <v>5.3999999999999999E-2</v>
      </c>
    </row>
    <row r="38" spans="1:7" s="66" customFormat="1" ht="15.75" thickBot="1" x14ac:dyDescent="0.3">
      <c r="A38" s="67" t="s">
        <v>178</v>
      </c>
      <c r="B38" s="66">
        <f>B$25</f>
        <v>1.9964539007092198E-2</v>
      </c>
      <c r="C38" s="66" t="str">
        <f t="shared" si="6"/>
        <v>coke - IPCC</v>
      </c>
      <c r="D38" s="68">
        <v>0.5</v>
      </c>
      <c r="E38" s="66" t="str">
        <f t="shared" si="6"/>
        <v>charcoal</v>
      </c>
      <c r="F38" s="66">
        <f t="shared" si="6"/>
        <v>0.01</v>
      </c>
      <c r="G38" s="66">
        <f t="shared" si="6"/>
        <v>5.3999999999999999E-2</v>
      </c>
    </row>
    <row r="39" spans="1:7" s="1" customFormat="1" x14ac:dyDescent="0.25">
      <c r="A39" s="73" t="s">
        <v>211</v>
      </c>
      <c r="B39" s="80">
        <v>2.5000000000000001E-2</v>
      </c>
      <c r="C39" s="1" t="s">
        <v>113</v>
      </c>
      <c r="D39" s="1">
        <v>0</v>
      </c>
      <c r="E39" s="1" t="s">
        <v>23</v>
      </c>
      <c r="F39" s="80">
        <v>0.01</v>
      </c>
      <c r="G39" s="80">
        <v>0.1</v>
      </c>
    </row>
    <row r="40" spans="1:7" s="1" customFormat="1" x14ac:dyDescent="0.25">
      <c r="A40" s="73" t="s">
        <v>212</v>
      </c>
      <c r="B40" s="80">
        <f>0.563/28.2</f>
        <v>1.9964539007092198E-2</v>
      </c>
      <c r="C40" s="1" t="s">
        <v>112</v>
      </c>
      <c r="D40" s="1">
        <v>0</v>
      </c>
      <c r="E40" s="1" t="s">
        <v>23</v>
      </c>
      <c r="F40" s="80">
        <f>0.018*0.56</f>
        <v>1.008E-2</v>
      </c>
      <c r="G40" s="80">
        <f>0.075</f>
        <v>7.4999999999999997E-2</v>
      </c>
    </row>
    <row r="41" spans="1:7" s="1" customFormat="1" x14ac:dyDescent="0.25">
      <c r="A41" s="73" t="s">
        <v>213</v>
      </c>
      <c r="B41" s="80">
        <f>0.563/28.2</f>
        <v>1.9964539007092198E-2</v>
      </c>
      <c r="C41" s="1" t="s">
        <v>112</v>
      </c>
      <c r="D41" s="1">
        <v>0</v>
      </c>
      <c r="E41" s="1" t="s">
        <v>23</v>
      </c>
      <c r="F41" s="80">
        <v>0.01</v>
      </c>
      <c r="G41" s="80">
        <v>5.3999999999999999E-2</v>
      </c>
    </row>
    <row r="42" spans="1:7" x14ac:dyDescent="0.25">
      <c r="A42" s="55" t="s">
        <v>214</v>
      </c>
      <c r="B42">
        <f>B$41</f>
        <v>1.9964539007092198E-2</v>
      </c>
      <c r="C42" t="str">
        <f>C$41</f>
        <v>coke - IPCC</v>
      </c>
      <c r="D42">
        <f>D$24</f>
        <v>0</v>
      </c>
      <c r="E42" t="str">
        <f>E$24</f>
        <v>charcoal</v>
      </c>
      <c r="F42">
        <f>F$41</f>
        <v>0.01</v>
      </c>
      <c r="G42">
        <f>G$41</f>
        <v>5.3999999999999999E-2</v>
      </c>
    </row>
    <row r="43" spans="1:7" x14ac:dyDescent="0.25">
      <c r="A43" s="55" t="s">
        <v>215</v>
      </c>
      <c r="B43">
        <f>B$40</f>
        <v>1.9964539007092198E-2</v>
      </c>
      <c r="C43" t="str">
        <f>C$40</f>
        <v>coke - IPCC</v>
      </c>
      <c r="D43">
        <f t="shared" ref="D43:E43" si="7">D$25</f>
        <v>0</v>
      </c>
      <c r="E43" t="str">
        <f t="shared" si="7"/>
        <v>charcoal</v>
      </c>
      <c r="F43">
        <f>F$40</f>
        <v>1.008E-2</v>
      </c>
      <c r="G43">
        <f>G$40</f>
        <v>7.4999999999999997E-2</v>
      </c>
    </row>
    <row r="44" spans="1:7" x14ac:dyDescent="0.25">
      <c r="A44" s="55" t="s">
        <v>216</v>
      </c>
      <c r="B44">
        <f>B$39</f>
        <v>2.5000000000000001E-2</v>
      </c>
      <c r="C44" t="str">
        <f>C$39</f>
        <v>coke - CN</v>
      </c>
      <c r="D44" s="56">
        <v>0.5</v>
      </c>
      <c r="E44" t="str">
        <f>E$24</f>
        <v>charcoal</v>
      </c>
      <c r="F44">
        <f>F$39</f>
        <v>0.01</v>
      </c>
      <c r="G44">
        <f>G$39</f>
        <v>0.1</v>
      </c>
    </row>
    <row r="45" spans="1:7" x14ac:dyDescent="0.25">
      <c r="A45" s="55" t="s">
        <v>217</v>
      </c>
      <c r="B45">
        <f>B$40</f>
        <v>1.9964539007092198E-2</v>
      </c>
      <c r="C45" t="str">
        <f>C$40</f>
        <v>coke - IPCC</v>
      </c>
      <c r="D45" s="56">
        <v>0.5</v>
      </c>
      <c r="E45" t="str">
        <f t="shared" ref="E45:E46" si="8">E$25</f>
        <v>charcoal</v>
      </c>
      <c r="F45">
        <f>F$40</f>
        <v>1.008E-2</v>
      </c>
      <c r="G45">
        <f>G$40</f>
        <v>7.4999999999999997E-2</v>
      </c>
    </row>
    <row r="46" spans="1:7" x14ac:dyDescent="0.25">
      <c r="A46" s="55" t="s">
        <v>218</v>
      </c>
      <c r="B46">
        <f>B$41</f>
        <v>1.9964539007092198E-2</v>
      </c>
      <c r="C46" t="str">
        <f>C$41</f>
        <v>coke - IPCC</v>
      </c>
      <c r="D46" s="56">
        <v>0.5</v>
      </c>
      <c r="E46" t="str">
        <f t="shared" si="8"/>
        <v>charcoal</v>
      </c>
      <c r="F46">
        <f>F$41</f>
        <v>0.01</v>
      </c>
      <c r="G46">
        <f>G$41</f>
        <v>5.3999999999999999E-2</v>
      </c>
    </row>
    <row r="47" spans="1:7" x14ac:dyDescent="0.25">
      <c r="A47" s="55" t="s">
        <v>219</v>
      </c>
      <c r="B47">
        <f>B$39</f>
        <v>2.5000000000000001E-2</v>
      </c>
      <c r="C47" t="str">
        <f>C$39</f>
        <v>coke - CN</v>
      </c>
      <c r="D47" s="56">
        <v>1</v>
      </c>
      <c r="E47" t="str">
        <f>E$24</f>
        <v>charcoal</v>
      </c>
      <c r="F47">
        <f>F$39</f>
        <v>0.01</v>
      </c>
      <c r="G47">
        <f>G$39</f>
        <v>0.1</v>
      </c>
    </row>
    <row r="48" spans="1:7" x14ac:dyDescent="0.25">
      <c r="A48" s="55" t="s">
        <v>220</v>
      </c>
      <c r="B48">
        <f>B$39</f>
        <v>2.5000000000000001E-2</v>
      </c>
      <c r="C48" t="str">
        <f>C$39</f>
        <v>coke - CN</v>
      </c>
      <c r="D48" s="56">
        <v>0.2</v>
      </c>
      <c r="E48" t="s">
        <v>184</v>
      </c>
      <c r="F48">
        <f>F$39</f>
        <v>0.01</v>
      </c>
      <c r="G48">
        <f>G$39</f>
        <v>0.1</v>
      </c>
    </row>
    <row r="49" spans="1:8" x14ac:dyDescent="0.25">
      <c r="A49" s="55" t="s">
        <v>179</v>
      </c>
      <c r="B49">
        <f>B$39</f>
        <v>2.5000000000000001E-2</v>
      </c>
      <c r="C49" t="str">
        <f>C$39</f>
        <v>coke - CN</v>
      </c>
      <c r="D49" s="3">
        <v>0</v>
      </c>
      <c r="E49" s="3" t="s">
        <v>23</v>
      </c>
      <c r="F49">
        <f>F$39</f>
        <v>0.01</v>
      </c>
      <c r="G49">
        <f>G$39</f>
        <v>0.1</v>
      </c>
    </row>
    <row r="50" spans="1:8" x14ac:dyDescent="0.25">
      <c r="A50" s="55" t="s">
        <v>180</v>
      </c>
      <c r="B50">
        <f>B$40</f>
        <v>1.9964539007092198E-2</v>
      </c>
      <c r="C50" t="str">
        <f>C$40</f>
        <v>coke - IPCC</v>
      </c>
      <c r="D50">
        <f t="shared" ref="D50:E53" si="9">D$25</f>
        <v>0</v>
      </c>
      <c r="E50" t="str">
        <f t="shared" si="9"/>
        <v>charcoal</v>
      </c>
      <c r="F50">
        <f>F$40</f>
        <v>1.008E-2</v>
      </c>
      <c r="G50">
        <f>G$40</f>
        <v>7.4999999999999997E-2</v>
      </c>
    </row>
    <row r="51" spans="1:8" x14ac:dyDescent="0.25">
      <c r="A51" s="55" t="s">
        <v>181</v>
      </c>
      <c r="B51">
        <f>B$40</f>
        <v>1.9964539007092198E-2</v>
      </c>
      <c r="C51" t="str">
        <f>C$40</f>
        <v>coke - IPCC</v>
      </c>
      <c r="D51" s="56">
        <v>0.5</v>
      </c>
      <c r="E51" t="str">
        <f t="shared" si="9"/>
        <v>charcoal</v>
      </c>
      <c r="F51">
        <f>F$40</f>
        <v>1.008E-2</v>
      </c>
      <c r="G51">
        <f>G$40</f>
        <v>7.4999999999999997E-2</v>
      </c>
    </row>
    <row r="52" spans="1:8" x14ac:dyDescent="0.25">
      <c r="A52" s="55" t="s">
        <v>182</v>
      </c>
      <c r="B52">
        <f>B$41</f>
        <v>1.9964539007092198E-2</v>
      </c>
      <c r="C52" t="str">
        <f>C$41</f>
        <v>coke - IPCC</v>
      </c>
      <c r="D52" s="56">
        <v>0</v>
      </c>
      <c r="E52" t="str">
        <f t="shared" si="9"/>
        <v>charcoal</v>
      </c>
      <c r="F52">
        <f t="shared" ref="F52:G53" si="10">F$41</f>
        <v>0.01</v>
      </c>
      <c r="G52">
        <f t="shared" si="10"/>
        <v>5.3999999999999999E-2</v>
      </c>
    </row>
    <row r="53" spans="1:8" s="66" customFormat="1" ht="15.75" thickBot="1" x14ac:dyDescent="0.3">
      <c r="A53" s="67" t="s">
        <v>183</v>
      </c>
      <c r="B53" s="66">
        <f>B$41</f>
        <v>1.9964539007092198E-2</v>
      </c>
      <c r="C53" s="66" t="str">
        <f>C$41</f>
        <v>coke - IPCC</v>
      </c>
      <c r="D53" s="68">
        <v>0.5</v>
      </c>
      <c r="E53" s="66" t="str">
        <f t="shared" si="9"/>
        <v>charcoal</v>
      </c>
      <c r="F53" s="66">
        <f t="shared" si="10"/>
        <v>0.01</v>
      </c>
      <c r="G53" s="66">
        <f t="shared" si="10"/>
        <v>5.3999999999999999E-2</v>
      </c>
    </row>
    <row r="54" spans="1:8" s="1" customFormat="1" x14ac:dyDescent="0.25">
      <c r="A54" s="74" t="s">
        <v>221</v>
      </c>
      <c r="B54" s="1">
        <v>0.01</v>
      </c>
      <c r="C54" s="1" t="s">
        <v>116</v>
      </c>
      <c r="D54" s="1">
        <v>0</v>
      </c>
      <c r="E54" s="1" t="s">
        <v>23</v>
      </c>
      <c r="F54" s="1">
        <v>0.3</v>
      </c>
      <c r="G54" s="1">
        <v>0.14000000000000001</v>
      </c>
    </row>
    <row r="55" spans="1:8" x14ac:dyDescent="0.25">
      <c r="A55" s="54" t="s">
        <v>222</v>
      </c>
      <c r="B55">
        <f>B$54</f>
        <v>0.01</v>
      </c>
      <c r="C55" t="str">
        <f>C$54</f>
        <v>coke - JP IPCC</v>
      </c>
      <c r="D55">
        <f t="shared" ref="D55:E57" si="11">D$24</f>
        <v>0</v>
      </c>
      <c r="E55" t="str">
        <f t="shared" si="11"/>
        <v>charcoal</v>
      </c>
      <c r="F55">
        <f>F$54</f>
        <v>0.3</v>
      </c>
      <c r="G55">
        <f>G$54</f>
        <v>0.14000000000000001</v>
      </c>
    </row>
    <row r="56" spans="1:8" x14ac:dyDescent="0.25">
      <c r="A56" s="54" t="s">
        <v>223</v>
      </c>
      <c r="B56">
        <f>B$54</f>
        <v>0.01</v>
      </c>
      <c r="C56" t="str">
        <f>C$54</f>
        <v>coke - JP IPCC</v>
      </c>
      <c r="D56" s="56">
        <v>0.5</v>
      </c>
      <c r="E56" t="str">
        <f t="shared" si="11"/>
        <v>charcoal</v>
      </c>
      <c r="F56">
        <f>F$54</f>
        <v>0.3</v>
      </c>
      <c r="G56">
        <f>G$54</f>
        <v>0.14000000000000001</v>
      </c>
    </row>
    <row r="57" spans="1:8" x14ac:dyDescent="0.25">
      <c r="A57" s="54" t="s">
        <v>224</v>
      </c>
      <c r="B57">
        <f>B$54</f>
        <v>0.01</v>
      </c>
      <c r="C57" t="str">
        <f>C$54</f>
        <v>coke - JP IPCC</v>
      </c>
      <c r="D57" s="56">
        <v>1</v>
      </c>
      <c r="E57" t="str">
        <f t="shared" si="11"/>
        <v>charcoal</v>
      </c>
      <c r="F57">
        <f>F$54</f>
        <v>0.3</v>
      </c>
      <c r="G57">
        <f>G$54</f>
        <v>0.14000000000000001</v>
      </c>
    </row>
    <row r="58" spans="1:8" s="66" customFormat="1" ht="15.75" thickBot="1" x14ac:dyDescent="0.3">
      <c r="A58" s="69" t="s">
        <v>225</v>
      </c>
      <c r="B58" s="66">
        <f>B$54</f>
        <v>0.01</v>
      </c>
      <c r="C58" s="66" t="str">
        <f>C$54</f>
        <v>coke - JP IPCC</v>
      </c>
      <c r="D58" s="68">
        <v>0.2</v>
      </c>
      <c r="E58" s="66" t="s">
        <v>184</v>
      </c>
      <c r="F58" s="66">
        <f>F$54</f>
        <v>0.3</v>
      </c>
      <c r="G58" s="66">
        <f>G$54</f>
        <v>0.14000000000000001</v>
      </c>
    </row>
    <row r="59" spans="1:8" s="1" customFormat="1" x14ac:dyDescent="0.25">
      <c r="A59" s="74" t="s">
        <v>226</v>
      </c>
      <c r="B59" s="80">
        <v>0.01</v>
      </c>
      <c r="C59" s="1" t="s">
        <v>112</v>
      </c>
      <c r="D59" s="1">
        <v>0</v>
      </c>
      <c r="E59" s="1" t="s">
        <v>23</v>
      </c>
      <c r="F59" s="80">
        <v>0</v>
      </c>
      <c r="G59" s="80">
        <v>0</v>
      </c>
    </row>
    <row r="60" spans="1:8" x14ac:dyDescent="0.25">
      <c r="A60" s="54" t="s">
        <v>227</v>
      </c>
      <c r="B60" s="62">
        <f>B$59</f>
        <v>0.01</v>
      </c>
      <c r="C60" s="62" t="str">
        <f>C$59</f>
        <v>coke - IPCC</v>
      </c>
      <c r="D60">
        <f t="shared" ref="D60:E62" si="12">D$24</f>
        <v>0</v>
      </c>
      <c r="E60" t="str">
        <f t="shared" si="12"/>
        <v>charcoal</v>
      </c>
      <c r="F60" s="62">
        <f>F$59</f>
        <v>0</v>
      </c>
      <c r="G60" s="62">
        <f>G$59</f>
        <v>0</v>
      </c>
    </row>
    <row r="61" spans="1:8" x14ac:dyDescent="0.25">
      <c r="A61" s="54" t="s">
        <v>228</v>
      </c>
      <c r="B61" s="62">
        <f>B$59</f>
        <v>0.01</v>
      </c>
      <c r="C61" s="62" t="str">
        <f>C$59</f>
        <v>coke - IPCC</v>
      </c>
      <c r="D61" s="56">
        <v>0.5</v>
      </c>
      <c r="E61" t="str">
        <f t="shared" si="12"/>
        <v>charcoal</v>
      </c>
      <c r="F61" s="62">
        <f>F$59</f>
        <v>0</v>
      </c>
      <c r="G61" s="62">
        <f>G$59</f>
        <v>0</v>
      </c>
    </row>
    <row r="62" spans="1:8" x14ac:dyDescent="0.25">
      <c r="A62" s="54" t="s">
        <v>229</v>
      </c>
      <c r="B62" s="62">
        <f>B$59</f>
        <v>0.01</v>
      </c>
      <c r="C62" s="62" t="str">
        <f>C$59</f>
        <v>coke - IPCC</v>
      </c>
      <c r="D62" s="56">
        <v>1</v>
      </c>
      <c r="E62" t="str">
        <f t="shared" si="12"/>
        <v>charcoal</v>
      </c>
      <c r="F62" s="62">
        <f>F$59</f>
        <v>0</v>
      </c>
      <c r="G62" s="62">
        <f>G$59</f>
        <v>0</v>
      </c>
    </row>
    <row r="63" spans="1:8" s="66" customFormat="1" ht="15.75" thickBot="1" x14ac:dyDescent="0.3">
      <c r="A63" s="69" t="s">
        <v>230</v>
      </c>
      <c r="B63" s="84">
        <f>B$59</f>
        <v>0.01</v>
      </c>
      <c r="C63" s="84" t="str">
        <f>C$59</f>
        <v>coke - IPCC</v>
      </c>
      <c r="D63" s="68">
        <v>0.2</v>
      </c>
      <c r="E63" s="66" t="s">
        <v>184</v>
      </c>
      <c r="F63" s="84">
        <f>F$59</f>
        <v>0</v>
      </c>
      <c r="G63" s="84">
        <f>G$59</f>
        <v>0</v>
      </c>
    </row>
    <row r="64" spans="1:8" s="1" customFormat="1" x14ac:dyDescent="0.25">
      <c r="A64" s="74" t="s">
        <v>231</v>
      </c>
      <c r="B64" s="88">
        <f>0.37/30.23</f>
        <v>1.2239497188223619E-2</v>
      </c>
      <c r="C64" s="1" t="s">
        <v>119</v>
      </c>
      <c r="D64" s="1">
        <v>0</v>
      </c>
      <c r="E64" s="1" t="s">
        <v>23</v>
      </c>
      <c r="F64" s="80">
        <v>0</v>
      </c>
      <c r="G64" s="88">
        <v>0.1</v>
      </c>
      <c r="H64" s="1" t="s">
        <v>155</v>
      </c>
    </row>
    <row r="65" spans="1:7" x14ac:dyDescent="0.25">
      <c r="A65" s="54" t="s">
        <v>232</v>
      </c>
      <c r="B65" s="21">
        <f>B$64</f>
        <v>1.2239497188223619E-2</v>
      </c>
      <c r="C65" s="21" t="str">
        <f>C$64</f>
        <v>coke - US</v>
      </c>
      <c r="D65">
        <f t="shared" ref="D65:E67" si="13">D$24</f>
        <v>0</v>
      </c>
      <c r="E65" t="str">
        <f t="shared" si="13"/>
        <v>charcoal</v>
      </c>
      <c r="F65" s="21">
        <f>F$64</f>
        <v>0</v>
      </c>
      <c r="G65" s="21">
        <f>G$64</f>
        <v>0.1</v>
      </c>
    </row>
    <row r="66" spans="1:7" x14ac:dyDescent="0.25">
      <c r="A66" s="54" t="s">
        <v>233</v>
      </c>
      <c r="B66" s="21">
        <f>B$64</f>
        <v>1.2239497188223619E-2</v>
      </c>
      <c r="C66" s="21" t="str">
        <f>C$64</f>
        <v>coke - US</v>
      </c>
      <c r="D66" s="56">
        <v>0.5</v>
      </c>
      <c r="E66" t="str">
        <f t="shared" si="13"/>
        <v>charcoal</v>
      </c>
      <c r="F66" s="21">
        <f>F$64</f>
        <v>0</v>
      </c>
      <c r="G66" s="21">
        <f>G$64</f>
        <v>0.1</v>
      </c>
    </row>
    <row r="67" spans="1:7" x14ac:dyDescent="0.25">
      <c r="A67" s="54" t="s">
        <v>234</v>
      </c>
      <c r="B67" s="21">
        <f>B$64</f>
        <v>1.2239497188223619E-2</v>
      </c>
      <c r="C67" s="21" t="str">
        <f>C$64</f>
        <v>coke - US</v>
      </c>
      <c r="D67" s="56">
        <v>1</v>
      </c>
      <c r="E67" t="str">
        <f t="shared" si="13"/>
        <v>charcoal</v>
      </c>
      <c r="F67" s="21">
        <f>F$64</f>
        <v>0</v>
      </c>
      <c r="G67" s="21">
        <f>G$64</f>
        <v>0.1</v>
      </c>
    </row>
    <row r="68" spans="1:7" s="66" customFormat="1" ht="15.75" thickBot="1" x14ac:dyDescent="0.3">
      <c r="A68" s="69" t="s">
        <v>235</v>
      </c>
      <c r="B68" s="65">
        <f>B$64</f>
        <v>1.2239497188223619E-2</v>
      </c>
      <c r="C68" s="65" t="str">
        <f>C$64</f>
        <v>coke - US</v>
      </c>
      <c r="D68" s="68">
        <v>0.2</v>
      </c>
      <c r="E68" s="66" t="s">
        <v>184</v>
      </c>
      <c r="F68" s="65">
        <f>F$64</f>
        <v>0</v>
      </c>
      <c r="G68" s="65">
        <f>G$64</f>
        <v>0.1</v>
      </c>
    </row>
    <row r="69" spans="1:7" x14ac:dyDescent="0.25">
      <c r="A69" s="74" t="s">
        <v>236</v>
      </c>
      <c r="B69" s="80">
        <v>0.01</v>
      </c>
      <c r="C69" s="1" t="s">
        <v>112</v>
      </c>
      <c r="D69" s="1">
        <v>0</v>
      </c>
      <c r="E69" s="1" t="s">
        <v>23</v>
      </c>
      <c r="F69" s="80">
        <v>0</v>
      </c>
      <c r="G69" s="80">
        <v>0</v>
      </c>
    </row>
    <row r="70" spans="1:7" x14ac:dyDescent="0.25">
      <c r="A70" s="54" t="s">
        <v>237</v>
      </c>
      <c r="B70" s="63">
        <f>B$69</f>
        <v>0.01</v>
      </c>
      <c r="C70" s="63" t="str">
        <f>C$69</f>
        <v>coke - IPCC</v>
      </c>
      <c r="D70">
        <f t="shared" ref="D70:E72" si="14">D$24</f>
        <v>0</v>
      </c>
      <c r="E70" t="str">
        <f t="shared" si="14"/>
        <v>charcoal</v>
      </c>
      <c r="F70" s="63">
        <f>F$69</f>
        <v>0</v>
      </c>
      <c r="G70" s="63">
        <f>G$69</f>
        <v>0</v>
      </c>
    </row>
    <row r="71" spans="1:7" x14ac:dyDescent="0.25">
      <c r="A71" s="54" t="s">
        <v>238</v>
      </c>
      <c r="B71" s="63">
        <f>B$69</f>
        <v>0.01</v>
      </c>
      <c r="C71" s="63" t="str">
        <f>C$69</f>
        <v>coke - IPCC</v>
      </c>
      <c r="D71" s="56">
        <v>0.5</v>
      </c>
      <c r="E71" t="str">
        <f t="shared" si="14"/>
        <v>charcoal</v>
      </c>
      <c r="F71" s="63">
        <f>F$69</f>
        <v>0</v>
      </c>
      <c r="G71" s="63">
        <f>G$69</f>
        <v>0</v>
      </c>
    </row>
    <row r="72" spans="1:7" x14ac:dyDescent="0.25">
      <c r="A72" s="54" t="s">
        <v>239</v>
      </c>
      <c r="B72" s="63">
        <f>B$69</f>
        <v>0.01</v>
      </c>
      <c r="C72" s="63" t="str">
        <f>C$69</f>
        <v>coke - IPCC</v>
      </c>
      <c r="D72" s="56">
        <v>1</v>
      </c>
      <c r="E72" t="str">
        <f t="shared" si="14"/>
        <v>charcoal</v>
      </c>
      <c r="F72" s="63">
        <f>F$69</f>
        <v>0</v>
      </c>
      <c r="G72" s="63">
        <f>G$69</f>
        <v>0</v>
      </c>
    </row>
    <row r="73" spans="1:7" s="66" customFormat="1" ht="15.75" thickBot="1" x14ac:dyDescent="0.3">
      <c r="A73" s="69" t="s">
        <v>240</v>
      </c>
      <c r="B73" s="89">
        <f>B$69</f>
        <v>0.01</v>
      </c>
      <c r="C73" s="89" t="str">
        <f>C$69</f>
        <v>coke - IPCC</v>
      </c>
      <c r="D73" s="68">
        <v>0.2</v>
      </c>
      <c r="E73" s="66" t="s">
        <v>184</v>
      </c>
      <c r="F73" s="89">
        <f>F$69</f>
        <v>0</v>
      </c>
      <c r="G73" s="89">
        <f>G$69</f>
        <v>0</v>
      </c>
    </row>
    <row r="74" spans="1:7" x14ac:dyDescent="0.25">
      <c r="A74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hidden="1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hidden="1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hidden="1" x14ac:dyDescent="0.25">
      <c r="A10" t="s">
        <v>111</v>
      </c>
      <c r="B10" s="51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hidden="1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126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hidden="1" x14ac:dyDescent="0.25">
      <c r="A18" t="s">
        <v>151</v>
      </c>
      <c r="B18" s="48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143</v>
      </c>
      <c r="B20" s="52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153</v>
      </c>
      <c r="B21" s="52">
        <f>1.2/28.2</f>
        <v>4.2553191489361701E-2</v>
      </c>
      <c r="C21" t="s">
        <v>112</v>
      </c>
      <c r="F21">
        <v>0</v>
      </c>
    </row>
    <row r="22" spans="1:8" hidden="1" x14ac:dyDescent="0.25">
      <c r="A22" t="s">
        <v>156</v>
      </c>
      <c r="B22" s="51">
        <f>1.37/30.23</f>
        <v>4.531921931855773E-2</v>
      </c>
      <c r="C22" t="s">
        <v>112</v>
      </c>
      <c r="G22">
        <v>0.1</v>
      </c>
    </row>
    <row r="23" spans="1:8" hidden="1" x14ac:dyDescent="0.25">
      <c r="A23" t="s">
        <v>167</v>
      </c>
      <c r="B23" s="52">
        <f>1.29/28.2</f>
        <v>4.5744680851063833E-2</v>
      </c>
    </row>
    <row r="24" spans="1:8" s="30" customFormat="1" hidden="1" x14ac:dyDescent="0.25">
      <c r="A24" s="30" t="s">
        <v>158</v>
      </c>
      <c r="B24" s="102">
        <f>0.044</f>
        <v>4.3999999999999997E-2</v>
      </c>
      <c r="C24" s="30" t="s">
        <v>112</v>
      </c>
      <c r="D24" s="30">
        <v>0</v>
      </c>
      <c r="E24" s="30" t="s">
        <v>23</v>
      </c>
      <c r="F24" s="58">
        <f>(0.56*131.1+10.2)/1000</f>
        <v>8.3615999999999996E-2</v>
      </c>
      <c r="G24" s="30">
        <f>G26</f>
        <v>9.1999999999999998E-2</v>
      </c>
    </row>
    <row r="25" spans="1:8" s="98" customFormat="1" x14ac:dyDescent="0.25">
      <c r="A25" s="95" t="s">
        <v>201</v>
      </c>
      <c r="B25" s="103">
        <f>1.2766/28.2</f>
        <v>4.5269503546099293E-2</v>
      </c>
      <c r="C25" s="98" t="s">
        <v>112</v>
      </c>
      <c r="D25" s="99">
        <v>0</v>
      </c>
      <c r="E25" s="99" t="s">
        <v>23</v>
      </c>
      <c r="F25" s="98">
        <f>(0.56*131.1+10.2)/1000</f>
        <v>8.3615999999999996E-2</v>
      </c>
      <c r="G25" s="104">
        <f>(0.092+0.155)/2</f>
        <v>0.1235</v>
      </c>
      <c r="H25" s="98">
        <v>2004</v>
      </c>
    </row>
    <row r="26" spans="1:8" s="1" customFormat="1" x14ac:dyDescent="0.25">
      <c r="A26" s="73" t="s">
        <v>202</v>
      </c>
      <c r="B26" s="91">
        <f>1.254/28.2</f>
        <v>4.4468085106382983E-2</v>
      </c>
      <c r="C26" s="1" t="s">
        <v>112</v>
      </c>
      <c r="D26">
        <v>0</v>
      </c>
      <c r="E26" t="s">
        <v>23</v>
      </c>
      <c r="F26" s="80">
        <f>(0.56*131.1+10.2)/1000</f>
        <v>8.3615999999999996E-2</v>
      </c>
      <c r="G26" s="1">
        <v>9.1999999999999998E-2</v>
      </c>
    </row>
    <row r="27" spans="1:8" s="1" customFormat="1" x14ac:dyDescent="0.25">
      <c r="A27" s="73" t="s">
        <v>203</v>
      </c>
      <c r="B27" s="91">
        <f>1.254/28.2</f>
        <v>4.4468085106382983E-2</v>
      </c>
      <c r="C27" s="1" t="s">
        <v>112</v>
      </c>
      <c r="D27">
        <v>0</v>
      </c>
      <c r="E27" t="s">
        <v>23</v>
      </c>
      <c r="F27" s="80">
        <f>(0.56*131.1+10.2)/1000</f>
        <v>8.3615999999999996E-2</v>
      </c>
      <c r="G27" s="80">
        <v>0.08</v>
      </c>
    </row>
    <row r="28" spans="1:8" x14ac:dyDescent="0.25">
      <c r="A28" s="55" t="s">
        <v>204</v>
      </c>
      <c r="B28" s="48">
        <f>B$25</f>
        <v>4.5269503546099293E-2</v>
      </c>
      <c r="C28" s="48" t="str">
        <f>C$25</f>
        <v>coke - IPCC</v>
      </c>
      <c r="D28">
        <f>D$24</f>
        <v>0</v>
      </c>
      <c r="E28" t="str">
        <f>E$24</f>
        <v>charcoal</v>
      </c>
      <c r="F28" s="48">
        <f>F$25</f>
        <v>8.3615999999999996E-2</v>
      </c>
      <c r="G28" s="48">
        <f>G$25</f>
        <v>0.1235</v>
      </c>
    </row>
    <row r="29" spans="1:8" x14ac:dyDescent="0.25">
      <c r="A29" s="55" t="s">
        <v>205</v>
      </c>
      <c r="B29" s="21">
        <f>B$26</f>
        <v>4.4468085106382983E-2</v>
      </c>
      <c r="C29" s="21" t="str">
        <f>C$26</f>
        <v>coke - IPCC</v>
      </c>
      <c r="D29">
        <f t="shared" ref="D29:E29" si="3">D$25</f>
        <v>0</v>
      </c>
      <c r="E29" t="str">
        <f t="shared" si="3"/>
        <v>charcoal</v>
      </c>
      <c r="F29" s="21">
        <f>F$26</f>
        <v>8.3615999999999996E-2</v>
      </c>
      <c r="G29" s="21">
        <f>G$26</f>
        <v>9.1999999999999998E-2</v>
      </c>
    </row>
    <row r="30" spans="1:8" x14ac:dyDescent="0.25">
      <c r="A30" s="55" t="s">
        <v>206</v>
      </c>
      <c r="B30" s="48">
        <f>B$25</f>
        <v>4.5269503546099293E-2</v>
      </c>
      <c r="C30" s="48" t="str">
        <f>C$25</f>
        <v>coke - IPCC</v>
      </c>
      <c r="D30" s="56">
        <v>0.5</v>
      </c>
      <c r="E30" t="str">
        <f>E$24</f>
        <v>charcoal</v>
      </c>
      <c r="F30" s="48">
        <f>F$25</f>
        <v>8.3615999999999996E-2</v>
      </c>
      <c r="G30" s="48">
        <f>G$25</f>
        <v>0.1235</v>
      </c>
    </row>
    <row r="31" spans="1:8" x14ac:dyDescent="0.25">
      <c r="A31" s="55" t="s">
        <v>207</v>
      </c>
      <c r="B31" s="21">
        <f>B$26</f>
        <v>4.4468085106382983E-2</v>
      </c>
      <c r="C31" s="21" t="str">
        <f>C$26</f>
        <v>coke - IPCC</v>
      </c>
      <c r="D31" s="56">
        <v>0.5</v>
      </c>
      <c r="E31" t="str">
        <f t="shared" ref="E31:E32" si="4">E$25</f>
        <v>charcoal</v>
      </c>
      <c r="F31" s="21">
        <f>F$26</f>
        <v>8.3615999999999996E-2</v>
      </c>
      <c r="G31" s="21">
        <f>G$26</f>
        <v>9.1999999999999998E-2</v>
      </c>
    </row>
    <row r="32" spans="1:8" x14ac:dyDescent="0.25">
      <c r="A32" s="55" t="s">
        <v>208</v>
      </c>
      <c r="B32" s="21">
        <f t="shared" ref="B32:C32" si="5">B$27</f>
        <v>4.4468085106382983E-2</v>
      </c>
      <c r="C32" s="21" t="str">
        <f t="shared" si="5"/>
        <v>coke - IPCC</v>
      </c>
      <c r="D32" s="56">
        <v>0.5</v>
      </c>
      <c r="E32" t="str">
        <f t="shared" si="4"/>
        <v>charcoal</v>
      </c>
      <c r="F32" s="21">
        <f t="shared" ref="F32:G32" si="6">F$27</f>
        <v>8.3615999999999996E-2</v>
      </c>
      <c r="G32" s="21">
        <f t="shared" si="6"/>
        <v>0.08</v>
      </c>
    </row>
    <row r="33" spans="1:7" x14ac:dyDescent="0.25">
      <c r="A33" s="55" t="s">
        <v>209</v>
      </c>
      <c r="B33" s="48">
        <f>B$25</f>
        <v>4.5269503546099293E-2</v>
      </c>
      <c r="C33" s="48" t="str">
        <f>C$25</f>
        <v>coke - IPCC</v>
      </c>
      <c r="D33" s="56">
        <v>1</v>
      </c>
      <c r="E33" t="str">
        <f>E$24</f>
        <v>charcoal</v>
      </c>
      <c r="F33" s="48">
        <f>F$25</f>
        <v>8.3615999999999996E-2</v>
      </c>
      <c r="G33" s="48">
        <f>G$25</f>
        <v>0.1235</v>
      </c>
    </row>
    <row r="34" spans="1:7" x14ac:dyDescent="0.25">
      <c r="A34" s="55" t="s">
        <v>210</v>
      </c>
      <c r="B34" s="48">
        <f>B$25</f>
        <v>4.5269503546099293E-2</v>
      </c>
      <c r="C34" s="48" t="str">
        <f>C$25</f>
        <v>coke - IPCC</v>
      </c>
      <c r="D34" s="56">
        <v>0.2</v>
      </c>
      <c r="E34" t="s">
        <v>184</v>
      </c>
      <c r="F34" s="48">
        <f>F$25</f>
        <v>8.3615999999999996E-2</v>
      </c>
      <c r="G34" s="48">
        <f>G$25</f>
        <v>0.1235</v>
      </c>
    </row>
    <row r="35" spans="1:7" x14ac:dyDescent="0.25">
      <c r="A35" s="55" t="s">
        <v>174</v>
      </c>
      <c r="B35" s="48">
        <f>B$25</f>
        <v>4.5269503546099293E-2</v>
      </c>
      <c r="C35" s="48" t="str">
        <f>C$25</f>
        <v>coke - IPCC</v>
      </c>
      <c r="D35" s="56">
        <v>0.2</v>
      </c>
      <c r="E35" t="s">
        <v>184</v>
      </c>
      <c r="F35" s="48">
        <f>F$25</f>
        <v>8.3615999999999996E-2</v>
      </c>
      <c r="G35" s="48">
        <f>G$25</f>
        <v>0.1235</v>
      </c>
    </row>
    <row r="36" spans="1:7" x14ac:dyDescent="0.25">
      <c r="A36" s="55" t="s">
        <v>175</v>
      </c>
      <c r="B36" s="21">
        <f>B$26</f>
        <v>4.4468085106382983E-2</v>
      </c>
      <c r="C36" s="21" t="str">
        <f>C$26</f>
        <v>coke - IPCC</v>
      </c>
      <c r="D36">
        <f t="shared" ref="D36:E39" si="7">D$25</f>
        <v>0</v>
      </c>
      <c r="E36" t="str">
        <f t="shared" si="7"/>
        <v>charcoal</v>
      </c>
      <c r="F36" s="21">
        <f>F$26</f>
        <v>8.3615999999999996E-2</v>
      </c>
      <c r="G36" s="21">
        <f>G$26</f>
        <v>9.1999999999999998E-2</v>
      </c>
    </row>
    <row r="37" spans="1:7" x14ac:dyDescent="0.25">
      <c r="A37" s="55" t="s">
        <v>176</v>
      </c>
      <c r="B37" s="21">
        <f>B$26</f>
        <v>4.4468085106382983E-2</v>
      </c>
      <c r="C37" s="21" t="str">
        <f>C$26</f>
        <v>coke - IPCC</v>
      </c>
      <c r="D37" s="56">
        <v>0.5</v>
      </c>
      <c r="E37" t="str">
        <f t="shared" si="7"/>
        <v>charcoal</v>
      </c>
      <c r="F37" s="21">
        <f>F$26</f>
        <v>8.3615999999999996E-2</v>
      </c>
      <c r="G37" s="21">
        <f>G$26</f>
        <v>9.1999999999999998E-2</v>
      </c>
    </row>
    <row r="38" spans="1:7" x14ac:dyDescent="0.25">
      <c r="A38" s="55" t="s">
        <v>177</v>
      </c>
      <c r="B38" s="21">
        <f t="shared" ref="B38:C39" si="8">B$27</f>
        <v>4.4468085106382983E-2</v>
      </c>
      <c r="C38" s="21" t="str">
        <f t="shared" si="8"/>
        <v>coke - IPCC</v>
      </c>
      <c r="D38" s="56">
        <v>0</v>
      </c>
      <c r="E38" t="str">
        <f t="shared" si="7"/>
        <v>charcoal</v>
      </c>
      <c r="F38" s="21">
        <f t="shared" ref="F38:G39" si="9">F$27</f>
        <v>8.3615999999999996E-2</v>
      </c>
      <c r="G38" s="21">
        <f t="shared" si="9"/>
        <v>0.08</v>
      </c>
    </row>
    <row r="39" spans="1:7" s="66" customFormat="1" ht="15.75" thickBot="1" x14ac:dyDescent="0.3">
      <c r="A39" s="67" t="s">
        <v>178</v>
      </c>
      <c r="B39" s="65">
        <f t="shared" si="8"/>
        <v>4.4468085106382983E-2</v>
      </c>
      <c r="C39" s="65" t="str">
        <f t="shared" si="8"/>
        <v>coke - IPCC</v>
      </c>
      <c r="D39" s="68">
        <v>0.5</v>
      </c>
      <c r="E39" s="66" t="str">
        <f t="shared" si="7"/>
        <v>charcoal</v>
      </c>
      <c r="F39" s="65">
        <f t="shared" si="9"/>
        <v>8.3615999999999996E-2</v>
      </c>
      <c r="G39" s="65">
        <f t="shared" si="9"/>
        <v>0.08</v>
      </c>
    </row>
    <row r="40" spans="1:7" s="1" customFormat="1" x14ac:dyDescent="0.25">
      <c r="A40" s="73" t="s">
        <v>211</v>
      </c>
      <c r="B40" s="1">
        <v>5.1040000000000002E-2</v>
      </c>
      <c r="C40" s="1" t="s">
        <v>113</v>
      </c>
      <c r="D40" s="1">
        <v>0</v>
      </c>
      <c r="E40" s="1" t="s">
        <v>23</v>
      </c>
      <c r="F40" s="92">
        <f>0.1407*0.56</f>
        <v>7.8792000000000001E-2</v>
      </c>
      <c r="G40" s="1">
        <f>4.93*Ref!B72</f>
        <v>0</v>
      </c>
    </row>
    <row r="41" spans="1:7" x14ac:dyDescent="0.25">
      <c r="A41" s="73" t="s">
        <v>212</v>
      </c>
      <c r="B41" s="90">
        <f>1.2766/28.2</f>
        <v>4.5269503546099293E-2</v>
      </c>
      <c r="C41" s="1" t="s">
        <v>112</v>
      </c>
      <c r="D41">
        <v>0</v>
      </c>
      <c r="E41" t="s">
        <v>23</v>
      </c>
      <c r="F41" s="92">
        <f>0.1407*0.56</f>
        <v>7.8792000000000001E-2</v>
      </c>
      <c r="G41" s="1">
        <f>4.93*Ref!B73</f>
        <v>0</v>
      </c>
    </row>
    <row r="42" spans="1:7" x14ac:dyDescent="0.25">
      <c r="A42" s="73" t="s">
        <v>213</v>
      </c>
      <c r="B42" s="91">
        <f>1.254/28.2</f>
        <v>4.4468085106382983E-2</v>
      </c>
      <c r="C42" s="1" t="s">
        <v>112</v>
      </c>
      <c r="D42">
        <v>0</v>
      </c>
      <c r="E42" t="s">
        <v>23</v>
      </c>
      <c r="F42" s="92">
        <f>0.1407*0.56</f>
        <v>7.8792000000000001E-2</v>
      </c>
      <c r="G42" s="1">
        <f>4.93*Ref!B74</f>
        <v>0</v>
      </c>
    </row>
    <row r="43" spans="1:7" x14ac:dyDescent="0.25">
      <c r="A43" s="55" t="s">
        <v>214</v>
      </c>
      <c r="B43">
        <f t="shared" ref="B43:C45" si="10">B$40</f>
        <v>5.1040000000000002E-2</v>
      </c>
      <c r="C43" t="str">
        <f t="shared" si="10"/>
        <v>coke - CN</v>
      </c>
      <c r="D43">
        <f>D$24</f>
        <v>0</v>
      </c>
      <c r="E43" t="str">
        <f>E$24</f>
        <v>charcoal</v>
      </c>
      <c r="F43">
        <f t="shared" ref="F43:G43" si="11">F$40</f>
        <v>7.8792000000000001E-2</v>
      </c>
      <c r="G43">
        <f t="shared" si="11"/>
        <v>0</v>
      </c>
    </row>
    <row r="44" spans="1:7" x14ac:dyDescent="0.25">
      <c r="A44" s="55" t="s">
        <v>215</v>
      </c>
      <c r="B44" s="48">
        <f>B$41</f>
        <v>4.5269503546099293E-2</v>
      </c>
      <c r="C44" s="48" t="str">
        <f>C$41</f>
        <v>coke - IPCC</v>
      </c>
      <c r="D44">
        <f t="shared" ref="D44:E44" si="12">D$25</f>
        <v>0</v>
      </c>
      <c r="E44" t="str">
        <f t="shared" si="12"/>
        <v>charcoal</v>
      </c>
      <c r="F44" s="48">
        <f>F$41</f>
        <v>7.8792000000000001E-2</v>
      </c>
      <c r="G44" s="48">
        <f>G$41</f>
        <v>0</v>
      </c>
    </row>
    <row r="45" spans="1:7" x14ac:dyDescent="0.25">
      <c r="A45" s="55" t="s">
        <v>216</v>
      </c>
      <c r="B45">
        <f t="shared" si="10"/>
        <v>5.1040000000000002E-2</v>
      </c>
      <c r="C45" t="str">
        <f t="shared" si="10"/>
        <v>coke - CN</v>
      </c>
      <c r="D45" s="56">
        <v>0.5</v>
      </c>
      <c r="E45" t="str">
        <f>E$24</f>
        <v>charcoal</v>
      </c>
      <c r="F45">
        <f t="shared" ref="F45:G45" si="13">F$40</f>
        <v>7.8792000000000001E-2</v>
      </c>
      <c r="G45">
        <f t="shared" si="13"/>
        <v>0</v>
      </c>
    </row>
    <row r="46" spans="1:7" x14ac:dyDescent="0.25">
      <c r="A46" s="55" t="s">
        <v>217</v>
      </c>
      <c r="B46" s="48">
        <f>B$41</f>
        <v>4.5269503546099293E-2</v>
      </c>
      <c r="C46" s="48" t="str">
        <f>C$41</f>
        <v>coke - IPCC</v>
      </c>
      <c r="D46" s="56">
        <v>0.5</v>
      </c>
      <c r="E46" t="str">
        <f t="shared" ref="E46:E47" si="14">E$25</f>
        <v>charcoal</v>
      </c>
      <c r="F46" s="48">
        <f>F$41</f>
        <v>7.8792000000000001E-2</v>
      </c>
      <c r="G46" s="48">
        <f>G$41</f>
        <v>0</v>
      </c>
    </row>
    <row r="47" spans="1:7" x14ac:dyDescent="0.25">
      <c r="A47" s="55" t="s">
        <v>218</v>
      </c>
      <c r="B47" s="21">
        <f>B$42</f>
        <v>4.4468085106382983E-2</v>
      </c>
      <c r="C47" s="21" t="str">
        <f>C$42</f>
        <v>coke - IPCC</v>
      </c>
      <c r="D47" s="56">
        <v>0.5</v>
      </c>
      <c r="E47" t="str">
        <f t="shared" si="14"/>
        <v>charcoal</v>
      </c>
      <c r="F47" s="21">
        <f>F$42</f>
        <v>7.8792000000000001E-2</v>
      </c>
      <c r="G47" s="21">
        <f>G$42</f>
        <v>0</v>
      </c>
    </row>
    <row r="48" spans="1:7" x14ac:dyDescent="0.25">
      <c r="A48" s="55" t="s">
        <v>219</v>
      </c>
      <c r="B48">
        <f t="shared" ref="B48:C48" si="15">B$40</f>
        <v>5.1040000000000002E-2</v>
      </c>
      <c r="C48" t="str">
        <f t="shared" si="15"/>
        <v>coke - CN</v>
      </c>
      <c r="D48" s="56">
        <v>1</v>
      </c>
      <c r="E48" t="str">
        <f>E$24</f>
        <v>charcoal</v>
      </c>
      <c r="F48">
        <f t="shared" ref="F48:G48" si="16">F$40</f>
        <v>7.8792000000000001E-2</v>
      </c>
      <c r="G48">
        <f t="shared" si="16"/>
        <v>0</v>
      </c>
    </row>
    <row r="49" spans="1:7" x14ac:dyDescent="0.25">
      <c r="A49" s="55" t="s">
        <v>220</v>
      </c>
      <c r="B49">
        <f t="shared" ref="B49:C50" si="17">B$40</f>
        <v>5.1040000000000002E-2</v>
      </c>
      <c r="C49" t="str">
        <f t="shared" si="17"/>
        <v>coke - CN</v>
      </c>
      <c r="D49" s="56">
        <v>0.2</v>
      </c>
      <c r="E49" t="s">
        <v>184</v>
      </c>
      <c r="F49">
        <f t="shared" ref="F49:G50" si="18">F$40</f>
        <v>7.8792000000000001E-2</v>
      </c>
      <c r="G49">
        <f t="shared" si="18"/>
        <v>0</v>
      </c>
    </row>
    <row r="50" spans="1:7" x14ac:dyDescent="0.25">
      <c r="A50" s="55" t="s">
        <v>179</v>
      </c>
      <c r="B50">
        <f t="shared" si="17"/>
        <v>5.1040000000000002E-2</v>
      </c>
      <c r="C50" t="str">
        <f t="shared" si="17"/>
        <v>coke - CN</v>
      </c>
      <c r="D50" s="56">
        <v>0.2</v>
      </c>
      <c r="E50" t="s">
        <v>184</v>
      </c>
      <c r="F50">
        <f t="shared" si="18"/>
        <v>7.8792000000000001E-2</v>
      </c>
      <c r="G50">
        <f t="shared" si="18"/>
        <v>0</v>
      </c>
    </row>
    <row r="51" spans="1:7" x14ac:dyDescent="0.25">
      <c r="A51" s="55" t="s">
        <v>180</v>
      </c>
      <c r="B51" s="48">
        <f>B$41</f>
        <v>4.5269503546099293E-2</v>
      </c>
      <c r="C51" s="48" t="str">
        <f>C$41</f>
        <v>coke - IPCC</v>
      </c>
      <c r="D51">
        <f t="shared" ref="D51:E54" si="19">D$25</f>
        <v>0</v>
      </c>
      <c r="E51" t="str">
        <f t="shared" si="19"/>
        <v>charcoal</v>
      </c>
      <c r="F51" s="48">
        <f>F$41</f>
        <v>7.8792000000000001E-2</v>
      </c>
      <c r="G51" s="48">
        <f>G$41</f>
        <v>0</v>
      </c>
    </row>
    <row r="52" spans="1:7" x14ac:dyDescent="0.25">
      <c r="A52" s="55" t="s">
        <v>181</v>
      </c>
      <c r="B52" s="48">
        <f>B$41</f>
        <v>4.5269503546099293E-2</v>
      </c>
      <c r="C52" s="48" t="str">
        <f>C$41</f>
        <v>coke - IPCC</v>
      </c>
      <c r="D52" s="56">
        <v>0.5</v>
      </c>
      <c r="E52" t="str">
        <f t="shared" si="19"/>
        <v>charcoal</v>
      </c>
      <c r="F52" s="48">
        <f>F$41</f>
        <v>7.8792000000000001E-2</v>
      </c>
      <c r="G52" s="48">
        <f>G$41</f>
        <v>0</v>
      </c>
    </row>
    <row r="53" spans="1:7" x14ac:dyDescent="0.25">
      <c r="A53" s="55" t="s">
        <v>182</v>
      </c>
      <c r="B53" s="21">
        <f>B$42</f>
        <v>4.4468085106382983E-2</v>
      </c>
      <c r="C53" s="21" t="str">
        <f>C$42</f>
        <v>coke - IPCC</v>
      </c>
      <c r="D53" s="56">
        <v>0</v>
      </c>
      <c r="E53" t="str">
        <f t="shared" si="19"/>
        <v>charcoal</v>
      </c>
      <c r="F53" s="21">
        <f>F$42</f>
        <v>7.8792000000000001E-2</v>
      </c>
      <c r="G53" s="21">
        <f>G$42</f>
        <v>0</v>
      </c>
    </row>
    <row r="54" spans="1:7" s="66" customFormat="1" ht="16.5" customHeight="1" thickBot="1" x14ac:dyDescent="0.3">
      <c r="A54" s="67" t="s">
        <v>183</v>
      </c>
      <c r="B54" s="65">
        <f>B$42</f>
        <v>4.4468085106382983E-2</v>
      </c>
      <c r="C54" s="65" t="str">
        <f>C$42</f>
        <v>coke - IPCC</v>
      </c>
      <c r="D54" s="68">
        <v>0.5</v>
      </c>
      <c r="E54" s="66" t="str">
        <f t="shared" si="19"/>
        <v>charcoal</v>
      </c>
      <c r="F54" s="65">
        <f>F$42</f>
        <v>7.8792000000000001E-2</v>
      </c>
      <c r="G54" s="65">
        <f>G$42</f>
        <v>0</v>
      </c>
    </row>
    <row r="55" spans="1:7" s="1" customFormat="1" x14ac:dyDescent="0.25">
      <c r="A55" s="74" t="s">
        <v>221</v>
      </c>
      <c r="B55" s="1">
        <v>0.04</v>
      </c>
      <c r="C55" s="1" t="s">
        <v>116</v>
      </c>
      <c r="D55" s="1">
        <v>0</v>
      </c>
      <c r="E55" s="1" t="s">
        <v>23</v>
      </c>
      <c r="F55" s="80">
        <f>0.15*0.56</f>
        <v>8.4000000000000005E-2</v>
      </c>
      <c r="G55" s="1">
        <v>0.14000000000000001</v>
      </c>
    </row>
    <row r="56" spans="1:7" x14ac:dyDescent="0.25">
      <c r="A56" s="54" t="s">
        <v>222</v>
      </c>
      <c r="B56">
        <f t="shared" ref="B56:C59" si="20">B$55</f>
        <v>0.04</v>
      </c>
      <c r="C56" t="str">
        <f t="shared" si="20"/>
        <v>coke - JP IPCC</v>
      </c>
      <c r="D56">
        <f t="shared" ref="D56:E58" si="21">D$24</f>
        <v>0</v>
      </c>
      <c r="E56" t="str">
        <f t="shared" si="21"/>
        <v>charcoal</v>
      </c>
      <c r="F56">
        <f t="shared" ref="F56:G59" si="22">F$55</f>
        <v>8.4000000000000005E-2</v>
      </c>
      <c r="G56">
        <f t="shared" si="22"/>
        <v>0.14000000000000001</v>
      </c>
    </row>
    <row r="57" spans="1:7" x14ac:dyDescent="0.25">
      <c r="A57" s="54" t="s">
        <v>223</v>
      </c>
      <c r="B57">
        <f t="shared" si="20"/>
        <v>0.04</v>
      </c>
      <c r="C57" t="str">
        <f t="shared" si="20"/>
        <v>coke - JP IPCC</v>
      </c>
      <c r="D57" s="56">
        <v>0.5</v>
      </c>
      <c r="E57" t="str">
        <f t="shared" si="21"/>
        <v>charcoal</v>
      </c>
      <c r="F57">
        <f t="shared" si="22"/>
        <v>8.4000000000000005E-2</v>
      </c>
      <c r="G57">
        <f t="shared" si="22"/>
        <v>0.14000000000000001</v>
      </c>
    </row>
    <row r="58" spans="1:7" x14ac:dyDescent="0.25">
      <c r="A58" s="54" t="s">
        <v>224</v>
      </c>
      <c r="B58">
        <f t="shared" si="20"/>
        <v>0.04</v>
      </c>
      <c r="C58" t="str">
        <f t="shared" si="20"/>
        <v>coke - JP IPCC</v>
      </c>
      <c r="D58" s="56">
        <v>1</v>
      </c>
      <c r="E58" t="str">
        <f t="shared" si="21"/>
        <v>charcoal</v>
      </c>
      <c r="F58">
        <f t="shared" si="22"/>
        <v>8.4000000000000005E-2</v>
      </c>
      <c r="G58">
        <f t="shared" si="22"/>
        <v>0.14000000000000001</v>
      </c>
    </row>
    <row r="59" spans="1:7" s="66" customFormat="1" ht="15.75" thickBot="1" x14ac:dyDescent="0.3">
      <c r="A59" s="69" t="s">
        <v>225</v>
      </c>
      <c r="B59" s="66">
        <f t="shared" si="20"/>
        <v>0.04</v>
      </c>
      <c r="C59" s="66" t="str">
        <f t="shared" si="20"/>
        <v>coke - JP IPCC</v>
      </c>
      <c r="D59" s="68">
        <v>0.2</v>
      </c>
      <c r="E59" s="66" t="s">
        <v>184</v>
      </c>
      <c r="F59" s="66">
        <f t="shared" si="22"/>
        <v>8.4000000000000005E-2</v>
      </c>
      <c r="G59" s="66">
        <f t="shared" si="22"/>
        <v>0.14000000000000001</v>
      </c>
    </row>
    <row r="60" spans="1:7" s="1" customFormat="1" x14ac:dyDescent="0.25">
      <c r="A60" s="74" t="s">
        <v>226</v>
      </c>
      <c r="B60" s="80">
        <v>0.05</v>
      </c>
      <c r="C60" s="1" t="s">
        <v>112</v>
      </c>
      <c r="D60" s="1">
        <v>0</v>
      </c>
      <c r="E60" s="1" t="s">
        <v>23</v>
      </c>
      <c r="F60" s="93">
        <v>8.4699999999999998E-2</v>
      </c>
      <c r="G60" s="80">
        <v>0.1</v>
      </c>
    </row>
    <row r="61" spans="1:7" x14ac:dyDescent="0.25">
      <c r="A61" s="54" t="s">
        <v>227</v>
      </c>
      <c r="B61" s="62">
        <f t="shared" ref="B61:C64" si="23">B$60</f>
        <v>0.05</v>
      </c>
      <c r="C61" s="62" t="str">
        <f t="shared" si="23"/>
        <v>coke - IPCC</v>
      </c>
      <c r="D61">
        <f t="shared" ref="D61:E63" si="24">D$24</f>
        <v>0</v>
      </c>
      <c r="E61" t="str">
        <f t="shared" si="24"/>
        <v>charcoal</v>
      </c>
      <c r="F61" s="62">
        <f t="shared" ref="F61:G64" si="25">F$60</f>
        <v>8.4699999999999998E-2</v>
      </c>
      <c r="G61" s="62">
        <f t="shared" si="25"/>
        <v>0.1</v>
      </c>
    </row>
    <row r="62" spans="1:7" x14ac:dyDescent="0.25">
      <c r="A62" s="54" t="s">
        <v>228</v>
      </c>
      <c r="B62" s="62">
        <f t="shared" si="23"/>
        <v>0.05</v>
      </c>
      <c r="C62" s="62" t="str">
        <f t="shared" si="23"/>
        <v>coke - IPCC</v>
      </c>
      <c r="D62" s="56">
        <v>0.5</v>
      </c>
      <c r="E62" t="str">
        <f t="shared" si="24"/>
        <v>charcoal</v>
      </c>
      <c r="F62" s="62">
        <f t="shared" si="25"/>
        <v>8.4699999999999998E-2</v>
      </c>
      <c r="G62" s="62">
        <f t="shared" si="25"/>
        <v>0.1</v>
      </c>
    </row>
    <row r="63" spans="1:7" x14ac:dyDescent="0.25">
      <c r="A63" s="54" t="s">
        <v>229</v>
      </c>
      <c r="B63" s="62">
        <f t="shared" si="23"/>
        <v>0.05</v>
      </c>
      <c r="C63" s="62" t="str">
        <f t="shared" si="23"/>
        <v>coke - IPCC</v>
      </c>
      <c r="D63" s="56">
        <v>1</v>
      </c>
      <c r="E63" t="str">
        <f t="shared" si="24"/>
        <v>charcoal</v>
      </c>
      <c r="F63" s="62">
        <f t="shared" si="25"/>
        <v>8.4699999999999998E-2</v>
      </c>
      <c r="G63" s="62">
        <f t="shared" si="25"/>
        <v>0.1</v>
      </c>
    </row>
    <row r="64" spans="1:7" s="66" customFormat="1" ht="15.75" thickBot="1" x14ac:dyDescent="0.3">
      <c r="A64" s="69" t="s">
        <v>230</v>
      </c>
      <c r="B64" s="84">
        <f t="shared" si="23"/>
        <v>0.05</v>
      </c>
      <c r="C64" s="84" t="str">
        <f t="shared" si="23"/>
        <v>coke - IPCC</v>
      </c>
      <c r="D64" s="68">
        <v>0.2</v>
      </c>
      <c r="E64" s="66" t="s">
        <v>184</v>
      </c>
      <c r="F64" s="84">
        <f t="shared" si="25"/>
        <v>8.4699999999999998E-2</v>
      </c>
      <c r="G64" s="84">
        <f t="shared" si="25"/>
        <v>0.1</v>
      </c>
    </row>
    <row r="65" spans="1:8" x14ac:dyDescent="0.25">
      <c r="A65" s="74" t="s">
        <v>231</v>
      </c>
      <c r="B65" s="51">
        <f>1.44/30.23</f>
        <v>4.7634799867681106E-2</v>
      </c>
      <c r="C65" t="s">
        <v>119</v>
      </c>
      <c r="D65" s="33">
        <v>0</v>
      </c>
      <c r="E65" s="33" t="s">
        <v>23</v>
      </c>
      <c r="F65" s="23">
        <f>0.15*0.56</f>
        <v>8.4000000000000005E-2</v>
      </c>
      <c r="G65" s="34">
        <f>0.1</f>
        <v>0.1</v>
      </c>
      <c r="H65" t="s">
        <v>154</v>
      </c>
    </row>
    <row r="66" spans="1:8" x14ac:dyDescent="0.25">
      <c r="A66" s="54" t="s">
        <v>232</v>
      </c>
      <c r="B66" s="47">
        <f t="shared" ref="B66:C69" si="26">B$65</f>
        <v>4.7634799867681106E-2</v>
      </c>
      <c r="C66" s="47" t="str">
        <f t="shared" si="26"/>
        <v>coke - US</v>
      </c>
      <c r="D66">
        <f t="shared" ref="D66:E68" si="27">D$24</f>
        <v>0</v>
      </c>
      <c r="E66" t="str">
        <f t="shared" si="27"/>
        <v>charcoal</v>
      </c>
      <c r="F66" s="47">
        <f t="shared" ref="F66:G69" si="28">F$65</f>
        <v>8.4000000000000005E-2</v>
      </c>
      <c r="G66" s="47">
        <f t="shared" si="28"/>
        <v>0.1</v>
      </c>
    </row>
    <row r="67" spans="1:8" x14ac:dyDescent="0.25">
      <c r="A67" s="54" t="s">
        <v>233</v>
      </c>
      <c r="B67" s="47">
        <f t="shared" si="26"/>
        <v>4.7634799867681106E-2</v>
      </c>
      <c r="C67" s="47" t="str">
        <f t="shared" si="26"/>
        <v>coke - US</v>
      </c>
      <c r="D67" s="56">
        <v>0.5</v>
      </c>
      <c r="E67" t="str">
        <f t="shared" si="27"/>
        <v>charcoal</v>
      </c>
      <c r="F67" s="47">
        <f t="shared" si="28"/>
        <v>8.4000000000000005E-2</v>
      </c>
      <c r="G67" s="47">
        <f t="shared" si="28"/>
        <v>0.1</v>
      </c>
    </row>
    <row r="68" spans="1:8" x14ac:dyDescent="0.25">
      <c r="A68" s="54" t="s">
        <v>234</v>
      </c>
      <c r="B68" s="47">
        <f t="shared" si="26"/>
        <v>4.7634799867681106E-2</v>
      </c>
      <c r="C68" s="47" t="str">
        <f t="shared" si="26"/>
        <v>coke - US</v>
      </c>
      <c r="D68" s="56">
        <v>1</v>
      </c>
      <c r="E68" t="str">
        <f t="shared" si="27"/>
        <v>charcoal</v>
      </c>
      <c r="F68" s="47">
        <f t="shared" si="28"/>
        <v>8.4000000000000005E-2</v>
      </c>
      <c r="G68" s="47">
        <f t="shared" si="28"/>
        <v>0.1</v>
      </c>
    </row>
    <row r="69" spans="1:8" s="66" customFormat="1" ht="15.75" thickBot="1" x14ac:dyDescent="0.3">
      <c r="A69" s="69" t="s">
        <v>235</v>
      </c>
      <c r="B69" s="87">
        <f t="shared" si="26"/>
        <v>4.7634799867681106E-2</v>
      </c>
      <c r="C69" s="87" t="str">
        <f t="shared" si="26"/>
        <v>coke - US</v>
      </c>
      <c r="D69" s="68">
        <v>0.2</v>
      </c>
      <c r="E69" s="66" t="s">
        <v>184</v>
      </c>
      <c r="F69" s="87">
        <f t="shared" si="28"/>
        <v>8.4000000000000005E-2</v>
      </c>
      <c r="G69" s="87">
        <f t="shared" si="28"/>
        <v>0.1</v>
      </c>
    </row>
    <row r="70" spans="1:8" s="1" customFormat="1" x14ac:dyDescent="0.25">
      <c r="A70" s="74" t="s">
        <v>236</v>
      </c>
      <c r="B70" s="105">
        <f>1.44/30.23</f>
        <v>4.7634799867681106E-2</v>
      </c>
      <c r="C70" s="1" t="s">
        <v>112</v>
      </c>
      <c r="D70" s="1">
        <v>0</v>
      </c>
      <c r="E70" s="1" t="s">
        <v>23</v>
      </c>
      <c r="F70" s="80">
        <f>0.15*0.56</f>
        <v>8.4000000000000005E-2</v>
      </c>
      <c r="G70" s="80">
        <v>0.1</v>
      </c>
    </row>
    <row r="71" spans="1:8" x14ac:dyDescent="0.25">
      <c r="A71" s="54" t="s">
        <v>237</v>
      </c>
      <c r="B71" s="64">
        <f>B$70</f>
        <v>4.7634799867681106E-2</v>
      </c>
      <c r="C71" s="64" t="str">
        <f>C$70</f>
        <v>coke - IPCC</v>
      </c>
      <c r="D71">
        <f t="shared" ref="D71:E73" si="29">D$24</f>
        <v>0</v>
      </c>
      <c r="E71" t="str">
        <f t="shared" si="29"/>
        <v>charcoal</v>
      </c>
      <c r="F71" s="64">
        <f t="shared" ref="F71:G74" si="30">F$70</f>
        <v>8.4000000000000005E-2</v>
      </c>
      <c r="G71" s="64">
        <f t="shared" si="30"/>
        <v>0.1</v>
      </c>
    </row>
    <row r="72" spans="1:8" x14ac:dyDescent="0.25">
      <c r="A72" s="54" t="s">
        <v>238</v>
      </c>
      <c r="B72" s="64">
        <f>B$70</f>
        <v>4.7634799867681106E-2</v>
      </c>
      <c r="C72" s="64" t="str">
        <f>C$70</f>
        <v>coke - IPCC</v>
      </c>
      <c r="D72" s="56">
        <v>0.5</v>
      </c>
      <c r="E72" t="str">
        <f t="shared" si="29"/>
        <v>charcoal</v>
      </c>
      <c r="F72" s="64">
        <f t="shared" si="30"/>
        <v>8.4000000000000005E-2</v>
      </c>
      <c r="G72" s="64">
        <f t="shared" si="30"/>
        <v>0.1</v>
      </c>
    </row>
    <row r="73" spans="1:8" x14ac:dyDescent="0.25">
      <c r="A73" s="54" t="s">
        <v>239</v>
      </c>
      <c r="B73" s="64">
        <f>B$70</f>
        <v>4.7634799867681106E-2</v>
      </c>
      <c r="C73" s="64" t="str">
        <f>C$70</f>
        <v>coke - IPCC</v>
      </c>
      <c r="D73" s="56">
        <v>1</v>
      </c>
      <c r="E73" t="str">
        <f t="shared" si="29"/>
        <v>charcoal</v>
      </c>
      <c r="F73" s="64">
        <f t="shared" si="30"/>
        <v>8.4000000000000005E-2</v>
      </c>
      <c r="G73" s="64">
        <f t="shared" si="30"/>
        <v>0.1</v>
      </c>
    </row>
    <row r="74" spans="1:8" s="66" customFormat="1" ht="15.75" thickBot="1" x14ac:dyDescent="0.3">
      <c r="A74" s="69" t="s">
        <v>240</v>
      </c>
      <c r="B74" s="94">
        <f>B$70</f>
        <v>4.7634799867681106E-2</v>
      </c>
      <c r="C74" s="94" t="str">
        <f>C$70</f>
        <v>coke - IPCC</v>
      </c>
      <c r="D74" s="68">
        <v>0.2</v>
      </c>
      <c r="E74" s="66" t="s">
        <v>184</v>
      </c>
      <c r="F74" s="94">
        <f t="shared" si="30"/>
        <v>8.4000000000000005E-2</v>
      </c>
      <c r="G74" s="94">
        <f t="shared" si="30"/>
        <v>0.1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O33" sqref="O33"/>
    </sheetView>
  </sheetViews>
  <sheetFormatPr defaultColWidth="11.42578125" defaultRowHeight="15" x14ac:dyDescent="0.25"/>
  <cols>
    <col min="1" max="1" width="27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B7</f>
        <v>1.1000000000000001</v>
      </c>
      <c r="C4">
        <f t="shared" si="0"/>
        <v>0.35</v>
      </c>
      <c r="D4">
        <f t="shared" si="0"/>
        <v>7.28E-3</v>
      </c>
      <c r="E4">
        <f>E7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L11</f>
        <v>coal coking - IPCC</v>
      </c>
      <c r="M4">
        <f>M7</f>
        <v>0</v>
      </c>
      <c r="N4" t="str">
        <f>N7</f>
        <v>charcoal</v>
      </c>
    </row>
    <row r="5" spans="1:17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L8</f>
        <v>coal PCI - JP IPCC</v>
      </c>
      <c r="M5">
        <v>0.3</v>
      </c>
      <c r="N5" t="s">
        <v>23</v>
      </c>
    </row>
    <row r="6" spans="1:17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</row>
    <row r="7" spans="1:17" x14ac:dyDescent="0.25">
      <c r="A7" t="s">
        <v>108</v>
      </c>
      <c r="B7">
        <v>1.1000000000000001</v>
      </c>
      <c r="C7">
        <v>0.35</v>
      </c>
      <c r="D7" s="22">
        <f>0.013*(56/100)</f>
        <v>7.28E-3</v>
      </c>
      <c r="E7" s="21">
        <v>0.10444000000000001</v>
      </c>
      <c r="G7">
        <v>0.3548</v>
      </c>
      <c r="H7" t="s">
        <v>112</v>
      </c>
      <c r="I7">
        <v>0</v>
      </c>
      <c r="J7" t="s">
        <v>23</v>
      </c>
      <c r="K7">
        <v>0.152</v>
      </c>
      <c r="L7" t="s">
        <v>115</v>
      </c>
      <c r="M7">
        <v>0</v>
      </c>
      <c r="N7" t="s">
        <v>23</v>
      </c>
    </row>
    <row r="8" spans="1:17" x14ac:dyDescent="0.25">
      <c r="A8" t="s">
        <v>109</v>
      </c>
      <c r="B8">
        <v>1.17</v>
      </c>
      <c r="C8">
        <v>0.12</v>
      </c>
      <c r="D8" s="23">
        <f>0.04*(0.56)</f>
        <v>2.2400000000000003E-2</v>
      </c>
      <c r="E8">
        <v>0.24</v>
      </c>
      <c r="G8" s="3">
        <v>0.36499999999999999</v>
      </c>
      <c r="H8" t="s">
        <v>116</v>
      </c>
      <c r="I8">
        <v>0</v>
      </c>
      <c r="J8" t="s">
        <v>23</v>
      </c>
      <c r="K8">
        <v>0.14000000000000001</v>
      </c>
      <c r="L8" t="s">
        <v>117</v>
      </c>
      <c r="M8">
        <v>0</v>
      </c>
      <c r="N8" t="s">
        <v>23</v>
      </c>
    </row>
    <row r="9" spans="1:17" x14ac:dyDescent="0.25">
      <c r="A9" t="s">
        <v>110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23">
        <v>0.2</v>
      </c>
      <c r="G9" s="3">
        <v>0.45300000000000001</v>
      </c>
      <c r="H9" t="s">
        <v>112</v>
      </c>
      <c r="I9" s="3">
        <v>0</v>
      </c>
      <c r="J9" t="s">
        <v>23</v>
      </c>
      <c r="K9" s="3">
        <v>9.1600000000000001E-2</v>
      </c>
      <c r="L9" t="s">
        <v>118</v>
      </c>
      <c r="M9">
        <v>0</v>
      </c>
      <c r="N9" t="s">
        <v>23</v>
      </c>
    </row>
    <row r="10" spans="1:17" x14ac:dyDescent="0.25">
      <c r="A10" t="s">
        <v>111</v>
      </c>
      <c r="B10">
        <v>0</v>
      </c>
      <c r="C10" s="26">
        <f>70.2/54.4</f>
        <v>1.2904411764705883</v>
      </c>
      <c r="D10" s="33">
        <f>0.25*0.56</f>
        <v>0.14000000000000001</v>
      </c>
      <c r="E10">
        <v>0.27</v>
      </c>
      <c r="G10" s="33">
        <f>12.26/30.23</f>
        <v>0.40555739331789614</v>
      </c>
      <c r="H10" t="s">
        <v>119</v>
      </c>
      <c r="I10" s="3">
        <v>0</v>
      </c>
      <c r="J10" t="s">
        <v>23</v>
      </c>
      <c r="K10" s="33">
        <f>(1.88+2.13)/47</f>
        <v>8.5319148936170208E-2</v>
      </c>
      <c r="L10" t="s">
        <v>120</v>
      </c>
      <c r="M10">
        <v>0</v>
      </c>
      <c r="N10" t="s">
        <v>23</v>
      </c>
    </row>
    <row r="11" spans="1:17" x14ac:dyDescent="0.25">
      <c r="A11" t="s">
        <v>127</v>
      </c>
      <c r="B11" s="23">
        <v>1.3</v>
      </c>
      <c r="C11" s="23">
        <v>0</v>
      </c>
      <c r="D11" s="23">
        <v>0.01</v>
      </c>
      <c r="E11" s="23">
        <v>0.1</v>
      </c>
      <c r="G11" s="3">
        <v>0.59</v>
      </c>
      <c r="H11" t="s">
        <v>112</v>
      </c>
      <c r="I11" s="3">
        <v>0</v>
      </c>
      <c r="J11" t="s">
        <v>23</v>
      </c>
      <c r="K11" s="3">
        <v>0.11</v>
      </c>
      <c r="L11" t="s">
        <v>115</v>
      </c>
      <c r="M11">
        <v>0</v>
      </c>
      <c r="N11" t="s">
        <v>23</v>
      </c>
    </row>
    <row r="12" spans="1:17" x14ac:dyDescent="0.25">
      <c r="A12" t="s">
        <v>130</v>
      </c>
      <c r="B12" s="48">
        <f>AVERAGE(B6:B11)</f>
        <v>0.97694500000000006</v>
      </c>
      <c r="C12" s="48">
        <f>AVERAGE(C6:C11)</f>
        <v>0.32215686274509808</v>
      </c>
      <c r="D12" s="48">
        <f>AVERAGE(D6:D11)</f>
        <v>3.741333333333334E-2</v>
      </c>
      <c r="E12" s="48">
        <f>AVERAGE(E5:E11)</f>
        <v>0.20275085714285715</v>
      </c>
      <c r="G12" s="48">
        <f>AVERAGE(G6:G11)</f>
        <v>0.40939289888631603</v>
      </c>
      <c r="H12" t="s">
        <v>112</v>
      </c>
      <c r="I12" s="48">
        <f>AVERAGE(I6:I11)</f>
        <v>0</v>
      </c>
      <c r="J12" t="s">
        <v>23</v>
      </c>
      <c r="K12" s="48">
        <f>AVERAGE(K6:K11)</f>
        <v>0.13065319148936169</v>
      </c>
      <c r="L12" t="s">
        <v>115</v>
      </c>
      <c r="M12" s="48">
        <f>AVERAGE(M6:M11)</f>
        <v>0</v>
      </c>
      <c r="N12" t="s">
        <v>23</v>
      </c>
    </row>
    <row r="13" spans="1:17" x14ac:dyDescent="0.25">
      <c r="A13" t="s">
        <v>131</v>
      </c>
      <c r="B13">
        <f t="shared" ref="B13:C16" si="1">B$7</f>
        <v>1.1000000000000001</v>
      </c>
      <c r="C13">
        <f t="shared" si="1"/>
        <v>0.35</v>
      </c>
      <c r="D13" s="49">
        <f>D$7*0.7</f>
        <v>5.0959999999999998E-3</v>
      </c>
      <c r="E13">
        <f>E$7</f>
        <v>0.10444000000000001</v>
      </c>
      <c r="G13">
        <f t="shared" ref="G13:H16" si="2">G$7</f>
        <v>0.3548</v>
      </c>
      <c r="H13" t="str">
        <f t="shared" si="2"/>
        <v>coke - IPCC</v>
      </c>
      <c r="I13" s="3">
        <v>0</v>
      </c>
      <c r="J13" t="s">
        <v>23</v>
      </c>
      <c r="K13">
        <f t="shared" ref="K13:L16" si="3">K$7</f>
        <v>0.152</v>
      </c>
      <c r="L13" t="str">
        <f t="shared" si="3"/>
        <v>coal coking - IPCC</v>
      </c>
      <c r="M13">
        <v>1</v>
      </c>
      <c r="N13" t="s">
        <v>23</v>
      </c>
    </row>
    <row r="14" spans="1:17" x14ac:dyDescent="0.25">
      <c r="A14" t="s">
        <v>132</v>
      </c>
      <c r="B14">
        <f t="shared" si="1"/>
        <v>1.1000000000000001</v>
      </c>
      <c r="C14">
        <f t="shared" si="1"/>
        <v>0.35</v>
      </c>
      <c r="D14" s="49">
        <f>D$7*0.7</f>
        <v>5.0959999999999998E-3</v>
      </c>
      <c r="E14">
        <f>E$7</f>
        <v>0.10444000000000001</v>
      </c>
      <c r="G14">
        <f t="shared" si="2"/>
        <v>0.3548</v>
      </c>
      <c r="H14" t="str">
        <f t="shared" si="2"/>
        <v>coke - IPCC</v>
      </c>
      <c r="I14" s="3">
        <v>0</v>
      </c>
      <c r="J14" t="s">
        <v>23</v>
      </c>
      <c r="K14">
        <f t="shared" si="3"/>
        <v>0.152</v>
      </c>
      <c r="L14" t="str">
        <f t="shared" si="3"/>
        <v>coal coking - IPCC</v>
      </c>
      <c r="M14">
        <v>1</v>
      </c>
      <c r="N14" t="s">
        <v>23</v>
      </c>
    </row>
    <row r="15" spans="1:17" x14ac:dyDescent="0.25">
      <c r="A15" t="s">
        <v>133</v>
      </c>
      <c r="B15">
        <f t="shared" si="1"/>
        <v>1.1000000000000001</v>
      </c>
      <c r="C15">
        <f t="shared" si="1"/>
        <v>0.35</v>
      </c>
      <c r="D15" s="49">
        <f>D$7*0.7</f>
        <v>5.0959999999999998E-3</v>
      </c>
      <c r="E15">
        <f>E$7</f>
        <v>0.10444000000000001</v>
      </c>
      <c r="G15">
        <f t="shared" si="2"/>
        <v>0.3548</v>
      </c>
      <c r="H15" t="str">
        <f t="shared" si="2"/>
        <v>coke - IPCC</v>
      </c>
      <c r="I15" s="3">
        <v>0</v>
      </c>
      <c r="J15" t="s">
        <v>23</v>
      </c>
      <c r="K15">
        <f t="shared" si="3"/>
        <v>0.152</v>
      </c>
      <c r="L15" t="str">
        <f t="shared" si="3"/>
        <v>coal coking - IPCC</v>
      </c>
      <c r="M15">
        <v>1</v>
      </c>
      <c r="N15" t="s">
        <v>23</v>
      </c>
    </row>
    <row r="16" spans="1:17" x14ac:dyDescent="0.25">
      <c r="A16" t="s">
        <v>134</v>
      </c>
      <c r="B16">
        <f t="shared" si="1"/>
        <v>1.1000000000000001</v>
      </c>
      <c r="C16">
        <f t="shared" si="1"/>
        <v>0.35</v>
      </c>
      <c r="D16" s="49">
        <f>D$7*0.7</f>
        <v>5.0959999999999998E-3</v>
      </c>
      <c r="E16">
        <f>E$7</f>
        <v>0.10444000000000001</v>
      </c>
      <c r="G16">
        <f t="shared" si="2"/>
        <v>0.3548</v>
      </c>
      <c r="H16" t="str">
        <f t="shared" si="2"/>
        <v>coke - IPCC</v>
      </c>
      <c r="I16" s="3">
        <v>0</v>
      </c>
      <c r="J16" t="s">
        <v>23</v>
      </c>
      <c r="K16">
        <f t="shared" si="3"/>
        <v>0.152</v>
      </c>
      <c r="L16" t="str">
        <f t="shared" si="3"/>
        <v>coal coking - IPCC</v>
      </c>
      <c r="M16">
        <v>0.5</v>
      </c>
      <c r="N16" t="s">
        <v>23</v>
      </c>
    </row>
    <row r="17" spans="1:17" x14ac:dyDescent="0.25">
      <c r="A17" t="s">
        <v>136</v>
      </c>
      <c r="B17">
        <v>1.1200000000000001</v>
      </c>
      <c r="C17">
        <v>0</v>
      </c>
      <c r="D17" s="49">
        <f>0.013*0.56</f>
        <v>7.28E-3</v>
      </c>
      <c r="E17">
        <v>0.37331999999999999</v>
      </c>
      <c r="F17">
        <v>6.8400000000000002E-2</v>
      </c>
      <c r="G17">
        <v>0.35489999999999999</v>
      </c>
      <c r="H17" t="s">
        <v>137</v>
      </c>
      <c r="I17" s="3">
        <v>0</v>
      </c>
      <c r="J17" t="s">
        <v>23</v>
      </c>
      <c r="K17" s="3">
        <v>0.152</v>
      </c>
      <c r="L17" t="s">
        <v>138</v>
      </c>
      <c r="M17">
        <v>0</v>
      </c>
      <c r="N17" t="s">
        <v>23</v>
      </c>
    </row>
    <row r="18" spans="1:17" x14ac:dyDescent="0.25">
      <c r="A18" t="s">
        <v>151</v>
      </c>
      <c r="B18" s="23">
        <v>1.2</v>
      </c>
      <c r="E18">
        <v>0.09</v>
      </c>
      <c r="G18">
        <v>0.25800000000000001</v>
      </c>
      <c r="H18" t="s">
        <v>112</v>
      </c>
      <c r="I18">
        <v>0</v>
      </c>
      <c r="J18" t="s">
        <v>23</v>
      </c>
      <c r="K18">
        <v>0.14399999999999999</v>
      </c>
      <c r="L18" t="s">
        <v>115</v>
      </c>
      <c r="M18">
        <v>0</v>
      </c>
      <c r="N18" t="s">
        <v>23</v>
      </c>
      <c r="Q18" t="s">
        <v>159</v>
      </c>
    </row>
    <row r="19" spans="1:17" x14ac:dyDescent="0.25">
      <c r="A19" t="s">
        <v>158</v>
      </c>
      <c r="B19" s="23">
        <v>1.3</v>
      </c>
      <c r="C19">
        <v>0</v>
      </c>
      <c r="E19">
        <v>0.107</v>
      </c>
      <c r="G19">
        <v>0.28199999999999997</v>
      </c>
      <c r="H19" t="s">
        <v>112</v>
      </c>
      <c r="I19">
        <v>0</v>
      </c>
      <c r="J19" t="s">
        <v>23</v>
      </c>
      <c r="K19">
        <v>0.16</v>
      </c>
      <c r="L19" t="s">
        <v>115</v>
      </c>
      <c r="M19">
        <v>0</v>
      </c>
      <c r="N19" t="s">
        <v>23</v>
      </c>
    </row>
    <row r="20" spans="1:17" x14ac:dyDescent="0.25">
      <c r="A20" t="s">
        <v>152</v>
      </c>
      <c r="B20">
        <v>1088</v>
      </c>
      <c r="C20">
        <v>358</v>
      </c>
      <c r="D20">
        <v>2.5700000000000001E-2</v>
      </c>
      <c r="E20">
        <v>0.26800000000000002</v>
      </c>
      <c r="F20">
        <v>5.4399999999999997E-2</v>
      </c>
      <c r="G20">
        <v>0.35899999999999999</v>
      </c>
      <c r="H20" t="s">
        <v>112</v>
      </c>
      <c r="I20">
        <v>0</v>
      </c>
      <c r="J20" t="s">
        <v>23</v>
      </c>
      <c r="K20">
        <v>0.19</v>
      </c>
      <c r="L20" t="s">
        <v>115</v>
      </c>
      <c r="M20">
        <v>0</v>
      </c>
      <c r="N20" t="s">
        <v>23</v>
      </c>
    </row>
    <row r="21" spans="1:17" x14ac:dyDescent="0.25">
      <c r="A21" t="s">
        <v>143</v>
      </c>
      <c r="D21">
        <v>0</v>
      </c>
      <c r="E21">
        <v>0.107</v>
      </c>
      <c r="G21">
        <v>0.28199999999999997</v>
      </c>
      <c r="H21" t="s">
        <v>112</v>
      </c>
    </row>
    <row r="22" spans="1:17" x14ac:dyDescent="0.25">
      <c r="A22" t="s">
        <v>153</v>
      </c>
      <c r="B22">
        <v>1.2</v>
      </c>
      <c r="C22">
        <v>0</v>
      </c>
      <c r="D22" s="23">
        <v>0.01</v>
      </c>
      <c r="G22">
        <f>10.42/30.23</f>
        <v>0.34469070459808138</v>
      </c>
      <c r="H22" t="s">
        <v>119</v>
      </c>
      <c r="K22">
        <v>0</v>
      </c>
      <c r="L22" t="s">
        <v>120</v>
      </c>
      <c r="M22">
        <v>0</v>
      </c>
      <c r="N22" t="s">
        <v>23</v>
      </c>
    </row>
    <row r="23" spans="1:17" x14ac:dyDescent="0.25">
      <c r="A23" t="s">
        <v>156</v>
      </c>
      <c r="E23">
        <v>0.09</v>
      </c>
      <c r="G23">
        <f>11.49/30.23</f>
        <v>0.38008600727753888</v>
      </c>
      <c r="H23" t="s">
        <v>119</v>
      </c>
      <c r="I23">
        <v>0</v>
      </c>
      <c r="J23" t="s">
        <v>23</v>
      </c>
      <c r="K23">
        <f>(2.69+1.41)/31.2</f>
        <v>0.13141025641025642</v>
      </c>
      <c r="L23" t="s">
        <v>123</v>
      </c>
      <c r="M23">
        <v>0</v>
      </c>
      <c r="N23" t="s">
        <v>23</v>
      </c>
    </row>
    <row r="24" spans="1:17" s="66" customFormat="1" ht="15.75" thickBot="1" x14ac:dyDescent="0.3">
      <c r="A24" s="66" t="s">
        <v>167</v>
      </c>
      <c r="G24" s="66">
        <f>11.04/30.23</f>
        <v>0.36520013231888848</v>
      </c>
    </row>
    <row r="25" spans="1:17" s="1" customFormat="1" x14ac:dyDescent="0.25">
      <c r="A25" s="73" t="s">
        <v>201</v>
      </c>
      <c r="B25" s="1">
        <v>1088</v>
      </c>
      <c r="C25" s="1">
        <v>358</v>
      </c>
      <c r="D25" s="1">
        <v>2.5700000000000001E-2</v>
      </c>
      <c r="E25" s="1">
        <v>0.26800000000000002</v>
      </c>
      <c r="F25" s="1">
        <v>5.4399999999999997E-2</v>
      </c>
      <c r="G25" s="1">
        <v>0.35899999999999999</v>
      </c>
      <c r="H25" s="1" t="s">
        <v>112</v>
      </c>
      <c r="I25" s="1">
        <v>0</v>
      </c>
      <c r="J25" s="1" t="s">
        <v>23</v>
      </c>
      <c r="K25" s="1">
        <v>0.19</v>
      </c>
      <c r="L25" s="1" t="s">
        <v>115</v>
      </c>
      <c r="M25" s="1">
        <v>0</v>
      </c>
      <c r="N25" s="1" t="s">
        <v>23</v>
      </c>
    </row>
    <row r="26" spans="1:17" s="1" customFormat="1" x14ac:dyDescent="0.25">
      <c r="A26" s="73" t="s">
        <v>202</v>
      </c>
      <c r="B26" s="80">
        <v>1.2</v>
      </c>
      <c r="C26" s="1">
        <v>0</v>
      </c>
      <c r="D26" s="1">
        <v>0</v>
      </c>
      <c r="E26" s="1">
        <v>0.107</v>
      </c>
      <c r="F26" s="80">
        <v>5.4399999999999997E-2</v>
      </c>
      <c r="G26" s="1">
        <v>0.28199999999999997</v>
      </c>
      <c r="H26" s="1" t="s">
        <v>112</v>
      </c>
      <c r="I26" s="1">
        <v>0</v>
      </c>
      <c r="J26" s="1" t="s">
        <v>23</v>
      </c>
      <c r="K26" s="1">
        <v>0.16</v>
      </c>
      <c r="L26" s="1" t="s">
        <v>115</v>
      </c>
      <c r="M26" s="1">
        <v>0</v>
      </c>
      <c r="N26" s="1" t="s">
        <v>23</v>
      </c>
    </row>
    <row r="27" spans="1:17" s="1" customFormat="1" x14ac:dyDescent="0.25">
      <c r="A27" s="73" t="s">
        <v>203</v>
      </c>
      <c r="B27" s="80">
        <v>1.2</v>
      </c>
      <c r="C27" s="1">
        <v>0</v>
      </c>
      <c r="D27" s="1">
        <v>0</v>
      </c>
      <c r="E27" s="1">
        <v>0.107</v>
      </c>
      <c r="F27" s="80">
        <v>5.4399999999999997E-2</v>
      </c>
      <c r="G27" s="1">
        <v>0.25800000000000001</v>
      </c>
      <c r="H27" s="1" t="s">
        <v>112</v>
      </c>
      <c r="I27" s="1">
        <v>0</v>
      </c>
      <c r="J27" s="1" t="s">
        <v>23</v>
      </c>
      <c r="K27" s="1">
        <v>0.14399999999999999</v>
      </c>
      <c r="L27" s="1" t="s">
        <v>115</v>
      </c>
      <c r="M27" s="1">
        <v>0</v>
      </c>
      <c r="N27" s="1" t="s">
        <v>23</v>
      </c>
    </row>
    <row r="28" spans="1:17" x14ac:dyDescent="0.25">
      <c r="A28" s="55" t="s">
        <v>204</v>
      </c>
      <c r="B28">
        <f>B$25</f>
        <v>1088</v>
      </c>
      <c r="C28">
        <f t="shared" ref="C28:J30" si="4">C$25</f>
        <v>358</v>
      </c>
      <c r="D28">
        <f t="shared" si="4"/>
        <v>2.5700000000000001E-2</v>
      </c>
      <c r="E28">
        <f t="shared" si="4"/>
        <v>0.26800000000000002</v>
      </c>
      <c r="F28">
        <f t="shared" si="4"/>
        <v>5.4399999999999997E-2</v>
      </c>
      <c r="G28">
        <f t="shared" si="4"/>
        <v>0.35899999999999999</v>
      </c>
      <c r="H28" t="str">
        <f t="shared" si="4"/>
        <v>coke - IPCC</v>
      </c>
      <c r="I28" s="1">
        <v>0</v>
      </c>
      <c r="J28" s="1" t="s">
        <v>23</v>
      </c>
      <c r="K28">
        <f>K$25</f>
        <v>0.19</v>
      </c>
      <c r="L28" s="1" t="s">
        <v>115</v>
      </c>
      <c r="M28" s="106">
        <v>1</v>
      </c>
      <c r="N28" s="1" t="s">
        <v>23</v>
      </c>
    </row>
    <row r="29" spans="1:17" x14ac:dyDescent="0.25">
      <c r="A29" s="55" t="s">
        <v>205</v>
      </c>
    </row>
    <row r="30" spans="1:17" x14ac:dyDescent="0.25">
      <c r="A30" s="55" t="s">
        <v>206</v>
      </c>
      <c r="B30">
        <f>B$25</f>
        <v>1088</v>
      </c>
      <c r="C30">
        <f t="shared" si="4"/>
        <v>358</v>
      </c>
      <c r="D30">
        <f t="shared" si="4"/>
        <v>2.5700000000000001E-2</v>
      </c>
      <c r="E30">
        <f t="shared" si="4"/>
        <v>0.26800000000000002</v>
      </c>
      <c r="F30">
        <f t="shared" si="4"/>
        <v>5.4399999999999997E-2</v>
      </c>
      <c r="G30">
        <f t="shared" si="4"/>
        <v>0.35899999999999999</v>
      </c>
      <c r="H30" t="str">
        <f t="shared" si="4"/>
        <v>coke - IPCC</v>
      </c>
      <c r="I30" s="1">
        <v>0</v>
      </c>
      <c r="J30" s="1" t="s">
        <v>23</v>
      </c>
      <c r="K30">
        <f>K$25</f>
        <v>0.19</v>
      </c>
      <c r="L30" s="1" t="s">
        <v>115</v>
      </c>
      <c r="M30" s="106">
        <v>1</v>
      </c>
      <c r="N30" s="1" t="s">
        <v>23</v>
      </c>
    </row>
    <row r="31" spans="1:17" x14ac:dyDescent="0.25">
      <c r="A31" s="55" t="s">
        <v>207</v>
      </c>
    </row>
    <row r="32" spans="1:17" x14ac:dyDescent="0.25">
      <c r="A32" s="55" t="s">
        <v>208</v>
      </c>
    </row>
    <row r="33" spans="1:14" x14ac:dyDescent="0.25">
      <c r="A33" s="55" t="s">
        <v>209</v>
      </c>
      <c r="B33">
        <f>B$25</f>
        <v>1088</v>
      </c>
      <c r="C33">
        <f t="shared" ref="C33:J34" si="5">C$25</f>
        <v>358</v>
      </c>
      <c r="D33">
        <f t="shared" si="5"/>
        <v>2.5700000000000001E-2</v>
      </c>
      <c r="E33">
        <f t="shared" si="5"/>
        <v>0.26800000000000002</v>
      </c>
      <c r="F33">
        <f t="shared" si="5"/>
        <v>5.4399999999999997E-2</v>
      </c>
      <c r="G33">
        <f t="shared" si="5"/>
        <v>0.35899999999999999</v>
      </c>
      <c r="H33" t="str">
        <f t="shared" si="5"/>
        <v>coke - IPCC</v>
      </c>
      <c r="I33" s="1">
        <v>0</v>
      </c>
      <c r="J33" s="1" t="s">
        <v>23</v>
      </c>
      <c r="K33">
        <f>K$25</f>
        <v>0.19</v>
      </c>
      <c r="L33" s="1" t="s">
        <v>115</v>
      </c>
      <c r="M33" s="106">
        <v>1</v>
      </c>
      <c r="N33" s="1" t="s">
        <v>23</v>
      </c>
    </row>
    <row r="34" spans="1:14" x14ac:dyDescent="0.25">
      <c r="A34" s="55" t="s">
        <v>210</v>
      </c>
      <c r="B34">
        <f>B$25</f>
        <v>1088</v>
      </c>
      <c r="C34">
        <f t="shared" si="5"/>
        <v>358</v>
      </c>
      <c r="D34">
        <f t="shared" si="5"/>
        <v>2.5700000000000001E-2</v>
      </c>
      <c r="E34">
        <f t="shared" si="5"/>
        <v>0.26800000000000002</v>
      </c>
      <c r="F34">
        <f t="shared" si="5"/>
        <v>5.4399999999999997E-2</v>
      </c>
      <c r="G34">
        <f t="shared" si="5"/>
        <v>0.35899999999999999</v>
      </c>
      <c r="H34" t="str">
        <f t="shared" si="5"/>
        <v>coke - IPCC</v>
      </c>
      <c r="I34" s="1">
        <v>0</v>
      </c>
      <c r="J34" s="1" t="s">
        <v>23</v>
      </c>
      <c r="K34">
        <f>K$25</f>
        <v>0.19</v>
      </c>
      <c r="L34" s="1" t="s">
        <v>115</v>
      </c>
      <c r="M34" s="106">
        <v>0.5</v>
      </c>
      <c r="N34" s="1" t="s">
        <v>184</v>
      </c>
    </row>
    <row r="35" spans="1:14" x14ac:dyDescent="0.25">
      <c r="A35" s="55" t="s">
        <v>174</v>
      </c>
    </row>
    <row r="36" spans="1:14" x14ac:dyDescent="0.25">
      <c r="A36" s="55" t="s">
        <v>175</v>
      </c>
    </row>
    <row r="37" spans="1:14" x14ac:dyDescent="0.25">
      <c r="A37" s="55" t="s">
        <v>176</v>
      </c>
    </row>
    <row r="38" spans="1:14" x14ac:dyDescent="0.25">
      <c r="A38" s="55" t="s">
        <v>177</v>
      </c>
    </row>
    <row r="39" spans="1:14" s="66" customFormat="1" ht="15.75" thickBot="1" x14ac:dyDescent="0.3">
      <c r="A39" s="67" t="s">
        <v>178</v>
      </c>
    </row>
    <row r="40" spans="1:14" s="1" customFormat="1" x14ac:dyDescent="0.25">
      <c r="A40" s="73" t="s">
        <v>211</v>
      </c>
    </row>
    <row r="41" spans="1:14" s="1" customFormat="1" x14ac:dyDescent="0.25">
      <c r="A41" s="73" t="s">
        <v>212</v>
      </c>
    </row>
    <row r="42" spans="1:14" s="1" customFormat="1" x14ac:dyDescent="0.25">
      <c r="A42" s="73" t="s">
        <v>213</v>
      </c>
    </row>
    <row r="43" spans="1:14" x14ac:dyDescent="0.25">
      <c r="A43" s="55" t="s">
        <v>214</v>
      </c>
    </row>
    <row r="44" spans="1:14" x14ac:dyDescent="0.25">
      <c r="A44" s="55" t="s">
        <v>215</v>
      </c>
    </row>
    <row r="45" spans="1:14" x14ac:dyDescent="0.25">
      <c r="A45" s="55" t="s">
        <v>216</v>
      </c>
    </row>
    <row r="46" spans="1:14" x14ac:dyDescent="0.25">
      <c r="A46" s="55" t="s">
        <v>217</v>
      </c>
    </row>
    <row r="47" spans="1:14" x14ac:dyDescent="0.25">
      <c r="A47" s="55" t="s">
        <v>218</v>
      </c>
    </row>
    <row r="48" spans="1:14" x14ac:dyDescent="0.25">
      <c r="A48" s="55" t="s">
        <v>219</v>
      </c>
    </row>
    <row r="49" spans="1:1" x14ac:dyDescent="0.25">
      <c r="A49" s="55" t="s">
        <v>220</v>
      </c>
    </row>
    <row r="50" spans="1:1" x14ac:dyDescent="0.25">
      <c r="A50" s="55" t="s">
        <v>179</v>
      </c>
    </row>
    <row r="51" spans="1:1" x14ac:dyDescent="0.25">
      <c r="A51" s="55" t="s">
        <v>180</v>
      </c>
    </row>
    <row r="52" spans="1:1" x14ac:dyDescent="0.25">
      <c r="A52" s="55" t="s">
        <v>181</v>
      </c>
    </row>
    <row r="53" spans="1:1" x14ac:dyDescent="0.25">
      <c r="A53" s="55" t="s">
        <v>182</v>
      </c>
    </row>
    <row r="54" spans="1:1" s="66" customFormat="1" ht="15.75" thickBot="1" x14ac:dyDescent="0.3">
      <c r="A54" s="67" t="s">
        <v>183</v>
      </c>
    </row>
    <row r="55" spans="1:1" s="1" customFormat="1" x14ac:dyDescent="0.25">
      <c r="A55" s="73" t="s">
        <v>221</v>
      </c>
    </row>
    <row r="56" spans="1:1" x14ac:dyDescent="0.25">
      <c r="A56" s="55" t="s">
        <v>222</v>
      </c>
    </row>
    <row r="57" spans="1:1" x14ac:dyDescent="0.25">
      <c r="A57" s="55" t="s">
        <v>223</v>
      </c>
    </row>
    <row r="58" spans="1:1" x14ac:dyDescent="0.25">
      <c r="A58" s="55" t="s">
        <v>224</v>
      </c>
    </row>
    <row r="59" spans="1:1" s="66" customFormat="1" ht="15.75" thickBot="1" x14ac:dyDescent="0.3">
      <c r="A59" s="67" t="s">
        <v>225</v>
      </c>
    </row>
    <row r="60" spans="1:1" s="1" customFormat="1" x14ac:dyDescent="0.25">
      <c r="A60" s="73" t="s">
        <v>226</v>
      </c>
    </row>
    <row r="61" spans="1:1" x14ac:dyDescent="0.25">
      <c r="A61" s="55" t="s">
        <v>227</v>
      </c>
    </row>
    <row r="62" spans="1:1" x14ac:dyDescent="0.25">
      <c r="A62" s="55" t="s">
        <v>228</v>
      </c>
    </row>
    <row r="63" spans="1:1" x14ac:dyDescent="0.25">
      <c r="A63" s="55" t="s">
        <v>229</v>
      </c>
    </row>
    <row r="64" spans="1:1" s="66" customFormat="1" ht="15.75" thickBot="1" x14ac:dyDescent="0.3">
      <c r="A64" s="67" t="s">
        <v>230</v>
      </c>
    </row>
    <row r="65" spans="1:1" s="1" customFormat="1" x14ac:dyDescent="0.25">
      <c r="A65" s="73" t="s">
        <v>231</v>
      </c>
    </row>
    <row r="66" spans="1:1" x14ac:dyDescent="0.25">
      <c r="A66" s="55" t="s">
        <v>232</v>
      </c>
    </row>
    <row r="67" spans="1:1" x14ac:dyDescent="0.25">
      <c r="A67" s="55" t="s">
        <v>233</v>
      </c>
    </row>
    <row r="68" spans="1:1" x14ac:dyDescent="0.25">
      <c r="A68" s="55" t="s">
        <v>234</v>
      </c>
    </row>
    <row r="69" spans="1:1" s="66" customFormat="1" ht="15.75" thickBot="1" x14ac:dyDescent="0.3">
      <c r="A69" s="67" t="s">
        <v>235</v>
      </c>
    </row>
    <row r="70" spans="1:1" s="1" customFormat="1" x14ac:dyDescent="0.25">
      <c r="A70" s="73" t="s">
        <v>236</v>
      </c>
    </row>
    <row r="71" spans="1:1" x14ac:dyDescent="0.25">
      <c r="A71" s="55" t="s">
        <v>237</v>
      </c>
    </row>
    <row r="72" spans="1:1" x14ac:dyDescent="0.25">
      <c r="A72" s="55" t="s">
        <v>238</v>
      </c>
    </row>
    <row r="73" spans="1:1" x14ac:dyDescent="0.25">
      <c r="A73" s="55" t="s">
        <v>239</v>
      </c>
    </row>
    <row r="74" spans="1:1" s="66" customFormat="1" ht="15.75" thickBot="1" x14ac:dyDescent="0.3">
      <c r="A74" s="67" t="s">
        <v>240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topLeftCell="A5" workbookViewId="0">
      <selection activeCell="A23" sqref="A23:XFD73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0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108</v>
      </c>
      <c r="B7">
        <f>0.9058</f>
        <v>0.90580000000000005</v>
      </c>
      <c r="C7">
        <f>0.1169+0.0731</f>
        <v>0.19</v>
      </c>
      <c r="D7">
        <v>0</v>
      </c>
      <c r="E7" t="s">
        <v>112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5">
      <c r="A8" t="s">
        <v>109</v>
      </c>
      <c r="B8">
        <v>0.95</v>
      </c>
      <c r="C8">
        <v>0.155</v>
      </c>
      <c r="D8">
        <v>0.01</v>
      </c>
      <c r="E8" t="s">
        <v>116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110</v>
      </c>
      <c r="B9" s="23">
        <v>0.95</v>
      </c>
      <c r="C9" s="23">
        <v>0.155</v>
      </c>
      <c r="D9">
        <v>0</v>
      </c>
      <c r="E9" t="s">
        <v>112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111</v>
      </c>
      <c r="B10" s="27">
        <f>53.4/62.7</f>
        <v>0.85167464114832525</v>
      </c>
      <c r="C10" s="27">
        <f>17/62.7</f>
        <v>0.27113237639553428</v>
      </c>
      <c r="D10" s="21">
        <f>0.43/47.1</f>
        <v>9.1295116772823776E-3</v>
      </c>
      <c r="E10" t="s">
        <v>120</v>
      </c>
      <c r="F10">
        <v>0</v>
      </c>
      <c r="G10" t="s">
        <v>23</v>
      </c>
      <c r="H10" s="23">
        <v>0.04</v>
      </c>
      <c r="I10">
        <v>0.13</v>
      </c>
      <c r="J10" s="23">
        <v>7.0000000000000007E-2</v>
      </c>
    </row>
    <row r="11" spans="1:10" x14ac:dyDescent="0.25">
      <c r="A11" t="s">
        <v>127</v>
      </c>
      <c r="B11" s="23">
        <v>0.95</v>
      </c>
      <c r="C11" s="23">
        <v>0.15</v>
      </c>
      <c r="D11" s="23">
        <v>0</v>
      </c>
      <c r="E11" s="23" t="s">
        <v>112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5">
      <c r="A12" t="s">
        <v>131</v>
      </c>
      <c r="B12">
        <f t="shared" ref="B12:J16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5">
      <c r="A13" t="s">
        <v>132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5">
      <c r="A14" t="s">
        <v>133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5">
      <c r="A15" t="s">
        <v>134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0" x14ac:dyDescent="0.25">
      <c r="A16" t="s">
        <v>136</v>
      </c>
      <c r="B16">
        <v>0.90580000000000005</v>
      </c>
      <c r="C16">
        <f>0.1169+0.0731</f>
        <v>0.19</v>
      </c>
      <c r="D16">
        <v>0</v>
      </c>
      <c r="E16" t="s">
        <v>137</v>
      </c>
      <c r="F16">
        <v>0</v>
      </c>
      <c r="G16" t="s">
        <v>23</v>
      </c>
      <c r="H16">
        <f>0.0757*0.913606</f>
        <v>6.9159974200000002E-2</v>
      </c>
      <c r="I16">
        <f t="shared" si="0"/>
        <v>7.1999999999999995E-2</v>
      </c>
      <c r="J16">
        <f t="shared" si="0"/>
        <v>7.4236999999999997E-2</v>
      </c>
    </row>
    <row r="17" spans="1:10" x14ac:dyDescent="0.25">
      <c r="A17" t="s">
        <v>151</v>
      </c>
      <c r="B17">
        <f>0.9058</f>
        <v>0.90580000000000005</v>
      </c>
      <c r="C17">
        <f>0.1169+0.0731</f>
        <v>0.19</v>
      </c>
      <c r="D17">
        <v>0</v>
      </c>
      <c r="E17" t="s">
        <v>112</v>
      </c>
      <c r="F17">
        <v>0</v>
      </c>
      <c r="G17" t="s">
        <v>23</v>
      </c>
      <c r="H17" s="21">
        <f>0.9136*(0.0755+0.0118)</f>
        <v>7.975728E-2</v>
      </c>
      <c r="I17">
        <v>7.1999999999999995E-2</v>
      </c>
      <c r="J17">
        <v>7.4236999999999997E-2</v>
      </c>
    </row>
    <row r="18" spans="1:10" x14ac:dyDescent="0.25">
      <c r="A18" t="s">
        <v>158</v>
      </c>
      <c r="B18">
        <f>0.9058</f>
        <v>0.90580000000000005</v>
      </c>
      <c r="C18">
        <f>0.1169+0.0731</f>
        <v>0.19</v>
      </c>
      <c r="D18">
        <v>0</v>
      </c>
      <c r="E18" t="s">
        <v>112</v>
      </c>
      <c r="F18">
        <v>0</v>
      </c>
      <c r="G18" t="s">
        <v>23</v>
      </c>
      <c r="H18" s="21">
        <f>0.9136*(0.0755+0.0118)</f>
        <v>7.975728E-2</v>
      </c>
      <c r="I18">
        <v>7.1999999999999995E-2</v>
      </c>
      <c r="J18">
        <v>7.4236999999999997E-2</v>
      </c>
    </row>
    <row r="19" spans="1:10" x14ac:dyDescent="0.25">
      <c r="A19" t="s">
        <v>152</v>
      </c>
    </row>
    <row r="20" spans="1:10" x14ac:dyDescent="0.25">
      <c r="A20" t="s">
        <v>143</v>
      </c>
      <c r="B20">
        <f>0.788</f>
        <v>0.78800000000000003</v>
      </c>
      <c r="C20">
        <v>0.34</v>
      </c>
      <c r="D20">
        <v>1E-3</v>
      </c>
      <c r="E20" t="s">
        <v>120</v>
      </c>
      <c r="H20">
        <v>0.03</v>
      </c>
      <c r="I20">
        <v>3.5000000000000003E-2</v>
      </c>
      <c r="J20">
        <f>49.5*Ref!C12</f>
        <v>7.0667466761845266E-2</v>
      </c>
    </row>
    <row r="21" spans="1:10" x14ac:dyDescent="0.25">
      <c r="A21" t="s">
        <v>153</v>
      </c>
      <c r="D21">
        <v>0</v>
      </c>
      <c r="E21" t="s">
        <v>120</v>
      </c>
    </row>
    <row r="22" spans="1:10" x14ac:dyDescent="0.25">
      <c r="A22" t="s">
        <v>156</v>
      </c>
      <c r="D22" s="21">
        <f>0.4/47.1</f>
        <v>8.4925690021231421E-3</v>
      </c>
      <c r="E22" t="s">
        <v>120</v>
      </c>
      <c r="I22">
        <v>0.09</v>
      </c>
    </row>
    <row r="23" spans="1:10" s="1" customFormat="1" x14ac:dyDescent="0.25">
      <c r="A23" s="73" t="s">
        <v>201</v>
      </c>
    </row>
    <row r="24" spans="1:10" s="1" customFormat="1" x14ac:dyDescent="0.25">
      <c r="A24" s="73" t="s">
        <v>202</v>
      </c>
    </row>
    <row r="25" spans="1:10" s="1" customFormat="1" x14ac:dyDescent="0.25">
      <c r="A25" s="73" t="s">
        <v>203</v>
      </c>
    </row>
    <row r="26" spans="1:10" x14ac:dyDescent="0.25">
      <c r="A26" s="55" t="s">
        <v>204</v>
      </c>
    </row>
    <row r="27" spans="1:10" x14ac:dyDescent="0.25">
      <c r="A27" s="55" t="s">
        <v>205</v>
      </c>
    </row>
    <row r="28" spans="1:10" x14ac:dyDescent="0.25">
      <c r="A28" s="55" t="s">
        <v>206</v>
      </c>
    </row>
    <row r="29" spans="1:10" x14ac:dyDescent="0.25">
      <c r="A29" s="55" t="s">
        <v>207</v>
      </c>
    </row>
    <row r="30" spans="1:10" x14ac:dyDescent="0.25">
      <c r="A30" s="55" t="s">
        <v>208</v>
      </c>
    </row>
    <row r="31" spans="1:10" x14ac:dyDescent="0.25">
      <c r="A31" s="55" t="s">
        <v>209</v>
      </c>
    </row>
    <row r="32" spans="1:10" x14ac:dyDescent="0.25">
      <c r="A32" s="55" t="s">
        <v>210</v>
      </c>
    </row>
    <row r="33" spans="1:1" x14ac:dyDescent="0.25">
      <c r="A33" s="55" t="s">
        <v>174</v>
      </c>
    </row>
    <row r="34" spans="1:1" x14ac:dyDescent="0.25">
      <c r="A34" s="55" t="s">
        <v>175</v>
      </c>
    </row>
    <row r="35" spans="1:1" x14ac:dyDescent="0.25">
      <c r="A35" s="55" t="s">
        <v>176</v>
      </c>
    </row>
    <row r="36" spans="1:1" x14ac:dyDescent="0.25">
      <c r="A36" s="55" t="s">
        <v>177</v>
      </c>
    </row>
    <row r="37" spans="1:1" s="66" customFormat="1" ht="15.75" thickBot="1" x14ac:dyDescent="0.3">
      <c r="A37" s="67" t="s">
        <v>178</v>
      </c>
    </row>
    <row r="38" spans="1:1" s="1" customFormat="1" x14ac:dyDescent="0.25">
      <c r="A38" s="73" t="s">
        <v>211</v>
      </c>
    </row>
    <row r="39" spans="1:1" s="1" customFormat="1" x14ac:dyDescent="0.25">
      <c r="A39" s="73" t="s">
        <v>212</v>
      </c>
    </row>
    <row r="40" spans="1:1" s="1" customFormat="1" x14ac:dyDescent="0.25">
      <c r="A40" s="73" t="s">
        <v>213</v>
      </c>
    </row>
    <row r="41" spans="1:1" x14ac:dyDescent="0.25">
      <c r="A41" s="55" t="s">
        <v>214</v>
      </c>
    </row>
    <row r="42" spans="1:1" x14ac:dyDescent="0.25">
      <c r="A42" s="55" t="s">
        <v>215</v>
      </c>
    </row>
    <row r="43" spans="1:1" x14ac:dyDescent="0.25">
      <c r="A43" s="55" t="s">
        <v>216</v>
      </c>
    </row>
    <row r="44" spans="1:1" x14ac:dyDescent="0.25">
      <c r="A44" s="55" t="s">
        <v>217</v>
      </c>
    </row>
    <row r="45" spans="1:1" x14ac:dyDescent="0.25">
      <c r="A45" s="55" t="s">
        <v>218</v>
      </c>
    </row>
    <row r="46" spans="1:1" x14ac:dyDescent="0.25">
      <c r="A46" s="55" t="s">
        <v>219</v>
      </c>
    </row>
    <row r="47" spans="1:1" x14ac:dyDescent="0.25">
      <c r="A47" s="55" t="s">
        <v>220</v>
      </c>
    </row>
    <row r="48" spans="1:1" x14ac:dyDescent="0.25">
      <c r="A48" s="55" t="s">
        <v>179</v>
      </c>
    </row>
    <row r="49" spans="1:1" x14ac:dyDescent="0.25">
      <c r="A49" s="55" t="s">
        <v>180</v>
      </c>
    </row>
    <row r="50" spans="1:1" x14ac:dyDescent="0.25">
      <c r="A50" s="55" t="s">
        <v>181</v>
      </c>
    </row>
    <row r="51" spans="1:1" x14ac:dyDescent="0.25">
      <c r="A51" s="55" t="s">
        <v>182</v>
      </c>
    </row>
    <row r="52" spans="1:1" s="66" customFormat="1" ht="15.75" thickBot="1" x14ac:dyDescent="0.3">
      <c r="A52" s="67" t="s">
        <v>183</v>
      </c>
    </row>
    <row r="53" spans="1:1" s="1" customFormat="1" x14ac:dyDescent="0.25">
      <c r="A53" s="73" t="s">
        <v>221</v>
      </c>
    </row>
    <row r="54" spans="1:1" x14ac:dyDescent="0.25">
      <c r="A54" s="55" t="s">
        <v>222</v>
      </c>
    </row>
    <row r="55" spans="1:1" x14ac:dyDescent="0.25">
      <c r="A55" s="55" t="s">
        <v>223</v>
      </c>
    </row>
    <row r="56" spans="1:1" x14ac:dyDescent="0.25">
      <c r="A56" s="55" t="s">
        <v>224</v>
      </c>
    </row>
    <row r="57" spans="1:1" s="66" customFormat="1" ht="15.75" thickBot="1" x14ac:dyDescent="0.3">
      <c r="A57" s="67" t="s">
        <v>225</v>
      </c>
    </row>
    <row r="58" spans="1:1" s="1" customFormat="1" x14ac:dyDescent="0.25">
      <c r="A58" s="73" t="s">
        <v>226</v>
      </c>
    </row>
    <row r="59" spans="1:1" x14ac:dyDescent="0.25">
      <c r="A59" s="55" t="s">
        <v>227</v>
      </c>
    </row>
    <row r="60" spans="1:1" x14ac:dyDescent="0.25">
      <c r="A60" s="55" t="s">
        <v>228</v>
      </c>
    </row>
    <row r="61" spans="1:1" x14ac:dyDescent="0.25">
      <c r="A61" s="55" t="s">
        <v>229</v>
      </c>
    </row>
    <row r="62" spans="1:1" s="66" customFormat="1" ht="15.75" thickBot="1" x14ac:dyDescent="0.3">
      <c r="A62" s="67" t="s">
        <v>230</v>
      </c>
    </row>
    <row r="63" spans="1:1" s="1" customFormat="1" x14ac:dyDescent="0.25">
      <c r="A63" s="73" t="s">
        <v>231</v>
      </c>
    </row>
    <row r="64" spans="1:1" x14ac:dyDescent="0.25">
      <c r="A64" s="55" t="s">
        <v>232</v>
      </c>
    </row>
    <row r="65" spans="1:1" x14ac:dyDescent="0.25">
      <c r="A65" s="55" t="s">
        <v>233</v>
      </c>
    </row>
    <row r="66" spans="1:1" x14ac:dyDescent="0.25">
      <c r="A66" s="55" t="s">
        <v>234</v>
      </c>
    </row>
    <row r="67" spans="1:1" s="66" customFormat="1" ht="15.75" thickBot="1" x14ac:dyDescent="0.3">
      <c r="A67" s="67" t="s">
        <v>235</v>
      </c>
    </row>
    <row r="68" spans="1:1" s="1" customFormat="1" x14ac:dyDescent="0.25">
      <c r="A68" s="73" t="s">
        <v>236</v>
      </c>
    </row>
    <row r="69" spans="1:1" x14ac:dyDescent="0.25">
      <c r="A69" s="55" t="s">
        <v>237</v>
      </c>
    </row>
    <row r="70" spans="1:1" x14ac:dyDescent="0.25">
      <c r="A70" s="55" t="s">
        <v>238</v>
      </c>
    </row>
    <row r="71" spans="1:1" x14ac:dyDescent="0.25">
      <c r="A71" s="55" t="s">
        <v>239</v>
      </c>
    </row>
    <row r="72" spans="1:1" s="66" customFormat="1" ht="15.75" thickBot="1" x14ac:dyDescent="0.3">
      <c r="A72" s="67" t="s">
        <v>240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"/>
  <sheetViews>
    <sheetView topLeftCell="A8" workbookViewId="0">
      <selection activeCell="A26" sqref="A26:XFD76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76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3" x14ac:dyDescent="0.25">
      <c r="A7" t="s">
        <v>108</v>
      </c>
      <c r="B7" s="5">
        <v>0.87</v>
      </c>
      <c r="C7" s="5">
        <v>1.3869199999999999</v>
      </c>
    </row>
    <row r="8" spans="1:3" x14ac:dyDescent="0.25">
      <c r="A8" t="s">
        <v>109</v>
      </c>
      <c r="B8" s="25">
        <f>B7</f>
        <v>0.87</v>
      </c>
      <c r="C8" s="25">
        <f>C7</f>
        <v>1.3869199999999999</v>
      </c>
    </row>
    <row r="9" spans="1:3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111</v>
      </c>
      <c r="B10" s="25">
        <f>B9</f>
        <v>0.87</v>
      </c>
      <c r="C10" s="25">
        <v>1.3869199999999999</v>
      </c>
    </row>
    <row r="11" spans="1:3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3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3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3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3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3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3" x14ac:dyDescent="0.25">
      <c r="A17" t="s">
        <v>151</v>
      </c>
      <c r="B17" s="5">
        <v>0.87</v>
      </c>
      <c r="C17" s="5">
        <v>1.3869199999999999</v>
      </c>
    </row>
    <row r="18" spans="1:3" x14ac:dyDescent="0.25">
      <c r="A18" t="s">
        <v>158</v>
      </c>
      <c r="B18" s="5">
        <v>0.87</v>
      </c>
      <c r="C18" s="5">
        <v>1.3869199999999999</v>
      </c>
    </row>
    <row r="19" spans="1:3" x14ac:dyDescent="0.25">
      <c r="A19" t="s">
        <v>152</v>
      </c>
    </row>
    <row r="20" spans="1:3" x14ac:dyDescent="0.25">
      <c r="A20" t="s">
        <v>143</v>
      </c>
    </row>
    <row r="21" spans="1:3" x14ac:dyDescent="0.25">
      <c r="A21" t="s">
        <v>153</v>
      </c>
    </row>
    <row r="22" spans="1:3" x14ac:dyDescent="0.25">
      <c r="A22" t="s">
        <v>156</v>
      </c>
    </row>
    <row r="23" spans="1:3" x14ac:dyDescent="0.25">
      <c r="A23" t="s">
        <v>169</v>
      </c>
      <c r="B23" s="5">
        <v>0.87</v>
      </c>
      <c r="C23" s="5">
        <v>1.3869199999999999</v>
      </c>
    </row>
    <row r="24" spans="1:3" x14ac:dyDescent="0.25">
      <c r="A24" t="s">
        <v>170</v>
      </c>
      <c r="B24" s="5">
        <v>0.87</v>
      </c>
      <c r="C24" s="5">
        <v>1.3869199999999999</v>
      </c>
    </row>
    <row r="25" spans="1:3" x14ac:dyDescent="0.25">
      <c r="A25" t="s">
        <v>166</v>
      </c>
      <c r="B25" s="5">
        <v>0.87</v>
      </c>
      <c r="C25" s="5">
        <v>1.3869199999999999</v>
      </c>
    </row>
    <row r="26" spans="1:3" s="1" customFormat="1" x14ac:dyDescent="0.25">
      <c r="A26" s="73" t="s">
        <v>201</v>
      </c>
    </row>
    <row r="27" spans="1:3" s="1" customFormat="1" x14ac:dyDescent="0.25">
      <c r="A27" s="73" t="s">
        <v>202</v>
      </c>
    </row>
    <row r="28" spans="1:3" s="1" customFormat="1" x14ac:dyDescent="0.25">
      <c r="A28" s="73" t="s">
        <v>203</v>
      </c>
    </row>
    <row r="29" spans="1:3" customFormat="1" x14ac:dyDescent="0.25">
      <c r="A29" s="55" t="s">
        <v>204</v>
      </c>
    </row>
    <row r="30" spans="1:3" customFormat="1" x14ac:dyDescent="0.25">
      <c r="A30" s="55" t="s">
        <v>205</v>
      </c>
    </row>
    <row r="31" spans="1:3" customFormat="1" x14ac:dyDescent="0.25">
      <c r="A31" s="55" t="s">
        <v>206</v>
      </c>
    </row>
    <row r="32" spans="1:3" customFormat="1" x14ac:dyDescent="0.25">
      <c r="A32" s="55" t="s">
        <v>207</v>
      </c>
    </row>
    <row r="33" spans="1:1" customFormat="1" x14ac:dyDescent="0.25">
      <c r="A33" s="55" t="s">
        <v>208</v>
      </c>
    </row>
    <row r="34" spans="1:1" customFormat="1" x14ac:dyDescent="0.25">
      <c r="A34" s="55" t="s">
        <v>209</v>
      </c>
    </row>
    <row r="35" spans="1:1" customFormat="1" x14ac:dyDescent="0.25">
      <c r="A35" s="55" t="s">
        <v>210</v>
      </c>
    </row>
    <row r="36" spans="1:1" customFormat="1" x14ac:dyDescent="0.25">
      <c r="A36" s="55" t="s">
        <v>174</v>
      </c>
    </row>
    <row r="37" spans="1:1" customFormat="1" x14ac:dyDescent="0.25">
      <c r="A37" s="55" t="s">
        <v>175</v>
      </c>
    </row>
    <row r="38" spans="1:1" customFormat="1" x14ac:dyDescent="0.25">
      <c r="A38" s="55" t="s">
        <v>176</v>
      </c>
    </row>
    <row r="39" spans="1:1" customFormat="1" x14ac:dyDescent="0.25">
      <c r="A39" s="55" t="s">
        <v>177</v>
      </c>
    </row>
    <row r="40" spans="1:1" s="66" customFormat="1" ht="15.75" thickBot="1" x14ac:dyDescent="0.3">
      <c r="A40" s="67" t="s">
        <v>178</v>
      </c>
    </row>
    <row r="41" spans="1:1" s="1" customFormat="1" x14ac:dyDescent="0.25">
      <c r="A41" s="73" t="s">
        <v>211</v>
      </c>
    </row>
    <row r="42" spans="1:1" s="1" customFormat="1" x14ac:dyDescent="0.25">
      <c r="A42" s="73" t="s">
        <v>212</v>
      </c>
    </row>
    <row r="43" spans="1:1" s="1" customFormat="1" x14ac:dyDescent="0.25">
      <c r="A43" s="73" t="s">
        <v>213</v>
      </c>
    </row>
    <row r="44" spans="1:1" customFormat="1" x14ac:dyDescent="0.25">
      <c r="A44" s="55" t="s">
        <v>214</v>
      </c>
    </row>
    <row r="45" spans="1:1" customFormat="1" x14ac:dyDescent="0.25">
      <c r="A45" s="55" t="s">
        <v>215</v>
      </c>
    </row>
    <row r="46" spans="1:1" customFormat="1" x14ac:dyDescent="0.25">
      <c r="A46" s="55" t="s">
        <v>216</v>
      </c>
    </row>
    <row r="47" spans="1:1" customFormat="1" x14ac:dyDescent="0.25">
      <c r="A47" s="55" t="s">
        <v>217</v>
      </c>
    </row>
    <row r="48" spans="1:1" customFormat="1" x14ac:dyDescent="0.25">
      <c r="A48" s="55" t="s">
        <v>218</v>
      </c>
    </row>
    <row r="49" spans="1:1" customFormat="1" x14ac:dyDescent="0.25">
      <c r="A49" s="55" t="s">
        <v>219</v>
      </c>
    </row>
    <row r="50" spans="1:1" customFormat="1" x14ac:dyDescent="0.25">
      <c r="A50" s="55" t="s">
        <v>220</v>
      </c>
    </row>
    <row r="51" spans="1:1" customFormat="1" x14ac:dyDescent="0.25">
      <c r="A51" s="55" t="s">
        <v>179</v>
      </c>
    </row>
    <row r="52" spans="1:1" customFormat="1" x14ac:dyDescent="0.25">
      <c r="A52" s="55" t="s">
        <v>180</v>
      </c>
    </row>
    <row r="53" spans="1:1" customFormat="1" x14ac:dyDescent="0.25">
      <c r="A53" s="55" t="s">
        <v>181</v>
      </c>
    </row>
    <row r="54" spans="1:1" customFormat="1" x14ac:dyDescent="0.25">
      <c r="A54" s="55" t="s">
        <v>182</v>
      </c>
    </row>
    <row r="55" spans="1:1" s="66" customFormat="1" ht="15.75" thickBot="1" x14ac:dyDescent="0.3">
      <c r="A55" s="67" t="s">
        <v>183</v>
      </c>
    </row>
    <row r="56" spans="1:1" s="1" customFormat="1" x14ac:dyDescent="0.25">
      <c r="A56" s="73" t="s">
        <v>221</v>
      </c>
    </row>
    <row r="57" spans="1:1" customFormat="1" x14ac:dyDescent="0.25">
      <c r="A57" s="55" t="s">
        <v>222</v>
      </c>
    </row>
    <row r="58" spans="1:1" customFormat="1" x14ac:dyDescent="0.25">
      <c r="A58" s="55" t="s">
        <v>223</v>
      </c>
    </row>
    <row r="59" spans="1:1" customFormat="1" x14ac:dyDescent="0.25">
      <c r="A59" s="55" t="s">
        <v>224</v>
      </c>
    </row>
    <row r="60" spans="1:1" s="66" customFormat="1" ht="15.75" thickBot="1" x14ac:dyDescent="0.3">
      <c r="A60" s="67" t="s">
        <v>225</v>
      </c>
    </row>
    <row r="61" spans="1:1" s="1" customFormat="1" x14ac:dyDescent="0.25">
      <c r="A61" s="73" t="s">
        <v>226</v>
      </c>
    </row>
    <row r="62" spans="1:1" customFormat="1" x14ac:dyDescent="0.25">
      <c r="A62" s="55" t="s">
        <v>227</v>
      </c>
    </row>
    <row r="63" spans="1:1" customFormat="1" x14ac:dyDescent="0.25">
      <c r="A63" s="55" t="s">
        <v>228</v>
      </c>
    </row>
    <row r="64" spans="1:1" customFormat="1" x14ac:dyDescent="0.25">
      <c r="A64" s="55" t="s">
        <v>229</v>
      </c>
    </row>
    <row r="65" spans="1:1" s="66" customFormat="1" ht="15.75" thickBot="1" x14ac:dyDescent="0.3">
      <c r="A65" s="67" t="s">
        <v>230</v>
      </c>
    </row>
    <row r="66" spans="1:1" s="1" customFormat="1" x14ac:dyDescent="0.25">
      <c r="A66" s="73" t="s">
        <v>231</v>
      </c>
    </row>
    <row r="67" spans="1:1" customFormat="1" x14ac:dyDescent="0.25">
      <c r="A67" s="55" t="s">
        <v>232</v>
      </c>
    </row>
    <row r="68" spans="1:1" customFormat="1" x14ac:dyDescent="0.25">
      <c r="A68" s="55" t="s">
        <v>233</v>
      </c>
    </row>
    <row r="69" spans="1:1" customFormat="1" x14ac:dyDescent="0.25">
      <c r="A69" s="55" t="s">
        <v>234</v>
      </c>
    </row>
    <row r="70" spans="1:1" s="66" customFormat="1" ht="15.75" thickBot="1" x14ac:dyDescent="0.3">
      <c r="A70" s="67" t="s">
        <v>235</v>
      </c>
    </row>
    <row r="71" spans="1:1" s="1" customFormat="1" x14ac:dyDescent="0.25">
      <c r="A71" s="73" t="s">
        <v>236</v>
      </c>
    </row>
    <row r="72" spans="1:1" customFormat="1" x14ac:dyDescent="0.25">
      <c r="A72" s="55" t="s">
        <v>237</v>
      </c>
    </row>
    <row r="73" spans="1:1" customFormat="1" x14ac:dyDescent="0.25">
      <c r="A73" s="55" t="s">
        <v>238</v>
      </c>
    </row>
    <row r="74" spans="1:1" customFormat="1" x14ac:dyDescent="0.25">
      <c r="A74" s="55" t="s">
        <v>239</v>
      </c>
    </row>
    <row r="75" spans="1:1" s="66" customFormat="1" ht="15.75" thickBot="1" x14ac:dyDescent="0.3">
      <c r="A75" s="67" t="s">
        <v>240</v>
      </c>
    </row>
    <row r="76" spans="1:1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" workbookViewId="0">
      <selection activeCell="B35" sqref="B3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x14ac:dyDescent="0.25">
      <c r="A12" t="s">
        <v>128</v>
      </c>
      <c r="F12" s="5">
        <f>48/126.8</f>
        <v>0.37854889589905366</v>
      </c>
    </row>
    <row r="13" spans="1:10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x14ac:dyDescent="0.25">
      <c r="A18" t="s">
        <v>151</v>
      </c>
      <c r="B18" s="5">
        <v>1</v>
      </c>
      <c r="D18" t="s">
        <v>173</v>
      </c>
    </row>
    <row r="19" spans="1:6" x14ac:dyDescent="0.25">
      <c r="A19" t="s">
        <v>158</v>
      </c>
      <c r="B19" s="5">
        <v>1</v>
      </c>
      <c r="D19" t="s">
        <v>171</v>
      </c>
    </row>
    <row r="20" spans="1:6" x14ac:dyDescent="0.25">
      <c r="A20" t="s">
        <v>169</v>
      </c>
      <c r="B20" s="5">
        <v>1</v>
      </c>
      <c r="D20" t="s">
        <v>173</v>
      </c>
    </row>
    <row r="21" spans="1:6" x14ac:dyDescent="0.25">
      <c r="A21" t="s">
        <v>170</v>
      </c>
      <c r="B21" s="5">
        <v>1</v>
      </c>
      <c r="D21" t="s">
        <v>171</v>
      </c>
    </row>
    <row r="22" spans="1:6" x14ac:dyDescent="0.25">
      <c r="A22" t="s">
        <v>166</v>
      </c>
      <c r="B22" s="5">
        <v>1</v>
      </c>
      <c r="D22" t="s">
        <v>172</v>
      </c>
    </row>
    <row r="23" spans="1:6" s="1" customFormat="1" x14ac:dyDescent="0.25">
      <c r="A23" s="73" t="s">
        <v>201</v>
      </c>
    </row>
    <row r="24" spans="1:6" s="1" customFormat="1" x14ac:dyDescent="0.25">
      <c r="A24" s="73" t="s">
        <v>202</v>
      </c>
    </row>
    <row r="25" spans="1:6" s="1" customFormat="1" x14ac:dyDescent="0.25">
      <c r="A25" s="73" t="s">
        <v>203</v>
      </c>
    </row>
    <row r="26" spans="1:6" customFormat="1" x14ac:dyDescent="0.25">
      <c r="A26" s="55" t="s">
        <v>204</v>
      </c>
    </row>
    <row r="27" spans="1:6" customFormat="1" x14ac:dyDescent="0.25">
      <c r="A27" s="55" t="s">
        <v>205</v>
      </c>
    </row>
    <row r="28" spans="1:6" customFormat="1" x14ac:dyDescent="0.25">
      <c r="A28" s="55" t="s">
        <v>206</v>
      </c>
    </row>
    <row r="29" spans="1:6" customFormat="1" x14ac:dyDescent="0.25">
      <c r="A29" s="55" t="s">
        <v>207</v>
      </c>
    </row>
    <row r="30" spans="1:6" customFormat="1" x14ac:dyDescent="0.25">
      <c r="A30" s="55" t="s">
        <v>208</v>
      </c>
    </row>
    <row r="31" spans="1:6" customFormat="1" x14ac:dyDescent="0.25">
      <c r="A31" s="55" t="s">
        <v>209</v>
      </c>
    </row>
    <row r="32" spans="1:6" customFormat="1" x14ac:dyDescent="0.25">
      <c r="A32" s="55" t="s">
        <v>210</v>
      </c>
    </row>
    <row r="33" spans="1:1" customFormat="1" x14ac:dyDescent="0.25">
      <c r="A33" s="55" t="s">
        <v>174</v>
      </c>
    </row>
    <row r="34" spans="1:1" customFormat="1" x14ac:dyDescent="0.25">
      <c r="A34" s="55" t="s">
        <v>175</v>
      </c>
    </row>
    <row r="35" spans="1:1" customFormat="1" x14ac:dyDescent="0.25">
      <c r="A35" s="55" t="s">
        <v>176</v>
      </c>
    </row>
    <row r="36" spans="1:1" customFormat="1" x14ac:dyDescent="0.25">
      <c r="A36" s="55" t="s">
        <v>177</v>
      </c>
    </row>
    <row r="37" spans="1:1" s="66" customFormat="1" ht="15.75" thickBot="1" x14ac:dyDescent="0.3">
      <c r="A37" s="67" t="s">
        <v>178</v>
      </c>
    </row>
    <row r="38" spans="1:1" s="1" customFormat="1" x14ac:dyDescent="0.25">
      <c r="A38" s="73" t="s">
        <v>211</v>
      </c>
    </row>
    <row r="39" spans="1:1" s="1" customFormat="1" x14ac:dyDescent="0.25">
      <c r="A39" s="73" t="s">
        <v>212</v>
      </c>
    </row>
    <row r="40" spans="1:1" s="1" customFormat="1" x14ac:dyDescent="0.25">
      <c r="A40" s="73" t="s">
        <v>213</v>
      </c>
    </row>
    <row r="41" spans="1:1" customFormat="1" x14ac:dyDescent="0.25">
      <c r="A41" s="55" t="s">
        <v>214</v>
      </c>
    </row>
    <row r="42" spans="1:1" customFormat="1" x14ac:dyDescent="0.25">
      <c r="A42" s="55" t="s">
        <v>215</v>
      </c>
    </row>
    <row r="43" spans="1:1" customFormat="1" x14ac:dyDescent="0.25">
      <c r="A43" s="55" t="s">
        <v>216</v>
      </c>
    </row>
    <row r="44" spans="1:1" customFormat="1" x14ac:dyDescent="0.25">
      <c r="A44" s="55" t="s">
        <v>217</v>
      </c>
    </row>
    <row r="45" spans="1:1" customFormat="1" x14ac:dyDescent="0.25">
      <c r="A45" s="55" t="s">
        <v>218</v>
      </c>
    </row>
    <row r="46" spans="1:1" customFormat="1" x14ac:dyDescent="0.25">
      <c r="A46" s="55" t="s">
        <v>219</v>
      </c>
    </row>
    <row r="47" spans="1:1" customFormat="1" x14ac:dyDescent="0.25">
      <c r="A47" s="55" t="s">
        <v>220</v>
      </c>
    </row>
    <row r="48" spans="1:1" customFormat="1" x14ac:dyDescent="0.25">
      <c r="A48" s="55" t="s">
        <v>179</v>
      </c>
    </row>
    <row r="49" spans="1:1" customFormat="1" x14ac:dyDescent="0.25">
      <c r="A49" s="55" t="s">
        <v>180</v>
      </c>
    </row>
    <row r="50" spans="1:1" customFormat="1" x14ac:dyDescent="0.25">
      <c r="A50" s="55" t="s">
        <v>181</v>
      </c>
    </row>
    <row r="51" spans="1:1" customFormat="1" x14ac:dyDescent="0.25">
      <c r="A51" s="55" t="s">
        <v>182</v>
      </c>
    </row>
    <row r="52" spans="1:1" s="66" customFormat="1" ht="15.75" thickBot="1" x14ac:dyDescent="0.3">
      <c r="A52" s="67" t="s">
        <v>183</v>
      </c>
    </row>
    <row r="53" spans="1:1" s="1" customFormat="1" x14ac:dyDescent="0.25">
      <c r="A53" s="73" t="s">
        <v>221</v>
      </c>
    </row>
    <row r="54" spans="1:1" customFormat="1" x14ac:dyDescent="0.25">
      <c r="A54" s="55" t="s">
        <v>222</v>
      </c>
    </row>
    <row r="55" spans="1:1" customFormat="1" x14ac:dyDescent="0.25">
      <c r="A55" s="55" t="s">
        <v>223</v>
      </c>
    </row>
    <row r="56" spans="1:1" customFormat="1" x14ac:dyDescent="0.25">
      <c r="A56" s="55" t="s">
        <v>224</v>
      </c>
    </row>
    <row r="57" spans="1:1" s="66" customFormat="1" ht="15.75" thickBot="1" x14ac:dyDescent="0.3">
      <c r="A57" s="67" t="s">
        <v>225</v>
      </c>
    </row>
    <row r="58" spans="1:1" s="1" customFormat="1" x14ac:dyDescent="0.25">
      <c r="A58" s="73" t="s">
        <v>226</v>
      </c>
    </row>
    <row r="59" spans="1:1" customFormat="1" x14ac:dyDescent="0.25">
      <c r="A59" s="55" t="s">
        <v>227</v>
      </c>
    </row>
    <row r="60" spans="1:1" customFormat="1" x14ac:dyDescent="0.25">
      <c r="A60" s="55" t="s">
        <v>228</v>
      </c>
    </row>
    <row r="61" spans="1:1" customFormat="1" x14ac:dyDescent="0.25">
      <c r="A61" s="55" t="s">
        <v>229</v>
      </c>
    </row>
    <row r="62" spans="1:1" s="66" customFormat="1" ht="15.75" thickBot="1" x14ac:dyDescent="0.3">
      <c r="A62" s="67" t="s">
        <v>230</v>
      </c>
    </row>
    <row r="63" spans="1:1" s="1" customFormat="1" x14ac:dyDescent="0.25">
      <c r="A63" s="73" t="s">
        <v>231</v>
      </c>
    </row>
    <row r="64" spans="1:1" customFormat="1" x14ac:dyDescent="0.25">
      <c r="A64" s="55" t="s">
        <v>232</v>
      </c>
    </row>
    <row r="65" spans="1:1" customFormat="1" x14ac:dyDescent="0.25">
      <c r="A65" s="55" t="s">
        <v>233</v>
      </c>
    </row>
    <row r="66" spans="1:1" customFormat="1" x14ac:dyDescent="0.25">
      <c r="A66" s="55" t="s">
        <v>234</v>
      </c>
    </row>
    <row r="67" spans="1:1" s="66" customFormat="1" ht="15.75" thickBot="1" x14ac:dyDescent="0.3">
      <c r="A67" s="67" t="s">
        <v>235</v>
      </c>
    </row>
    <row r="68" spans="1:1" s="1" customFormat="1" x14ac:dyDescent="0.25">
      <c r="A68" s="73" t="s">
        <v>236</v>
      </c>
    </row>
    <row r="69" spans="1:1" customFormat="1" x14ac:dyDescent="0.25">
      <c r="A69" s="55" t="s">
        <v>237</v>
      </c>
    </row>
    <row r="70" spans="1:1" customFormat="1" x14ac:dyDescent="0.25">
      <c r="A70" s="55" t="s">
        <v>238</v>
      </c>
    </row>
    <row r="71" spans="1:1" customFormat="1" x14ac:dyDescent="0.25">
      <c r="A71" s="55" t="s">
        <v>239</v>
      </c>
    </row>
    <row r="72" spans="1:1" s="66" customFormat="1" ht="15.75" thickBot="1" x14ac:dyDescent="0.3">
      <c r="A72" s="67" t="s">
        <v>240</v>
      </c>
    </row>
    <row r="73" spans="1:1" customForma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5" workbookViewId="0">
      <selection activeCell="A23" sqref="A23:XFD73"/>
    </sheetView>
  </sheetViews>
  <sheetFormatPr defaultColWidth="8.85546875" defaultRowHeight="15" x14ac:dyDescent="0.25"/>
  <cols>
    <col min="1" max="1" width="17.42578125" customWidth="1"/>
  </cols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125</v>
      </c>
      <c r="D5" s="5"/>
    </row>
    <row r="6" spans="1:4" x14ac:dyDescent="0.25">
      <c r="A6" t="s">
        <v>107</v>
      </c>
      <c r="B6" s="5">
        <v>0.8</v>
      </c>
      <c r="C6" s="19" t="s">
        <v>125</v>
      </c>
      <c r="D6" s="5"/>
    </row>
    <row r="7" spans="1:4" x14ac:dyDescent="0.25">
      <c r="A7" t="s">
        <v>108</v>
      </c>
      <c r="B7" s="5">
        <v>0.8</v>
      </c>
      <c r="C7" t="s">
        <v>124</v>
      </c>
      <c r="D7" s="5"/>
    </row>
    <row r="8" spans="1:4" x14ac:dyDescent="0.25">
      <c r="A8" t="s">
        <v>109</v>
      </c>
      <c r="B8" s="5">
        <v>0.8</v>
      </c>
      <c r="C8" t="s">
        <v>124</v>
      </c>
      <c r="D8" s="19" t="s">
        <v>77</v>
      </c>
    </row>
    <row r="9" spans="1:4" x14ac:dyDescent="0.25">
      <c r="A9" t="s">
        <v>110</v>
      </c>
      <c r="B9" s="5">
        <v>0.8</v>
      </c>
      <c r="C9" t="s">
        <v>118</v>
      </c>
      <c r="D9" s="19" t="s">
        <v>77</v>
      </c>
    </row>
    <row r="10" spans="1:4" x14ac:dyDescent="0.25">
      <c r="A10" t="s">
        <v>111</v>
      </c>
      <c r="B10" s="5">
        <v>0.8</v>
      </c>
      <c r="C10" t="s">
        <v>120</v>
      </c>
      <c r="D10" s="5"/>
    </row>
    <row r="11" spans="1:4" x14ac:dyDescent="0.25">
      <c r="A11" t="s">
        <v>131</v>
      </c>
      <c r="B11">
        <f t="shared" ref="B11:C15" si="0">B$7</f>
        <v>0.8</v>
      </c>
      <c r="C11" t="str">
        <f t="shared" si="0"/>
        <v>natural gas - IPCC</v>
      </c>
      <c r="D11" s="5"/>
    </row>
    <row r="12" spans="1:4" x14ac:dyDescent="0.25">
      <c r="A12" t="s">
        <v>132</v>
      </c>
      <c r="B12">
        <f t="shared" si="0"/>
        <v>0.8</v>
      </c>
      <c r="C12" t="str">
        <f t="shared" si="0"/>
        <v>natural gas - IPCC</v>
      </c>
    </row>
    <row r="13" spans="1:4" x14ac:dyDescent="0.25">
      <c r="A13" t="s">
        <v>133</v>
      </c>
      <c r="B13">
        <f t="shared" si="0"/>
        <v>0.8</v>
      </c>
      <c r="C13" t="str">
        <f t="shared" si="0"/>
        <v>natural gas - IPCC</v>
      </c>
    </row>
    <row r="14" spans="1:4" x14ac:dyDescent="0.25">
      <c r="A14" t="s">
        <v>134</v>
      </c>
      <c r="B14">
        <f t="shared" si="0"/>
        <v>0.8</v>
      </c>
      <c r="C14" t="str">
        <f t="shared" si="0"/>
        <v>natural gas - IPCC</v>
      </c>
    </row>
    <row r="15" spans="1:4" x14ac:dyDescent="0.25">
      <c r="A15" t="s">
        <v>136</v>
      </c>
      <c r="B15">
        <f t="shared" si="0"/>
        <v>0.8</v>
      </c>
      <c r="C15" t="str">
        <f t="shared" si="0"/>
        <v>natural gas - IPCC</v>
      </c>
    </row>
    <row r="16" spans="1:4" x14ac:dyDescent="0.25">
      <c r="A16" t="s">
        <v>127</v>
      </c>
      <c r="B16">
        <v>0.8</v>
      </c>
      <c r="C16" t="s">
        <v>115</v>
      </c>
    </row>
    <row r="17" spans="1:1" x14ac:dyDescent="0.25">
      <c r="A17" t="s">
        <v>151</v>
      </c>
    </row>
    <row r="18" spans="1:1" x14ac:dyDescent="0.25">
      <c r="A18" t="s">
        <v>158</v>
      </c>
    </row>
    <row r="19" spans="1:1" x14ac:dyDescent="0.25">
      <c r="A19" t="s">
        <v>152</v>
      </c>
    </row>
    <row r="20" spans="1:1" x14ac:dyDescent="0.25">
      <c r="A20" t="s">
        <v>143</v>
      </c>
    </row>
    <row r="21" spans="1:1" x14ac:dyDescent="0.25">
      <c r="A21" t="s">
        <v>153</v>
      </c>
    </row>
    <row r="22" spans="1:1" x14ac:dyDescent="0.25">
      <c r="A22" t="s">
        <v>156</v>
      </c>
    </row>
    <row r="23" spans="1:1" s="1" customFormat="1" x14ac:dyDescent="0.25">
      <c r="A23" s="73" t="s">
        <v>201</v>
      </c>
    </row>
    <row r="24" spans="1:1" s="1" customFormat="1" x14ac:dyDescent="0.25">
      <c r="A24" s="73" t="s">
        <v>202</v>
      </c>
    </row>
    <row r="25" spans="1:1" s="1" customFormat="1" x14ac:dyDescent="0.25">
      <c r="A25" s="73" t="s">
        <v>203</v>
      </c>
    </row>
    <row r="26" spans="1:1" x14ac:dyDescent="0.25">
      <c r="A26" s="55" t="s">
        <v>204</v>
      </c>
    </row>
    <row r="27" spans="1:1" x14ac:dyDescent="0.25">
      <c r="A27" s="55" t="s">
        <v>205</v>
      </c>
    </row>
    <row r="28" spans="1:1" x14ac:dyDescent="0.25">
      <c r="A28" s="55" t="s">
        <v>206</v>
      </c>
    </row>
    <row r="29" spans="1:1" x14ac:dyDescent="0.25">
      <c r="A29" s="55" t="s">
        <v>207</v>
      </c>
    </row>
    <row r="30" spans="1:1" x14ac:dyDescent="0.25">
      <c r="A30" s="55" t="s">
        <v>208</v>
      </c>
    </row>
    <row r="31" spans="1:1" x14ac:dyDescent="0.25">
      <c r="A31" s="55" t="s">
        <v>209</v>
      </c>
    </row>
    <row r="32" spans="1:1" x14ac:dyDescent="0.25">
      <c r="A32" s="55" t="s">
        <v>210</v>
      </c>
    </row>
    <row r="33" spans="1:1" x14ac:dyDescent="0.25">
      <c r="A33" s="55" t="s">
        <v>174</v>
      </c>
    </row>
    <row r="34" spans="1:1" x14ac:dyDescent="0.25">
      <c r="A34" s="55" t="s">
        <v>175</v>
      </c>
    </row>
    <row r="35" spans="1:1" x14ac:dyDescent="0.25">
      <c r="A35" s="55" t="s">
        <v>176</v>
      </c>
    </row>
    <row r="36" spans="1:1" x14ac:dyDescent="0.25">
      <c r="A36" s="55" t="s">
        <v>177</v>
      </c>
    </row>
    <row r="37" spans="1:1" s="66" customFormat="1" ht="15.75" thickBot="1" x14ac:dyDescent="0.3">
      <c r="A37" s="67" t="s">
        <v>178</v>
      </c>
    </row>
    <row r="38" spans="1:1" s="1" customFormat="1" x14ac:dyDescent="0.25">
      <c r="A38" s="73" t="s">
        <v>211</v>
      </c>
    </row>
    <row r="39" spans="1:1" s="1" customFormat="1" x14ac:dyDescent="0.25">
      <c r="A39" s="73" t="s">
        <v>212</v>
      </c>
    </row>
    <row r="40" spans="1:1" s="1" customFormat="1" x14ac:dyDescent="0.25">
      <c r="A40" s="73" t="s">
        <v>213</v>
      </c>
    </row>
    <row r="41" spans="1:1" x14ac:dyDescent="0.25">
      <c r="A41" s="55" t="s">
        <v>214</v>
      </c>
    </row>
    <row r="42" spans="1:1" x14ac:dyDescent="0.25">
      <c r="A42" s="55" t="s">
        <v>215</v>
      </c>
    </row>
    <row r="43" spans="1:1" x14ac:dyDescent="0.25">
      <c r="A43" s="55" t="s">
        <v>216</v>
      </c>
    </row>
    <row r="44" spans="1:1" x14ac:dyDescent="0.25">
      <c r="A44" s="55" t="s">
        <v>217</v>
      </c>
    </row>
    <row r="45" spans="1:1" x14ac:dyDescent="0.25">
      <c r="A45" s="55" t="s">
        <v>218</v>
      </c>
    </row>
    <row r="46" spans="1:1" x14ac:dyDescent="0.25">
      <c r="A46" s="55" t="s">
        <v>219</v>
      </c>
    </row>
    <row r="47" spans="1:1" x14ac:dyDescent="0.25">
      <c r="A47" s="55" t="s">
        <v>220</v>
      </c>
    </row>
    <row r="48" spans="1:1" x14ac:dyDescent="0.25">
      <c r="A48" s="55" t="s">
        <v>179</v>
      </c>
    </row>
    <row r="49" spans="1:1" x14ac:dyDescent="0.25">
      <c r="A49" s="55" t="s">
        <v>180</v>
      </c>
    </row>
    <row r="50" spans="1:1" x14ac:dyDescent="0.25">
      <c r="A50" s="55" t="s">
        <v>181</v>
      </c>
    </row>
    <row r="51" spans="1:1" x14ac:dyDescent="0.25">
      <c r="A51" s="55" t="s">
        <v>182</v>
      </c>
    </row>
    <row r="52" spans="1:1" s="66" customFormat="1" ht="15.75" thickBot="1" x14ac:dyDescent="0.3">
      <c r="A52" s="67" t="s">
        <v>183</v>
      </c>
    </row>
    <row r="53" spans="1:1" s="1" customFormat="1" x14ac:dyDescent="0.25">
      <c r="A53" s="73" t="s">
        <v>221</v>
      </c>
    </row>
    <row r="54" spans="1:1" x14ac:dyDescent="0.25">
      <c r="A54" s="55" t="s">
        <v>222</v>
      </c>
    </row>
    <row r="55" spans="1:1" x14ac:dyDescent="0.25">
      <c r="A55" s="55" t="s">
        <v>223</v>
      </c>
    </row>
    <row r="56" spans="1:1" x14ac:dyDescent="0.25">
      <c r="A56" s="55" t="s">
        <v>224</v>
      </c>
    </row>
    <row r="57" spans="1:1" s="66" customFormat="1" ht="15.75" thickBot="1" x14ac:dyDescent="0.3">
      <c r="A57" s="67" t="s">
        <v>225</v>
      </c>
    </row>
    <row r="58" spans="1:1" s="1" customFormat="1" x14ac:dyDescent="0.25">
      <c r="A58" s="73" t="s">
        <v>226</v>
      </c>
    </row>
    <row r="59" spans="1:1" x14ac:dyDescent="0.25">
      <c r="A59" s="55" t="s">
        <v>227</v>
      </c>
    </row>
    <row r="60" spans="1:1" x14ac:dyDescent="0.25">
      <c r="A60" s="55" t="s">
        <v>228</v>
      </c>
    </row>
    <row r="61" spans="1:1" x14ac:dyDescent="0.25">
      <c r="A61" s="55" t="s">
        <v>229</v>
      </c>
    </row>
    <row r="62" spans="1:1" s="66" customFormat="1" ht="15.75" thickBot="1" x14ac:dyDescent="0.3">
      <c r="A62" s="67" t="s">
        <v>230</v>
      </c>
    </row>
    <row r="63" spans="1:1" s="1" customFormat="1" x14ac:dyDescent="0.25">
      <c r="A63" s="73" t="s">
        <v>231</v>
      </c>
    </row>
    <row r="64" spans="1:1" x14ac:dyDescent="0.25">
      <c r="A64" s="55" t="s">
        <v>232</v>
      </c>
    </row>
    <row r="65" spans="1:1" x14ac:dyDescent="0.25">
      <c r="A65" s="55" t="s">
        <v>233</v>
      </c>
    </row>
    <row r="66" spans="1:1" x14ac:dyDescent="0.25">
      <c r="A66" s="55" t="s">
        <v>234</v>
      </c>
    </row>
    <row r="67" spans="1:1" s="66" customFormat="1" ht="15.75" thickBot="1" x14ac:dyDescent="0.3">
      <c r="A67" s="67" t="s">
        <v>235</v>
      </c>
    </row>
    <row r="68" spans="1:1" s="1" customFormat="1" x14ac:dyDescent="0.25">
      <c r="A68" s="73" t="s">
        <v>236</v>
      </c>
    </row>
    <row r="69" spans="1:1" x14ac:dyDescent="0.25">
      <c r="A69" s="55" t="s">
        <v>237</v>
      </c>
    </row>
    <row r="70" spans="1:1" x14ac:dyDescent="0.25">
      <c r="A70" s="55" t="s">
        <v>238</v>
      </c>
    </row>
    <row r="71" spans="1:1" x14ac:dyDescent="0.25">
      <c r="A71" s="55" t="s">
        <v>239</v>
      </c>
    </row>
    <row r="72" spans="1:1" s="66" customFormat="1" ht="15.75" thickBot="1" x14ac:dyDescent="0.3">
      <c r="A72" s="67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2019-05-13T18:19:01Z</dcterms:modified>
</cp:coreProperties>
</file>