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firstSheet="1" activeTab="8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WWT" sheetId="26" r:id="rId7"/>
    <sheet name="CO2 Capture" sheetId="12" r:id="rId8"/>
    <sheet name="CLC Capture" sheetId="25" r:id="rId9"/>
    <sheet name="CO2 Cap Aux" sheetId="23" r:id="rId10"/>
    <sheet name="CO2 Compress" sheetId="24" r:id="rId11"/>
    <sheet name="CO2 Storage" sheetId="13" r:id="rId12"/>
    <sheet name="Ref" sheetId="7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3" l="1"/>
  <c r="E24" i="23" s="1"/>
  <c r="G24" i="23"/>
  <c r="F24" i="23"/>
  <c r="D24" i="23"/>
  <c r="C24" i="23"/>
  <c r="G23" i="23"/>
  <c r="F23" i="23"/>
  <c r="E23" i="23"/>
  <c r="D23" i="23"/>
  <c r="C23" i="23"/>
  <c r="G22" i="23"/>
  <c r="F22" i="23"/>
  <c r="E22" i="23"/>
  <c r="D22" i="23"/>
  <c r="C22" i="23"/>
  <c r="G21" i="23"/>
  <c r="F21" i="23"/>
  <c r="E21" i="23"/>
  <c r="D21" i="23"/>
  <c r="C21" i="23"/>
  <c r="D28" i="24"/>
  <c r="C28" i="24"/>
  <c r="D27" i="24"/>
  <c r="C27" i="24"/>
  <c r="D26" i="24"/>
  <c r="C26" i="24"/>
  <c r="D25" i="24"/>
  <c r="C25" i="24"/>
  <c r="K8" i="25"/>
  <c r="G8" i="25"/>
  <c r="F8" i="25"/>
  <c r="E8" i="25"/>
  <c r="K7" i="25"/>
  <c r="G7" i="25"/>
  <c r="F7" i="25"/>
  <c r="E7" i="25"/>
  <c r="F26" i="12"/>
  <c r="F25" i="12"/>
  <c r="H28" i="12"/>
  <c r="H27" i="12"/>
  <c r="H26" i="12"/>
  <c r="H25" i="12"/>
  <c r="G28" i="12"/>
  <c r="G27" i="12"/>
  <c r="G26" i="12"/>
  <c r="G25" i="12"/>
  <c r="E28" i="12"/>
  <c r="E27" i="12"/>
  <c r="E26" i="12"/>
  <c r="E25" i="12"/>
  <c r="D28" i="12"/>
  <c r="D27" i="12"/>
  <c r="D26" i="12"/>
  <c r="D25" i="12"/>
  <c r="C28" i="12"/>
  <c r="C27" i="12"/>
  <c r="C26" i="12"/>
  <c r="C25" i="12"/>
  <c r="E24" i="12"/>
  <c r="H4" i="12"/>
  <c r="E4" i="12"/>
  <c r="F4" i="12"/>
  <c r="H27" i="18"/>
  <c r="G27" i="18"/>
  <c r="E27" i="18"/>
  <c r="D27" i="18"/>
  <c r="C27" i="18"/>
  <c r="H26" i="18"/>
  <c r="G26" i="18"/>
  <c r="F26" i="18"/>
  <c r="E26" i="18"/>
  <c r="D26" i="18"/>
  <c r="C26" i="18"/>
  <c r="H25" i="18"/>
  <c r="G25" i="18"/>
  <c r="E25" i="18"/>
  <c r="D25" i="18"/>
  <c r="C25" i="18"/>
  <c r="H24" i="18"/>
  <c r="G24" i="18"/>
  <c r="F24" i="18"/>
  <c r="E24" i="18"/>
  <c r="D24" i="18"/>
  <c r="C24" i="18"/>
  <c r="G7" i="26"/>
  <c r="F7" i="26"/>
  <c r="E7" i="26"/>
  <c r="D7" i="26"/>
  <c r="C7" i="26"/>
  <c r="G6" i="26"/>
  <c r="F6" i="26"/>
  <c r="E6" i="26"/>
  <c r="D6" i="26"/>
  <c r="C6" i="26"/>
  <c r="C5" i="26"/>
  <c r="D23" i="2"/>
  <c r="C23" i="2"/>
  <c r="E23" i="2"/>
  <c r="E22" i="2"/>
  <c r="D22" i="2"/>
  <c r="C22" i="2"/>
  <c r="D20" i="2" l="1"/>
  <c r="D31" i="8"/>
  <c r="C31" i="8"/>
  <c r="D30" i="8"/>
  <c r="C30" i="8"/>
  <c r="D29" i="8"/>
  <c r="C29" i="8"/>
  <c r="D28" i="8"/>
  <c r="C28" i="8"/>
  <c r="D14" i="8"/>
  <c r="D29" i="9"/>
  <c r="D28" i="9"/>
  <c r="C31" i="9"/>
  <c r="C30" i="9"/>
  <c r="C29" i="9"/>
  <c r="C28" i="9"/>
  <c r="E31" i="9"/>
  <c r="E30" i="9"/>
  <c r="E29" i="9"/>
  <c r="E28" i="9"/>
  <c r="F24" i="13" l="1"/>
  <c r="D24" i="24"/>
  <c r="C24" i="24"/>
  <c r="H24" i="12"/>
  <c r="H23" i="18"/>
  <c r="G23" i="18"/>
  <c r="E23" i="18"/>
  <c r="C23" i="18"/>
  <c r="H19" i="2" l="1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 l="1"/>
  <c r="F5" i="26"/>
  <c r="E5" i="26"/>
  <c r="D5" i="26"/>
  <c r="E21" i="2" l="1"/>
  <c r="C21" i="2" l="1"/>
  <c r="D27" i="9"/>
  <c r="C27" i="9"/>
  <c r="D27" i="8"/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7" i="9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H4" i="18" l="1"/>
  <c r="D25" i="8"/>
  <c r="D26" i="8"/>
  <c r="F22" i="13"/>
  <c r="E6" i="25"/>
  <c r="D23" i="24"/>
  <c r="E5" i="25"/>
  <c r="F23" i="13"/>
  <c r="D22" i="24"/>
  <c r="P6" i="22"/>
  <c r="P7" i="22"/>
  <c r="H22" i="18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D8" i="2"/>
  <c r="D5" i="2"/>
  <c r="D21" i="2" s="1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23" i="8" s="1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Samantha Eleanor Tanzer - TBM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<sst xmlns="http://schemas.openxmlformats.org/spreadsheetml/2006/main" count="684" uniqueCount="177">
  <si>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</si>
  <si>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</si>
  <si>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</si>
  <si>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</si>
  <si>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</si>
  <si>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</si>
  <si>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</si>
  <si>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</si>
  <si>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</si>
  <si>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</si>
  <si>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</si>
  <si>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</si>
  <si>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</si>
  <si>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</si>
  <si>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</si>
  <si>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</si>
  <si>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</si>
  <si>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</si>
  <si>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</si>
  <si>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</si>
  <si>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</si>
  <si>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</si>
  <si>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</si>
  <si>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</si>
  <si>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</si>
  <si>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</si>
  <si>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</si>
  <si>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</si>
  <si>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</si>
  <si>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</si>
  <si>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</si>
  <si>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</si>
  <si>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</si>
  <si>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</si>
  <si>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</si>
  <si>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</si>
  <si>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</si>
  <si>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</si>
  <si>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</si>
  <si>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</si>
  <si>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</si>
  <si>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</si>
  <si>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</si>
  <si>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</si>
  <si>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</si>
  <si>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</si>
  <si>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</si>
  <si>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</si>
  <si>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</si>
  <si>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</si>
  <si>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</si>
  <si>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</si>
  <si>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</si>
  <si>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</si>
  <si>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</si>
  <si>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</si>
  <si>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</si>
  <si>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</si>
  <si>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</si>
  <si>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</si>
  <si>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</si>
  <si>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</si>
  <si>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</si>
  <si>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</si>
  <si>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</si>
  <si>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</si>
  <si>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</si>
  <si>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</si>
  <si>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</si>
  <si>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</si>
  <si>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</si>
  <si>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</si>
  <si>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</si>
  <si>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</si>
  <si>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</si>
  <si>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</si>
  <si>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</si>
  <si>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</si>
  <si>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</si>
  <si>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</si>
  <si>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</si>
  <si>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</si>
  <si>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</si>
  <si>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</si>
  <si>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</si>
  <si>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</si>
  <si>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</si>
  <si>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</si>
  <si>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</si>
  <si>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</si>
  <si>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</si>
  <si>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</si>
  <si>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</si>
  <si>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</si>
  <si>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</si>
  <si>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</si>
  <si>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</si>
  <si>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</si>
  <si>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</si>
  <si>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</si>
  <si>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</si>
  <si>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</si>
  <si>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</si>
  <si>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</si>
  <si>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</si>
  <si>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</si>
  <si>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</si>
  <si>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</si>
  <si>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</si>
  <si>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</si>
  <si>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</si>
  <si>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</si>
  <si>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</si>
  <si>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</si>
  <si>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</si>
  <si>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</si>
  <si>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</si>
  <si>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</si>
  <si>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</si>
  <si>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</si>
  <si>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</si>
  <si>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</si>
  <si>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</si>
  <si>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</si>
  <si>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</si>
  <si>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</si>
  <si>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</si>
  <si>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</si>
  <si>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</si>
  <si>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</si>
  <si>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</si>
  <si>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</si>
  <si>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</si>
  <si>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</si>
  <si>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</si>
  <si>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</si>
  <si>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</si>
  <si>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</si>
  <si>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</si>
  <si>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</si>
  <si>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</si>
  <si>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</si>
  <si>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</si>
  <si>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</si>
  <si>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</si>
  <si>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</si>
  <si>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</si>
  <si>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</si>
  <si>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</si>
  <si>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</si>
  <si>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</si>
  <si>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</si>
  <si>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</si>
  <si>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</si>
  <si>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</si>
  <si>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</si>
  <si>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</si>
  <si>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</si>
  <si>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</si>
  <si>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</si>
  <si>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</si>
  <si>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</si>
  <si>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</si>
  <si>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</si>
  <si>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</si>
  <si>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</si>
  <si>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</si>
  <si>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</si>
  <si>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</si>
  <si>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</si>
  <si>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</si>
  <si>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</si>
  <si>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CLK-0B</t>
  </si>
  <si>
    <t>CLK-HB</t>
  </si>
  <si>
    <t>PLP-0B</t>
  </si>
  <si>
    <t>PLP-HB</t>
  </si>
  <si>
    <t>HFO -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</si>
</sst>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  <xf numFmtId="0" fontId="20" fillId="0" borderId="0" xfId="0" applyFont="1" applyBorder="1"/>
    <xf numFmtId="0" fontId="20" fillId="0" borderId="9" xfId="0" applyFont="1" applyBorder="1"/>
    <xf numFmtId="164" fontId="0" fillId="0" borderId="0" xfId="0" applyNumberForma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8" width="17.85546875" style="139" customWidth="1"/>
    <col min="9" max="9" width="25.42578125" style="21" customWidth="1"/>
    <col min="10" max="16384" width="8.85546875" style="21"/>
  </cols>
  <sheetData>
    <row r="1" spans="1:9" x14ac:dyDescent="0.25">
      <c r="A1" s="39" t="s">
        <v>0</v>
      </c>
      <c r="B1" s="39" t="s">
        <v>132</v>
      </c>
      <c r="C1" s="21" t="s">
        <v>5</v>
      </c>
      <c r="D1" s="21" t="s">
        <v>6</v>
      </c>
      <c r="E1" s="139" t="s">
        <v>164</v>
      </c>
      <c r="F1" s="139" t="s">
        <v>9</v>
      </c>
      <c r="G1" s="139" t="s">
        <v>7</v>
      </c>
      <c r="H1" s="139" t="s">
        <v>8</v>
      </c>
      <c r="I1" s="21" t="s">
        <v>40</v>
      </c>
    </row>
    <row r="2" spans="1:9" x14ac:dyDescent="0.25">
      <c r="A2" s="48" t="s">
        <v>1</v>
      </c>
      <c r="B2" s="48"/>
      <c r="C2" s="21" t="s">
        <v>32</v>
      </c>
      <c r="D2" s="21" t="s">
        <v>33</v>
      </c>
      <c r="E2" s="139" t="s">
        <v>165</v>
      </c>
    </row>
    <row r="3" spans="1:9" x14ac:dyDescent="0.25">
      <c r="A3" s="48" t="s">
        <v>2</v>
      </c>
      <c r="B3" s="48"/>
    </row>
    <row r="4" spans="1:9" s="29" customFormat="1" ht="15.75" thickBot="1" x14ac:dyDescent="0.3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40"/>
      <c r="H4" s="140"/>
    </row>
    <row r="5" spans="1:9" x14ac:dyDescent="0.25">
      <c r="A5" s="32" t="s">
        <v>77</v>
      </c>
      <c r="B5" s="32" t="s">
        <v>133</v>
      </c>
      <c r="C5" s="50">
        <v>0.05</v>
      </c>
      <c r="D5" s="50">
        <f>30*Ref!$B$18</f>
        <v>0.108</v>
      </c>
      <c r="E5" s="139">
        <v>0</v>
      </c>
      <c r="F5" s="139" t="s">
        <v>167</v>
      </c>
      <c r="G5" s="139">
        <v>0</v>
      </c>
      <c r="H5" t="s">
        <v>144</v>
      </c>
    </row>
    <row r="6" spans="1:9" x14ac:dyDescent="0.25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5.75" thickBot="1" x14ac:dyDescent="0.3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x14ac:dyDescent="0.25">
      <c r="A8" s="32" t="s">
        <v>62</v>
      </c>
      <c r="B8" s="32" t="s">
        <v>133</v>
      </c>
      <c r="C8" s="50">
        <v>0.05</v>
      </c>
      <c r="D8" s="50">
        <f>30*Ref!$B$18</f>
        <v>0.108</v>
      </c>
      <c r="E8" s="139">
        <v>0</v>
      </c>
      <c r="F8" s="139" t="s">
        <v>167</v>
      </c>
      <c r="G8" s="139">
        <v>0</v>
      </c>
      <c r="H8" t="s">
        <v>144</v>
      </c>
      <c r="I8" s="21"/>
    </row>
    <row r="9" spans="1:9" x14ac:dyDescent="0.25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5.75" thickBot="1" x14ac:dyDescent="0.3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x14ac:dyDescent="0.25">
      <c r="A11" s="46" t="s">
        <v>63</v>
      </c>
      <c r="B11" s="32" t="s">
        <v>133</v>
      </c>
      <c r="C11" s="50">
        <v>0</v>
      </c>
      <c r="D11" s="50">
        <v>0</v>
      </c>
      <c r="E11" s="139">
        <v>0</v>
      </c>
      <c r="F11" s="139" t="s">
        <v>167</v>
      </c>
      <c r="G11" s="139">
        <v>0</v>
      </c>
      <c r="H11" t="s">
        <v>144</v>
      </c>
    </row>
    <row r="12" spans="1:9" x14ac:dyDescent="0.25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5.75" thickBot="1" x14ac:dyDescent="0.3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x14ac:dyDescent="0.25">
      <c r="A14" t="s">
        <v>71</v>
      </c>
      <c r="B14" s="32" t="s">
        <v>133</v>
      </c>
      <c r="C14" s="50">
        <v>0.05</v>
      </c>
      <c r="D14" s="50">
        <f>30*Ref!$B$18</f>
        <v>0.108</v>
      </c>
      <c r="E14" s="139">
        <v>0</v>
      </c>
      <c r="F14" s="139" t="s">
        <v>167</v>
      </c>
      <c r="G14" s="139">
        <v>0</v>
      </c>
      <c r="H14" t="s">
        <v>144</v>
      </c>
    </row>
    <row r="15" spans="1:9" x14ac:dyDescent="0.25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5.75" thickBot="1" x14ac:dyDescent="0.3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x14ac:dyDescent="0.25">
      <c r="A17" t="s">
        <v>74</v>
      </c>
      <c r="B17" s="32" t="s">
        <v>133</v>
      </c>
      <c r="C17" s="50">
        <v>0.05</v>
      </c>
      <c r="D17" s="50">
        <f>30*Ref!$B$18</f>
        <v>0.108</v>
      </c>
      <c r="E17" s="139">
        <v>0</v>
      </c>
      <c r="F17" s="139" t="s">
        <v>167</v>
      </c>
      <c r="G17" s="139">
        <v>0</v>
      </c>
      <c r="H17" t="s">
        <v>144</v>
      </c>
    </row>
    <row r="18" spans="1:8" x14ac:dyDescent="0.25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5.75" thickBot="1" x14ac:dyDescent="0.3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5">
      <c r="A20" t="s">
        <v>134</v>
      </c>
      <c r="B20" s="21" t="s">
        <v>135</v>
      </c>
      <c r="C20" s="21">
        <f>C4</f>
        <v>0.05</v>
      </c>
      <c r="D20" s="21">
        <f>D4</f>
        <v>0.1</v>
      </c>
      <c r="E20" s="139">
        <v>0</v>
      </c>
      <c r="F20" s="139" t="s">
        <v>167</v>
      </c>
      <c r="G20" s="139">
        <v>0</v>
      </c>
      <c r="H20" t="s">
        <v>144</v>
      </c>
    </row>
    <row r="21" spans="1:8" x14ac:dyDescent="0.25">
      <c r="A21" s="21" t="s">
        <v>162</v>
      </c>
      <c r="B21" s="21" t="s">
        <v>163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166</v>
      </c>
      <c r="G21" s="77">
        <v>0</v>
      </c>
      <c r="H21" t="s">
        <v>144</v>
      </c>
    </row>
    <row r="22" spans="1:8" x14ac:dyDescent="0.25">
      <c r="A22" s="27" t="s">
        <v>174</v>
      </c>
      <c r="B22" s="27" t="s">
        <v>163</v>
      </c>
      <c r="C22" s="21">
        <f>C$4</f>
        <v>0.05</v>
      </c>
      <c r="D22" s="21">
        <f>D$4</f>
        <v>0.1</v>
      </c>
      <c r="E22" s="21">
        <f>E$4</f>
        <v>3.3</v>
      </c>
      <c r="F22" s="77" t="s">
        <v>176</v>
      </c>
      <c r="G22" s="77">
        <v>0</v>
      </c>
      <c r="H22" t="s">
        <v>144</v>
      </c>
    </row>
    <row r="23" spans="1:8" x14ac:dyDescent="0.25">
      <c r="A23" s="27" t="s">
        <v>175</v>
      </c>
      <c r="B23" s="27" t="s">
        <v>163</v>
      </c>
      <c r="C23" s="21">
        <f>C$4</f>
        <v>0.05</v>
      </c>
      <c r="D23" s="21">
        <f>D$4</f>
        <v>0.1</v>
      </c>
      <c r="E23" s="21">
        <f>E$4</f>
        <v>3.3</v>
      </c>
      <c r="F23" s="139" t="s">
        <v>176</v>
      </c>
      <c r="G23" s="77">
        <v>1</v>
      </c>
      <c r="H23" t="s">
        <v>144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5"/>
    <col min="8" max="16384" width="8.85546875" style="21"/>
  </cols>
  <sheetData>
    <row r="1" spans="1:8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5.75" thickBot="1" x14ac:dyDescent="0.3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79">
        <v>0</v>
      </c>
      <c r="G4" s="28"/>
      <c r="H4" s="80"/>
    </row>
    <row r="5" spans="1:8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x14ac:dyDescent="0.25">
      <c r="A8" s="59" t="s">
        <v>62</v>
      </c>
      <c r="B8" s="32" t="s">
        <v>133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x14ac:dyDescent="0.25">
      <c r="A17" s="21" t="s">
        <v>74</v>
      </c>
      <c r="B17" s="32" t="s">
        <v>133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5">
      <c r="A20" t="s">
        <v>134</v>
      </c>
      <c r="B20" s="21" t="s">
        <v>135</v>
      </c>
      <c r="C20" s="21">
        <f>C4</f>
        <v>1</v>
      </c>
      <c r="D20" s="21">
        <f>D4</f>
        <v>0.9</v>
      </c>
      <c r="E20" s="38">
        <f>E4</f>
        <v>0.48868632707774806</v>
      </c>
      <c r="F20" s="21">
        <f>F4</f>
        <v>0</v>
      </c>
      <c r="G20" s="21">
        <f>G4</f>
        <v>0</v>
      </c>
    </row>
    <row r="21" spans="1:8" s="39" customFormat="1" x14ac:dyDescent="0.25">
      <c r="A21" s="27" t="s">
        <v>172</v>
      </c>
      <c r="B21" s="21" t="s">
        <v>135</v>
      </c>
      <c r="C21" s="21">
        <f>C$4</f>
        <v>1</v>
      </c>
      <c r="D21" s="21">
        <f t="shared" ref="D21:G24" si="10">D$4</f>
        <v>0.9</v>
      </c>
      <c r="E21" s="38">
        <f t="shared" si="10"/>
        <v>0.48868632707774806</v>
      </c>
      <c r="F21" s="21">
        <f t="shared" si="10"/>
        <v>0</v>
      </c>
      <c r="G21" s="21">
        <f t="shared" si="10"/>
        <v>0</v>
      </c>
      <c r="H21" s="21"/>
    </row>
    <row r="22" spans="1:8" x14ac:dyDescent="0.25">
      <c r="A22" s="27" t="s">
        <v>173</v>
      </c>
      <c r="B22" s="21" t="s">
        <v>135</v>
      </c>
      <c r="C22" s="21">
        <f t="shared" ref="C22:G24" si="11">C$4</f>
        <v>1</v>
      </c>
      <c r="D22" s="21">
        <f t="shared" si="10"/>
        <v>0.9</v>
      </c>
      <c r="E22" s="38">
        <f t="shared" si="10"/>
        <v>0.48868632707774806</v>
      </c>
      <c r="F22" s="21">
        <f t="shared" si="10"/>
        <v>0</v>
      </c>
      <c r="G22" s="21">
        <f t="shared" si="10"/>
        <v>0</v>
      </c>
    </row>
    <row r="23" spans="1:8" x14ac:dyDescent="0.25">
      <c r="A23" s="27" t="s">
        <v>174</v>
      </c>
      <c r="B23" s="27" t="s">
        <v>163</v>
      </c>
      <c r="C23" s="21">
        <f t="shared" si="11"/>
        <v>1</v>
      </c>
      <c r="D23" s="21">
        <f t="shared" si="10"/>
        <v>0.9</v>
      </c>
      <c r="E23" s="38">
        <f t="shared" si="10"/>
        <v>0.48868632707774806</v>
      </c>
      <c r="F23" s="21">
        <f t="shared" si="10"/>
        <v>0</v>
      </c>
      <c r="G23" s="21">
        <f t="shared" si="10"/>
        <v>0</v>
      </c>
    </row>
    <row r="24" spans="1:8" x14ac:dyDescent="0.25">
      <c r="A24" s="27" t="s">
        <v>175</v>
      </c>
      <c r="B24" s="27" t="s">
        <v>163</v>
      </c>
      <c r="C24" s="21">
        <f t="shared" si="11"/>
        <v>1</v>
      </c>
      <c r="D24" s="21">
        <f t="shared" si="10"/>
        <v>0.9</v>
      </c>
      <c r="E24" s="38">
        <f t="shared" si="10"/>
        <v>0.48868632707774806</v>
      </c>
      <c r="F24" s="21">
        <f t="shared" si="10"/>
        <v>0</v>
      </c>
      <c r="G24" s="21">
        <f t="shared" si="10"/>
        <v>0</v>
      </c>
    </row>
    <row r="25" spans="1:8" s="39" customFormat="1" x14ac:dyDescent="0.25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5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>
      <selection activeCell="D31" sqref="D31"/>
    </sheetView>
  </sheetViews>
  <sheetFormatPr defaultColWidth="11.42578125" defaultRowHeight="15" x14ac:dyDescent="0.25"/>
  <sheetData>
    <row r="1" spans="1:4" x14ac:dyDescent="0.25">
      <c r="A1" s="70" t="s">
        <v>43</v>
      </c>
      <c r="B1" s="39" t="s">
        <v>132</v>
      </c>
      <c r="C1" s="70" t="s">
        <v>128</v>
      </c>
      <c r="D1" s="71" t="s">
        <v>6</v>
      </c>
    </row>
    <row r="2" spans="1:4" x14ac:dyDescent="0.25">
      <c r="A2" s="72" t="s">
        <v>38</v>
      </c>
      <c r="B2" s="48"/>
      <c r="C2" s="73" t="s">
        <v>129</v>
      </c>
      <c r="D2" s="74" t="s">
        <v>50</v>
      </c>
    </row>
    <row r="3" spans="1:4" x14ac:dyDescent="0.25">
      <c r="A3" s="72" t="s">
        <v>2</v>
      </c>
      <c r="B3" s="48"/>
      <c r="C3" s="73" t="s">
        <v>52</v>
      </c>
      <c r="D3" s="75"/>
    </row>
    <row r="4" spans="1:4" ht="15.75" thickBot="1" x14ac:dyDescent="0.3">
      <c r="A4" s="78" t="s">
        <v>3</v>
      </c>
      <c r="B4" s="29"/>
      <c r="C4" s="43">
        <v>0</v>
      </c>
      <c r="D4" s="79">
        <v>0.32</v>
      </c>
    </row>
    <row r="5" spans="1:4" x14ac:dyDescent="0.25">
      <c r="A5" s="32" t="s">
        <v>77</v>
      </c>
      <c r="B5" s="32" t="s">
        <v>133</v>
      </c>
      <c r="C5" s="43">
        <v>0</v>
      </c>
      <c r="D5" s="43">
        <f>90*Ref!$B$18</f>
        <v>0.32400000000000001</v>
      </c>
    </row>
    <row r="6" spans="1:4" x14ac:dyDescent="0.25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59" t="s">
        <v>62</v>
      </c>
      <c r="B8" s="32" t="s">
        <v>133</v>
      </c>
      <c r="C8" s="43">
        <v>0</v>
      </c>
      <c r="D8" s="43">
        <f>90*Ref!$B$18</f>
        <v>0.32400000000000001</v>
      </c>
    </row>
    <row r="9" spans="1:4" x14ac:dyDescent="0.25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2" t="s">
        <v>63</v>
      </c>
      <c r="B11" s="32" t="s">
        <v>133</v>
      </c>
      <c r="C11" s="43">
        <v>0</v>
      </c>
      <c r="D11" s="43">
        <f>90*Ref!$B$18</f>
        <v>0.32400000000000001</v>
      </c>
    </row>
    <row r="12" spans="1:4" x14ac:dyDescent="0.25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71</v>
      </c>
      <c r="B14" s="32" t="s">
        <v>133</v>
      </c>
      <c r="C14" s="43">
        <v>0</v>
      </c>
      <c r="D14" s="43">
        <f>90*Ref!$B$18</f>
        <v>0.32400000000000001</v>
      </c>
    </row>
    <row r="15" spans="1:4" x14ac:dyDescent="0.25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74</v>
      </c>
      <c r="B17" s="32" t="s">
        <v>133</v>
      </c>
      <c r="C17" s="43">
        <v>0</v>
      </c>
      <c r="D17" s="43">
        <f>90*Ref!$B$18</f>
        <v>0.32400000000000001</v>
      </c>
    </row>
    <row r="18" spans="1:4" x14ac:dyDescent="0.25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134</v>
      </c>
      <c r="B20" s="21" t="s">
        <v>135</v>
      </c>
      <c r="C20" s="24">
        <f>C4</f>
        <v>0</v>
      </c>
      <c r="D20" s="24">
        <f>D4</f>
        <v>0.32</v>
      </c>
    </row>
    <row r="21" spans="1:4" x14ac:dyDescent="0.25">
      <c r="A21" s="21" t="s">
        <v>146</v>
      </c>
    </row>
    <row r="22" spans="1:4" x14ac:dyDescent="0.25">
      <c r="A22" s="27" t="s">
        <v>149</v>
      </c>
      <c r="B22" s="21" t="s">
        <v>135</v>
      </c>
      <c r="C22">
        <v>0</v>
      </c>
      <c r="D22" s="43">
        <f>94*Ref!$B$18</f>
        <v>0.33839999999999998</v>
      </c>
    </row>
    <row r="23" spans="1:4" x14ac:dyDescent="0.25">
      <c r="A23" s="27" t="s">
        <v>150</v>
      </c>
      <c r="B23" s="21" t="s">
        <v>135</v>
      </c>
      <c r="C23">
        <v>0</v>
      </c>
      <c r="D23" s="43">
        <f>94*Ref!$B$18</f>
        <v>0.33839999999999998</v>
      </c>
    </row>
    <row r="24" spans="1:4" x14ac:dyDescent="0.25">
      <c r="A24" s="27" t="s">
        <v>162</v>
      </c>
      <c r="B24" s="27" t="s">
        <v>163</v>
      </c>
      <c r="C24">
        <f>0</f>
        <v>0</v>
      </c>
      <c r="D24">
        <f>22.26/64.2</f>
        <v>0.34672897196261682</v>
      </c>
    </row>
    <row r="25" spans="1:4" x14ac:dyDescent="0.25">
      <c r="A25" s="27" t="s">
        <v>172</v>
      </c>
      <c r="B25" s="21" t="s">
        <v>135</v>
      </c>
      <c r="C25" s="24">
        <f>C$4</f>
        <v>0</v>
      </c>
      <c r="D25" s="24">
        <f t="shared" ref="D25:D28" si="10">D$4</f>
        <v>0.32</v>
      </c>
    </row>
    <row r="26" spans="1:4" x14ac:dyDescent="0.25">
      <c r="A26" s="27" t="s">
        <v>173</v>
      </c>
      <c r="B26" s="21" t="s">
        <v>135</v>
      </c>
      <c r="C26" s="24">
        <f t="shared" ref="C26:D28" si="11">C$4</f>
        <v>0</v>
      </c>
      <c r="D26" s="24">
        <f t="shared" si="10"/>
        <v>0.32</v>
      </c>
    </row>
    <row r="27" spans="1:4" x14ac:dyDescent="0.25">
      <c r="A27" s="27" t="s">
        <v>174</v>
      </c>
      <c r="B27" s="27" t="s">
        <v>163</v>
      </c>
      <c r="C27" s="24">
        <f t="shared" si="11"/>
        <v>0</v>
      </c>
      <c r="D27" s="24">
        <f t="shared" si="10"/>
        <v>0.32</v>
      </c>
    </row>
    <row r="28" spans="1:4" x14ac:dyDescent="0.25">
      <c r="A28" s="27" t="s">
        <v>175</v>
      </c>
      <c r="B28" s="27" t="s">
        <v>163</v>
      </c>
      <c r="C28" s="24">
        <f t="shared" si="11"/>
        <v>0</v>
      </c>
      <c r="D28" s="24">
        <f t="shared" si="10"/>
        <v>0.32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7" sqref="D27"/>
    </sheetView>
  </sheetViews>
  <sheetFormatPr defaultColWidth="8.85546875" defaultRowHeight="15" x14ac:dyDescent="0.25"/>
  <cols>
    <col min="1" max="1" width="15" style="21" bestFit="1" customWidth="1"/>
    <col min="2" max="2" width="10.85546875" style="21" customWidth="1"/>
    <col min="3" max="4" width="8.85546875" style="21"/>
    <col min="5" max="5" width="12.85546875" style="21" customWidth="1"/>
    <col min="6" max="16384" width="8.85546875" style="21"/>
  </cols>
  <sheetData>
    <row r="1" spans="1:6" x14ac:dyDescent="0.25">
      <c r="A1" s="70" t="s">
        <v>43</v>
      </c>
      <c r="B1" s="39" t="s">
        <v>132</v>
      </c>
      <c r="C1" s="21" t="s">
        <v>55</v>
      </c>
      <c r="D1" s="21" t="s">
        <v>56</v>
      </c>
      <c r="E1" t="s">
        <v>103</v>
      </c>
      <c r="F1" s="21" t="s">
        <v>4</v>
      </c>
    </row>
    <row r="2" spans="1:6" x14ac:dyDescent="0.25">
      <c r="A2" s="72" t="s">
        <v>38</v>
      </c>
      <c r="B2" s="48"/>
      <c r="C2" s="21" t="s">
        <v>57</v>
      </c>
      <c r="D2" s="21" t="s">
        <v>58</v>
      </c>
      <c r="F2" s="27" t="s">
        <v>105</v>
      </c>
    </row>
    <row r="3" spans="1:6" x14ac:dyDescent="0.25">
      <c r="A3" s="72" t="s">
        <v>2</v>
      </c>
      <c r="B3" s="48"/>
    </row>
    <row r="4" spans="1:6" s="29" customFormat="1" ht="15.75" thickBot="1" x14ac:dyDescent="0.3">
      <c r="A4" s="78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77</v>
      </c>
      <c r="B5" s="32" t="s">
        <v>133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78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62</v>
      </c>
      <c r="B8" s="32" t="s">
        <v>133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2" t="s">
        <v>63</v>
      </c>
      <c r="B11" s="32" t="s">
        <v>133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71</v>
      </c>
      <c r="B14" s="32" t="s">
        <v>133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74</v>
      </c>
      <c r="B17" s="32" t="s">
        <v>133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6" customFormat="1" ht="15.75" thickBot="1" x14ac:dyDescent="0.3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134</v>
      </c>
      <c r="B20" s="21" t="s">
        <v>135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146</v>
      </c>
      <c r="B21" s="21" t="s">
        <v>135</v>
      </c>
    </row>
    <row r="22" spans="1:6" x14ac:dyDescent="0.25">
      <c r="A22" s="27" t="s">
        <v>149</v>
      </c>
      <c r="B22" s="21" t="s">
        <v>135</v>
      </c>
      <c r="C22" s="21">
        <v>6.0000000000000001E-3</v>
      </c>
      <c r="E22" s="21">
        <v>100</v>
      </c>
      <c r="F22" s="138">
        <f>14.2*Ref!$B$18</f>
        <v>5.1119999999999999E-2</v>
      </c>
    </row>
    <row r="23" spans="1:6" s="39" customFormat="1" x14ac:dyDescent="0.25">
      <c r="A23" s="27" t="s">
        <v>150</v>
      </c>
      <c r="B23" s="21" t="s">
        <v>135</v>
      </c>
      <c r="C23" s="21">
        <v>6.0000000000000001E-3</v>
      </c>
      <c r="D23" s="21"/>
      <c r="E23" s="26">
        <v>100</v>
      </c>
      <c r="F23" s="138">
        <f>14.2*Ref!$B$18</f>
        <v>5.1119999999999999E-2</v>
      </c>
    </row>
    <row r="24" spans="1:6" ht="15.75" thickBot="1" x14ac:dyDescent="0.3">
      <c r="A24" s="27" t="s">
        <v>162</v>
      </c>
      <c r="B24" s="27" t="s">
        <v>163</v>
      </c>
      <c r="C24" s="29">
        <v>0.01</v>
      </c>
      <c r="D24" s="37">
        <v>0</v>
      </c>
      <c r="E24" s="29">
        <v>100</v>
      </c>
      <c r="F24" s="29">
        <f>7*Ref!$B$18</f>
        <v>2.52E-2</v>
      </c>
    </row>
    <row r="25" spans="1:6" x14ac:dyDescent="0.25">
      <c r="A25" s="27" t="s">
        <v>172</v>
      </c>
      <c r="B25" s="21" t="s">
        <v>135</v>
      </c>
    </row>
    <row r="26" spans="1:6" x14ac:dyDescent="0.25">
      <c r="A26" s="27" t="s">
        <v>173</v>
      </c>
      <c r="B26" s="21" t="s">
        <v>135</v>
      </c>
    </row>
    <row r="27" spans="1:6" s="39" customFormat="1" x14ac:dyDescent="0.25">
      <c r="A27" s="27" t="s">
        <v>174</v>
      </c>
      <c r="B27" s="27" t="s">
        <v>163</v>
      </c>
      <c r="C27" s="21"/>
      <c r="D27" s="21"/>
    </row>
    <row r="28" spans="1:6" x14ac:dyDescent="0.25">
      <c r="A28" s="27" t="s">
        <v>175</v>
      </c>
      <c r="B28" s="27" t="s">
        <v>163</v>
      </c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7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7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:B24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2" bestFit="1" customWidth="1"/>
    <col min="6" max="6" width="14.28515625" style="107" bestFit="1" customWidth="1"/>
    <col min="7" max="7" width="9.140625" style="21" customWidth="1"/>
    <col min="8" max="8" width="9.140625" style="60" customWidth="1"/>
    <col min="9" max="9" width="16.85546875" style="3" customWidth="1"/>
    <col min="10" max="10" width="14.28515625" style="122" customWidth="1"/>
    <col min="11" max="11" width="8.85546875" style="34"/>
    <col min="12" max="12" width="15.28515625" style="34" customWidth="1"/>
    <col min="13" max="13" width="9.140625" style="111"/>
    <col min="14" max="14" width="8.85546875" style="114"/>
    <col min="16" max="16" width="8.85546875" style="111"/>
    <col min="17" max="18" width="8.85546875" style="103"/>
    <col min="20" max="22" width="8.85546875" style="34"/>
  </cols>
  <sheetData>
    <row r="1" spans="1:23" x14ac:dyDescent="0.25">
      <c r="A1" s="39" t="s">
        <v>0</v>
      </c>
      <c r="B1" s="39" t="s">
        <v>132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140</v>
      </c>
      <c r="H1" s="127" t="s">
        <v>138</v>
      </c>
      <c r="I1" s="3" t="s">
        <v>137</v>
      </c>
      <c r="J1" s="122" t="s">
        <v>123</v>
      </c>
      <c r="K1" s="34" t="s">
        <v>120</v>
      </c>
      <c r="L1" s="34" t="s">
        <v>114</v>
      </c>
      <c r="M1" s="111" t="s">
        <v>121</v>
      </c>
      <c r="N1" s="114" t="s">
        <v>115</v>
      </c>
      <c r="O1" t="s">
        <v>4</v>
      </c>
      <c r="P1" s="111" t="s">
        <v>122</v>
      </c>
      <c r="T1" s="34" t="s">
        <v>95</v>
      </c>
      <c r="U1" s="34" t="s">
        <v>97</v>
      </c>
      <c r="V1" s="34" t="s">
        <v>112</v>
      </c>
      <c r="W1" t="s">
        <v>2</v>
      </c>
    </row>
    <row r="2" spans="1:23" s="2" customFormat="1" x14ac:dyDescent="0.25">
      <c r="A2" s="2" t="s">
        <v>1</v>
      </c>
      <c r="D2" s="2" t="s">
        <v>109</v>
      </c>
      <c r="E2" s="123" t="s">
        <v>107</v>
      </c>
      <c r="G2" s="2" t="s">
        <v>136</v>
      </c>
      <c r="H2" s="96" t="s">
        <v>139</v>
      </c>
      <c r="I2" s="2" t="s">
        <v>141</v>
      </c>
      <c r="J2" s="123" t="s">
        <v>108</v>
      </c>
      <c r="K2" s="96" t="s">
        <v>108</v>
      </c>
      <c r="L2" s="96" t="s">
        <v>108</v>
      </c>
      <c r="M2" s="112" t="s">
        <v>108</v>
      </c>
      <c r="N2" s="115" t="s">
        <v>143</v>
      </c>
      <c r="O2" s="2" t="s">
        <v>98</v>
      </c>
      <c r="P2" s="108" t="s">
        <v>127</v>
      </c>
      <c r="Q2" s="104"/>
      <c r="R2" s="104"/>
      <c r="T2" s="96" t="s">
        <v>96</v>
      </c>
      <c r="U2" s="96" t="s">
        <v>96</v>
      </c>
      <c r="V2" s="96" t="s">
        <v>113</v>
      </c>
    </row>
    <row r="3" spans="1:23" x14ac:dyDescent="0.25">
      <c r="A3" s="48" t="s">
        <v>2</v>
      </c>
      <c r="B3" s="48"/>
      <c r="F3" s="21"/>
      <c r="G3" s="3"/>
      <c r="H3" s="34"/>
      <c r="I3" s="3" t="s">
        <v>142</v>
      </c>
    </row>
    <row r="4" spans="1:23" x14ac:dyDescent="0.25">
      <c r="A4" s="26" t="s">
        <v>110</v>
      </c>
      <c r="B4" s="26"/>
      <c r="C4" t="s">
        <v>119</v>
      </c>
      <c r="D4">
        <v>0</v>
      </c>
      <c r="E4" s="122">
        <f>0.0102+0.10641+2.406035</f>
        <v>2.5226450000000002</v>
      </c>
      <c r="F4" s="21" t="s">
        <v>111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118</v>
      </c>
      <c r="C5" t="s">
        <v>119</v>
      </c>
      <c r="D5">
        <f>13.1*28.6/1000</f>
        <v>0.37466000000000005</v>
      </c>
      <c r="E5" s="122">
        <f>3.7*1.31/1.4</f>
        <v>3.4621428571428576</v>
      </c>
      <c r="F5" s="21" t="s">
        <v>111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5">
      <c r="A6" s="26" t="s">
        <v>116</v>
      </c>
      <c r="B6" s="26"/>
      <c r="C6" t="s">
        <v>119</v>
      </c>
      <c r="D6">
        <v>0</v>
      </c>
      <c r="E6" s="122">
        <f>3.7/1.3</f>
        <v>2.8461538461538463</v>
      </c>
      <c r="F6" s="21" t="s">
        <v>111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124</v>
      </c>
    </row>
    <row r="7" spans="1:23" x14ac:dyDescent="0.25">
      <c r="A7" s="26" t="s">
        <v>117</v>
      </c>
      <c r="B7" s="26"/>
      <c r="C7" t="s">
        <v>119</v>
      </c>
      <c r="D7">
        <v>0</v>
      </c>
      <c r="E7" s="122">
        <f>3.7/1.3</f>
        <v>2.8461538461538463</v>
      </c>
      <c r="F7" s="21" t="s">
        <v>111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124</v>
      </c>
    </row>
    <row r="8" spans="1:23" x14ac:dyDescent="0.25">
      <c r="A8" s="98" t="s">
        <v>125</v>
      </c>
      <c r="B8" s="98"/>
      <c r="C8" t="s">
        <v>119</v>
      </c>
      <c r="D8">
        <v>0</v>
      </c>
      <c r="E8" s="122">
        <f>1/0.364</f>
        <v>2.7472527472527473</v>
      </c>
      <c r="F8" s="21" t="s">
        <v>111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5">
      <c r="A9" s="98" t="s">
        <v>126</v>
      </c>
      <c r="B9" s="98"/>
      <c r="C9" t="s">
        <v>119</v>
      </c>
      <c r="D9">
        <v>0</v>
      </c>
      <c r="E9" s="122">
        <f>1/0.341</f>
        <v>2.9325513196480935</v>
      </c>
      <c r="F9" s="21" t="s">
        <v>111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3">
      <c r="A10" s="29" t="s">
        <v>3</v>
      </c>
      <c r="C10" s="29" t="s">
        <v>119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77</v>
      </c>
      <c r="B11" s="32" t="s">
        <v>133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x14ac:dyDescent="0.25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5.75" thickBot="1" x14ac:dyDescent="0.3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5.75" thickBot="1" x14ac:dyDescent="0.3">
      <c r="A14" s="52" t="s">
        <v>62</v>
      </c>
      <c r="B14" s="32" t="s">
        <v>133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x14ac:dyDescent="0.25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5.75" thickBot="1" x14ac:dyDescent="0.3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5.75" thickBot="1" x14ac:dyDescent="0.3">
      <c r="A17" s="46" t="s">
        <v>63</v>
      </c>
      <c r="B17" s="32" t="s">
        <v>133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x14ac:dyDescent="0.25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5.75" thickBot="1" x14ac:dyDescent="0.3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5.75" thickBot="1" x14ac:dyDescent="0.3">
      <c r="A20" t="s">
        <v>134</v>
      </c>
      <c r="B20" s="21" t="s">
        <v>135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H11" sqref="H11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42578125" style="107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7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132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140</v>
      </c>
      <c r="J1" s="127" t="s">
        <v>138</v>
      </c>
      <c r="K1" s="129" t="s">
        <v>137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5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136</v>
      </c>
      <c r="J2" s="96" t="s">
        <v>139</v>
      </c>
      <c r="K2" s="108" t="s">
        <v>141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5">
      <c r="A3" s="3" t="s">
        <v>2</v>
      </c>
      <c r="F3" s="129"/>
      <c r="J3" s="34"/>
      <c r="K3" s="129" t="s">
        <v>142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144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144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144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71</v>
      </c>
      <c r="B8" s="32" t="s">
        <v>133</v>
      </c>
      <c r="C8" s="39" t="s">
        <v>59</v>
      </c>
      <c r="D8" s="39">
        <v>0</v>
      </c>
      <c r="E8" s="39">
        <v>0</v>
      </c>
      <c r="F8" s="1" t="s">
        <v>145</v>
      </c>
      <c r="G8" s="43">
        <v>1.52</v>
      </c>
      <c r="H8" s="1" t="s">
        <v>144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x14ac:dyDescent="0.25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74</v>
      </c>
      <c r="B11" s="32" t="s">
        <v>133</v>
      </c>
      <c r="C11" s="39" t="s">
        <v>59</v>
      </c>
      <c r="D11" s="39">
        <v>0</v>
      </c>
      <c r="E11" s="39">
        <v>0</v>
      </c>
      <c r="F11" s="1" t="s">
        <v>145</v>
      </c>
      <c r="G11" s="43">
        <v>1.52</v>
      </c>
      <c r="H11" s="1" t="s">
        <v>144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x14ac:dyDescent="0.25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134</v>
      </c>
      <c r="B14" s="21" t="s">
        <v>135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41" sqref="C41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132</v>
      </c>
      <c r="C1" s="47" t="s">
        <v>30</v>
      </c>
      <c r="D1" s="65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5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5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x14ac:dyDescent="0.25">
      <c r="A8" s="32" t="s">
        <v>77</v>
      </c>
      <c r="B8" s="32" t="s">
        <v>133</v>
      </c>
      <c r="C8" s="66">
        <v>0.9</v>
      </c>
      <c r="D8" s="50">
        <f>0.55*Ref!B$18/Ref!$C$12</f>
        <v>1.3869182594347289</v>
      </c>
      <c r="E8" s="67"/>
    </row>
    <row r="9" spans="1:5" s="21" customFormat="1" x14ac:dyDescent="0.25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62</v>
      </c>
      <c r="B11" s="32" t="s">
        <v>133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x14ac:dyDescent="0.25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x14ac:dyDescent="0.25">
      <c r="A14" s="52" t="s">
        <v>63</v>
      </c>
      <c r="B14" s="32" t="s">
        <v>133</v>
      </c>
      <c r="C14" s="20">
        <v>0.9</v>
      </c>
      <c r="D14" s="50">
        <f>0.55*Ref!B$18/Ref!$C$12</f>
        <v>1.3869182594347289</v>
      </c>
      <c r="E14" s="20"/>
    </row>
    <row r="15" spans="1:5" s="21" customFormat="1" x14ac:dyDescent="0.25">
      <c r="A15" s="46" t="s">
        <v>80</v>
      </c>
      <c r="B15" s="25" t="str">
        <f>B14</f>
        <v>steel</v>
      </c>
      <c r="C15" s="23">
        <f>C14</f>
        <v>0.9</v>
      </c>
      <c r="D15" s="23">
        <f>D14</f>
        <v>1.3869182594347289</v>
      </c>
      <c r="E15" s="20"/>
    </row>
    <row r="16" spans="1:5" s="56" customFormat="1" ht="15.75" thickBot="1" x14ac:dyDescent="0.3">
      <c r="A16" s="53" t="s">
        <v>83</v>
      </c>
      <c r="B16" s="30" t="str">
        <f>B14</f>
        <v>steel</v>
      </c>
      <c r="C16" s="54">
        <f>C14</f>
        <v>0.9</v>
      </c>
      <c r="D16" s="54">
        <f>D14</f>
        <v>1.3869182594347289</v>
      </c>
      <c r="E16" s="41"/>
    </row>
    <row r="17" spans="1:5" s="21" customFormat="1" x14ac:dyDescent="0.25">
      <c r="A17" s="21" t="s">
        <v>71</v>
      </c>
      <c r="B17" s="32" t="s">
        <v>133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x14ac:dyDescent="0.25">
      <c r="A20" s="21" t="s">
        <v>74</v>
      </c>
      <c r="B20" s="32" t="s">
        <v>133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5">
      <c r="A23" t="s">
        <v>134</v>
      </c>
      <c r="B23" s="21" t="s">
        <v>135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146</v>
      </c>
      <c r="B24" s="21"/>
      <c r="C24" s="20"/>
      <c r="D24" s="20"/>
      <c r="E24" s="20"/>
    </row>
    <row r="25" spans="1:5" s="21" customFormat="1" x14ac:dyDescent="0.25">
      <c r="A25" s="27" t="s">
        <v>149</v>
      </c>
      <c r="B25" s="21" t="s">
        <v>135</v>
      </c>
      <c r="C25" s="20">
        <v>1</v>
      </c>
      <c r="D25" s="49">
        <f>180*Ref!B$18</f>
        <v>0.64800000000000002</v>
      </c>
      <c r="E25" s="20"/>
    </row>
    <row r="26" spans="1:5" s="21" customFormat="1" x14ac:dyDescent="0.25">
      <c r="A26" s="27" t="s">
        <v>150</v>
      </c>
      <c r="B26" s="21" t="s">
        <v>135</v>
      </c>
      <c r="C26" s="20">
        <v>1</v>
      </c>
      <c r="D26" s="49">
        <f>180*Ref!B$18</f>
        <v>0.64800000000000002</v>
      </c>
      <c r="E26" s="20"/>
    </row>
    <row r="27" spans="1:5" s="21" customFormat="1" x14ac:dyDescent="0.25">
      <c r="A27" s="27" t="s">
        <v>162</v>
      </c>
      <c r="B27" s="27" t="s">
        <v>163</v>
      </c>
      <c r="C27" s="20">
        <v>1</v>
      </c>
      <c r="D27" s="20">
        <f>14/0.028*Ref!B$18</f>
        <v>1.8</v>
      </c>
      <c r="E27" s="20"/>
    </row>
    <row r="28" spans="1:5" s="39" customFormat="1" x14ac:dyDescent="0.25">
      <c r="A28" s="27" t="s">
        <v>172</v>
      </c>
      <c r="B28" s="21" t="s">
        <v>135</v>
      </c>
      <c r="C28" s="23">
        <f>C$4</f>
        <v>0.9</v>
      </c>
      <c r="D28" s="23">
        <f t="shared" ref="D28:D31" si="1">D$4</f>
        <v>1.3869182594347289</v>
      </c>
      <c r="E28" s="20"/>
    </row>
    <row r="29" spans="1:5" s="21" customFormat="1" x14ac:dyDescent="0.25">
      <c r="A29" s="27" t="s">
        <v>173</v>
      </c>
      <c r="B29" s="21" t="s">
        <v>135</v>
      </c>
      <c r="C29" s="23">
        <f t="shared" ref="C29:D31" si="2">C$4</f>
        <v>0.9</v>
      </c>
      <c r="D29" s="23">
        <f t="shared" si="1"/>
        <v>1.3869182594347289</v>
      </c>
      <c r="E29" s="20"/>
    </row>
    <row r="30" spans="1:5" s="21" customFormat="1" x14ac:dyDescent="0.25">
      <c r="A30" s="27" t="s">
        <v>174</v>
      </c>
      <c r="B30" s="27" t="s">
        <v>163</v>
      </c>
      <c r="C30" s="23">
        <f t="shared" si="2"/>
        <v>0.9</v>
      </c>
      <c r="D30" s="23">
        <f t="shared" si="1"/>
        <v>1.3869182594347289</v>
      </c>
      <c r="E30" s="20"/>
    </row>
    <row r="31" spans="1:5" s="21" customFormat="1" x14ac:dyDescent="0.25">
      <c r="A31" s="27" t="s">
        <v>175</v>
      </c>
      <c r="B31" s="27" t="s">
        <v>163</v>
      </c>
      <c r="C31" s="23">
        <f t="shared" si="2"/>
        <v>0.9</v>
      </c>
      <c r="D31" s="23">
        <f t="shared" si="1"/>
        <v>1.3869182594347289</v>
      </c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35" sqref="C35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5" style="20" customWidth="1"/>
    <col min="4" max="4" width="10.8554687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132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5.75" thickBot="1" x14ac:dyDescent="0.3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x14ac:dyDescent="0.25">
      <c r="A8" s="32" t="s">
        <v>77</v>
      </c>
      <c r="B8" s="32" t="s">
        <v>133</v>
      </c>
      <c r="C8" s="61">
        <v>0.56599999999999995</v>
      </c>
      <c r="D8" s="100">
        <v>0</v>
      </c>
      <c r="E8" s="61" t="s">
        <v>59</v>
      </c>
    </row>
    <row r="9" spans="1:11" s="21" customFormat="1" x14ac:dyDescent="0.25">
      <c r="A9" s="25" t="s">
        <v>78</v>
      </c>
      <c r="B9" s="25" t="str">
        <f>B8</f>
        <v>steel</v>
      </c>
      <c r="C9" s="61">
        <v>0.56599999999999995</v>
      </c>
      <c r="D9" s="101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81</v>
      </c>
      <c r="B10" s="30" t="str">
        <f>B8</f>
        <v>steel</v>
      </c>
      <c r="C10" s="62">
        <v>0.56599999999999995</v>
      </c>
      <c r="D10" s="102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62</v>
      </c>
      <c r="B11" s="32" t="s">
        <v>133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x14ac:dyDescent="0.25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2" t="s">
        <v>63</v>
      </c>
      <c r="B14" s="32" t="s">
        <v>133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x14ac:dyDescent="0.25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5.75" thickBot="1" x14ac:dyDescent="0.3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71</v>
      </c>
      <c r="B17" s="32" t="s">
        <v>133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74</v>
      </c>
      <c r="B20" s="32" t="s">
        <v>133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134</v>
      </c>
      <c r="B23" s="21" t="s">
        <v>135</v>
      </c>
      <c r="C23" s="20">
        <f t="shared" ref="C23:E27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146</v>
      </c>
      <c r="B24" s="21" t="s">
        <v>135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A25" s="27" t="s">
        <v>149</v>
      </c>
      <c r="B25" s="21" t="s">
        <v>135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5">
      <c r="A26" s="27" t="s">
        <v>150</v>
      </c>
      <c r="B26" s="21" t="s">
        <v>135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5">
      <c r="A27" s="27" t="s">
        <v>162</v>
      </c>
      <c r="B27" s="27" t="s">
        <v>163</v>
      </c>
      <c r="C27" s="21">
        <f>C6</f>
        <v>0.56599999999999995</v>
      </c>
      <c r="D27" s="20">
        <f t="shared" si="2"/>
        <v>0</v>
      </c>
      <c r="E27" s="47" t="s">
        <v>167</v>
      </c>
      <c r="F27" s="20"/>
      <c r="G27" s="20"/>
      <c r="H27" s="20"/>
      <c r="I27" s="20"/>
      <c r="J27" s="20"/>
      <c r="K27" s="20"/>
    </row>
    <row r="28" spans="1:11" s="39" customFormat="1" x14ac:dyDescent="0.25">
      <c r="A28" s="27" t="s">
        <v>172</v>
      </c>
      <c r="B28" s="21" t="s">
        <v>135</v>
      </c>
      <c r="C28" s="21">
        <f t="shared" ref="C28:C31" si="3">C7</f>
        <v>0.56599999999999995</v>
      </c>
      <c r="D28" s="20">
        <f t="shared" ref="D28" si="4">D9</f>
        <v>0</v>
      </c>
      <c r="E28" s="20" t="str">
        <f t="shared" ref="E28" si="5">E9</f>
        <v>natural gas - IPCC</v>
      </c>
      <c r="F28" s="20"/>
      <c r="G28" s="20"/>
      <c r="H28" s="20"/>
      <c r="I28" s="20"/>
      <c r="J28" s="20"/>
      <c r="K28" s="20"/>
    </row>
    <row r="29" spans="1:11" s="21" customFormat="1" x14ac:dyDescent="0.25">
      <c r="A29" s="27" t="s">
        <v>173</v>
      </c>
      <c r="B29" s="21" t="s">
        <v>135</v>
      </c>
      <c r="C29" s="21">
        <f t="shared" si="3"/>
        <v>0.56599999999999995</v>
      </c>
      <c r="D29" s="20">
        <f t="shared" ref="D29" si="6">D10</f>
        <v>0</v>
      </c>
      <c r="E29" s="20" t="str">
        <f t="shared" ref="E29" si="7">E10</f>
        <v>natural gas - IPCC</v>
      </c>
      <c r="F29" s="20"/>
      <c r="G29" s="20"/>
      <c r="H29" s="20"/>
      <c r="I29" s="20"/>
      <c r="J29" s="20"/>
      <c r="K29" s="20"/>
    </row>
    <row r="30" spans="1:11" s="21" customFormat="1" x14ac:dyDescent="0.25">
      <c r="A30" s="27" t="s">
        <v>174</v>
      </c>
      <c r="B30" s="27" t="s">
        <v>163</v>
      </c>
      <c r="C30" s="21">
        <f t="shared" si="3"/>
        <v>0.56599999999999995</v>
      </c>
      <c r="D30" s="20">
        <v>1</v>
      </c>
      <c r="E30" s="20" t="str">
        <f t="shared" ref="E30" si="8">E11</f>
        <v>natural gas - IPCC</v>
      </c>
      <c r="F30" s="20"/>
      <c r="G30" s="20"/>
      <c r="H30" s="20"/>
      <c r="I30" s="20"/>
      <c r="J30" s="20"/>
      <c r="K30" s="20"/>
    </row>
    <row r="31" spans="1:11" s="21" customFormat="1" x14ac:dyDescent="0.25">
      <c r="A31" s="27" t="s">
        <v>175</v>
      </c>
      <c r="B31" s="27" t="s">
        <v>163</v>
      </c>
      <c r="C31" s="21">
        <f t="shared" si="3"/>
        <v>0.56599999999999995</v>
      </c>
      <c r="D31" s="20">
        <v>1</v>
      </c>
      <c r="E31" s="20" t="str">
        <f t="shared" ref="E31" si="9">E12</f>
        <v>natural gas - IPCC</v>
      </c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1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1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1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31" sqref="G31"/>
    </sheetView>
  </sheetViews>
  <sheetFormatPr defaultColWidth="8.85546875" defaultRowHeight="15" x14ac:dyDescent="0.25"/>
  <cols>
    <col min="1" max="1" width="18.4257812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7" width="15.85546875" style="20" customWidth="1"/>
    <col min="8" max="8" width="15.85546875" style="47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39" t="s">
        <v>0</v>
      </c>
      <c r="B1" s="39" t="s">
        <v>132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5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5">
      <c r="A3" s="48" t="s">
        <v>2</v>
      </c>
      <c r="B3" s="48"/>
    </row>
    <row r="4" spans="1:10" s="29" customFormat="1" ht="15.75" thickBot="1" x14ac:dyDescent="0.3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144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5">
      <c r="A5" s="32" t="s">
        <v>77</v>
      </c>
      <c r="B5" s="32" t="s">
        <v>133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144</v>
      </c>
      <c r="H5" s="64">
        <f>(25.3/4.6668)*Ref!B$18</f>
        <v>1.9516585240421703E-2</v>
      </c>
    </row>
    <row r="6" spans="1:10" x14ac:dyDescent="0.25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144</v>
      </c>
      <c r="H6" s="64">
        <f>H5</f>
        <v>1.9516585240421703E-2</v>
      </c>
      <c r="I6" s="21"/>
      <c r="J6" s="21"/>
    </row>
    <row r="7" spans="1:10" s="29" customFormat="1" ht="15.75" customHeight="1" thickBot="1" x14ac:dyDescent="0.3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144</v>
      </c>
      <c r="H7" s="58">
        <f>H5</f>
        <v>1.9516585240421703E-2</v>
      </c>
    </row>
    <row r="8" spans="1:10" ht="15" customHeight="1" x14ac:dyDescent="0.25">
      <c r="A8" s="32" t="s">
        <v>62</v>
      </c>
      <c r="B8" s="32" t="s">
        <v>133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144</v>
      </c>
      <c r="H8" s="64">
        <f>(25.3/4.6668)*Ref!B$18</f>
        <v>1.9516585240421703E-2</v>
      </c>
    </row>
    <row r="9" spans="1:10" s="39" customFormat="1" x14ac:dyDescent="0.25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144</v>
      </c>
      <c r="H9" s="64">
        <f>H8</f>
        <v>1.9516585240421703E-2</v>
      </c>
      <c r="I9" s="20"/>
      <c r="J9" s="20"/>
    </row>
    <row r="10" spans="1:10" s="29" customFormat="1" ht="15.75" thickBot="1" x14ac:dyDescent="0.3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144</v>
      </c>
      <c r="H10" s="58">
        <f>H8</f>
        <v>1.9516585240421703E-2</v>
      </c>
      <c r="I10" s="41"/>
      <c r="J10" s="41"/>
    </row>
    <row r="11" spans="1:10" x14ac:dyDescent="0.25">
      <c r="A11" s="52" t="s">
        <v>63</v>
      </c>
      <c r="B11" s="32" t="s">
        <v>133</v>
      </c>
      <c r="C11" s="69">
        <v>0.9</v>
      </c>
      <c r="D11" s="92">
        <v>0</v>
      </c>
      <c r="E11" s="39" t="s">
        <v>59</v>
      </c>
      <c r="F11" s="39">
        <v>0</v>
      </c>
      <c r="G11" t="s">
        <v>144</v>
      </c>
      <c r="H11" s="64">
        <f>(25.3/4.6668)*Ref!B$18</f>
        <v>1.9516585240421703E-2</v>
      </c>
    </row>
    <row r="12" spans="1:10" ht="16.5" customHeight="1" x14ac:dyDescent="0.25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144</v>
      </c>
      <c r="H12" s="64">
        <f>H11</f>
        <v>1.9516585240421703E-2</v>
      </c>
    </row>
    <row r="13" spans="1:10" s="56" customFormat="1" ht="15.75" thickBot="1" x14ac:dyDescent="0.3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144</v>
      </c>
      <c r="H13" s="58">
        <f>H11</f>
        <v>1.9516585240421703E-2</v>
      </c>
      <c r="I13" s="41"/>
      <c r="J13" s="41"/>
    </row>
    <row r="14" spans="1:10" x14ac:dyDescent="0.25">
      <c r="A14" s="21" t="s">
        <v>71</v>
      </c>
      <c r="B14" s="32" t="s">
        <v>133</v>
      </c>
      <c r="C14" s="69">
        <v>0.9</v>
      </c>
      <c r="D14" s="93">
        <v>0</v>
      </c>
      <c r="E14" s="39" t="s">
        <v>59</v>
      </c>
      <c r="F14" s="39">
        <v>0</v>
      </c>
      <c r="G14" t="s">
        <v>144</v>
      </c>
      <c r="H14" s="64">
        <f>(25.3/4.6668)*Ref!B$18</f>
        <v>1.9516585240421703E-2</v>
      </c>
      <c r="I14" s="21"/>
      <c r="J14" s="21"/>
    </row>
    <row r="15" spans="1:10" x14ac:dyDescent="0.25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144</v>
      </c>
      <c r="H15" s="64">
        <f>H14</f>
        <v>1.9516585240421703E-2</v>
      </c>
    </row>
    <row r="16" spans="1:10" s="29" customFormat="1" ht="15.75" thickBot="1" x14ac:dyDescent="0.3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144</v>
      </c>
      <c r="H16" s="58">
        <f>H14</f>
        <v>1.9516585240421703E-2</v>
      </c>
      <c r="I16" s="41"/>
      <c r="J16" s="41"/>
    </row>
    <row r="17" spans="1:10" s="39" customFormat="1" x14ac:dyDescent="0.25">
      <c r="A17" s="21" t="s">
        <v>74</v>
      </c>
      <c r="B17" s="32" t="s">
        <v>133</v>
      </c>
      <c r="C17" s="69">
        <v>0.9</v>
      </c>
      <c r="D17" s="93">
        <v>0</v>
      </c>
      <c r="E17" s="39" t="s">
        <v>59</v>
      </c>
      <c r="F17" s="39">
        <v>0</v>
      </c>
      <c r="G17" t="s">
        <v>144</v>
      </c>
      <c r="H17" s="64">
        <f>(25.3/4.6668)*Ref!B$18</f>
        <v>1.9516585240421703E-2</v>
      </c>
      <c r="I17" s="20"/>
      <c r="J17" s="20"/>
    </row>
    <row r="18" spans="1:10" x14ac:dyDescent="0.25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144</v>
      </c>
      <c r="H18" s="64">
        <f>H17</f>
        <v>1.9516585240421703E-2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144</v>
      </c>
      <c r="H19" s="58">
        <f>H17</f>
        <v>1.9516585240421703E-2</v>
      </c>
      <c r="I19" s="41"/>
      <c r="J19" s="41"/>
    </row>
    <row r="20" spans="1:10" x14ac:dyDescent="0.25">
      <c r="A20" t="s">
        <v>134</v>
      </c>
      <c r="B20" s="21" t="s">
        <v>135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5">
      <c r="A21" s="27" t="s">
        <v>149</v>
      </c>
      <c r="B21" s="21" t="s">
        <v>135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5">
      <c r="A22" s="27" t="s">
        <v>150</v>
      </c>
      <c r="B22" s="21" t="s">
        <v>135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5">
      <c r="A23" s="27" t="s">
        <v>162</v>
      </c>
      <c r="B23" s="27" t="s">
        <v>163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4" spans="1:10" x14ac:dyDescent="0.25">
      <c r="A24" s="27" t="s">
        <v>172</v>
      </c>
      <c r="B24" s="21" t="s">
        <v>135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5">
      <c r="A25" s="27" t="s">
        <v>173</v>
      </c>
      <c r="B25" s="21" t="s">
        <v>135</v>
      </c>
      <c r="C25" s="10">
        <f t="shared" ref="C25:H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5">
      <c r="A26" s="27" t="s">
        <v>174</v>
      </c>
      <c r="B26" s="27" t="s">
        <v>163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5">
      <c r="A27" s="27" t="s">
        <v>175</v>
      </c>
      <c r="B27" s="27" t="s">
        <v>163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31" sqref="D31"/>
    </sheetView>
  </sheetViews>
  <sheetFormatPr defaultRowHeight="15" x14ac:dyDescent="0.25"/>
  <cols>
    <col min="2" max="2" width="13.7109375" bestFit="1" customWidth="1"/>
    <col min="3" max="3" width="17.85546875" bestFit="1" customWidth="1"/>
    <col min="4" max="4" width="13.140625" bestFit="1" customWidth="1"/>
    <col min="5" max="5" width="11.85546875" bestFit="1" customWidth="1"/>
    <col min="6" max="6" width="14.85546875" bestFit="1" customWidth="1"/>
    <col min="7" max="7" width="14.85546875" customWidth="1"/>
  </cols>
  <sheetData>
    <row r="1" spans="1:9" s="21" customFormat="1" x14ac:dyDescent="0.25">
      <c r="A1" s="39" t="s">
        <v>0</v>
      </c>
      <c r="B1" s="39" t="s">
        <v>132</v>
      </c>
      <c r="C1" s="26" t="s">
        <v>6</v>
      </c>
      <c r="D1" s="26" t="s">
        <v>168</v>
      </c>
      <c r="E1" s="26" t="s">
        <v>169</v>
      </c>
      <c r="F1" s="98" t="s">
        <v>170</v>
      </c>
      <c r="G1" s="98" t="s">
        <v>171</v>
      </c>
      <c r="H1" s="39" t="s">
        <v>2</v>
      </c>
      <c r="I1" s="39" t="s">
        <v>60</v>
      </c>
    </row>
    <row r="2" spans="1:9" x14ac:dyDescent="0.25">
      <c r="A2" s="48" t="s">
        <v>1</v>
      </c>
    </row>
    <row r="3" spans="1:9" x14ac:dyDescent="0.25">
      <c r="A3" s="48" t="s">
        <v>2</v>
      </c>
    </row>
    <row r="4" spans="1:9" x14ac:dyDescent="0.25">
      <c r="A4" t="s">
        <v>3</v>
      </c>
    </row>
    <row r="5" spans="1:9" x14ac:dyDescent="0.25">
      <c r="A5" t="s">
        <v>162</v>
      </c>
      <c r="B5" t="s">
        <v>163</v>
      </c>
      <c r="C5">
        <f>29/(8.98+6.499+1.036+0.048+1.2)*Ref!B$18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  <row r="6" spans="1:9" x14ac:dyDescent="0.25">
      <c r="A6" s="27" t="s">
        <v>174</v>
      </c>
      <c r="B6" s="27" t="s">
        <v>163</v>
      </c>
      <c r="C6" s="141">
        <f>29/(8.98+6.499+1.036+0.048+1.2)*Ref!B$18</f>
        <v>5.8773855767606832E-3</v>
      </c>
      <c r="D6" s="141">
        <f t="shared" ref="D6:D7" si="0">0.5/17763</f>
        <v>2.8148398356133537E-5</v>
      </c>
      <c r="E6" s="141">
        <f t="shared" ref="E6:G7" si="1">0.1/17763</f>
        <v>5.6296796712267076E-6</v>
      </c>
      <c r="F6" s="141">
        <f t="shared" si="1"/>
        <v>5.6296796712267076E-6</v>
      </c>
      <c r="G6" s="141">
        <f t="shared" si="1"/>
        <v>5.6296796712267076E-6</v>
      </c>
    </row>
    <row r="7" spans="1:9" x14ac:dyDescent="0.25">
      <c r="A7" s="27" t="s">
        <v>175</v>
      </c>
      <c r="B7" s="27" t="s">
        <v>163</v>
      </c>
      <c r="C7" s="141">
        <f>29/(8.98+6.499+1.036+0.048+1.2)*Ref!B$18</f>
        <v>5.8773855767606832E-3</v>
      </c>
      <c r="D7" s="141">
        <f t="shared" si="0"/>
        <v>2.8148398356133537E-5</v>
      </c>
      <c r="E7" s="141">
        <f t="shared" si="1"/>
        <v>5.6296796712267076E-6</v>
      </c>
      <c r="F7" s="141">
        <f t="shared" si="1"/>
        <v>5.6296796712267076E-6</v>
      </c>
      <c r="G7" s="141">
        <f t="shared" si="1"/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4" sqref="F34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13.85546875" style="21" customWidth="1"/>
    <col min="7" max="7" width="14.42578125" style="21" customWidth="1"/>
    <col min="8" max="8" width="15.42578125" style="65" bestFit="1" customWidth="1"/>
    <col min="9" max="9" width="15.42578125" style="65" customWidth="1"/>
    <col min="10" max="16384" width="8.85546875" style="21"/>
  </cols>
  <sheetData>
    <row r="1" spans="1:10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147</v>
      </c>
      <c r="H1" s="71" t="s">
        <v>65</v>
      </c>
      <c r="I1" s="71" t="s">
        <v>151</v>
      </c>
      <c r="J1" s="71" t="s">
        <v>47</v>
      </c>
    </row>
    <row r="2" spans="1:10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152</v>
      </c>
      <c r="J2" s="75"/>
    </row>
    <row r="3" spans="1:10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5.75" thickBot="1" x14ac:dyDescent="0.3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43">
        <f>3.7667/1.243</f>
        <v>3.0303298471440061</v>
      </c>
      <c r="G4" s="21" t="s">
        <v>148</v>
      </c>
      <c r="H4" s="22">
        <f>0.001</f>
        <v>1E-3</v>
      </c>
      <c r="I4" s="28"/>
      <c r="J4" s="80"/>
    </row>
    <row r="5" spans="1:10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148</v>
      </c>
      <c r="H5" s="22">
        <f>0.001</f>
        <v>1E-3</v>
      </c>
      <c r="I5" s="22"/>
      <c r="J5" s="74"/>
    </row>
    <row r="6" spans="1:10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x14ac:dyDescent="0.25">
      <c r="A8" s="59" t="s">
        <v>62</v>
      </c>
      <c r="B8" s="32" t="s">
        <v>133</v>
      </c>
      <c r="C8" s="76">
        <v>1</v>
      </c>
      <c r="D8" s="76">
        <v>0.9</v>
      </c>
      <c r="E8" s="43">
        <v>0.62</v>
      </c>
      <c r="F8" s="76">
        <v>0</v>
      </c>
      <c r="G8" s="21" t="s">
        <v>148</v>
      </c>
      <c r="H8" s="22">
        <f>0.001</f>
        <v>1E-3</v>
      </c>
      <c r="I8" s="22"/>
      <c r="J8" s="77"/>
    </row>
    <row r="9" spans="1:10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148</v>
      </c>
      <c r="H11" s="50">
        <v>0</v>
      </c>
      <c r="I11" s="50"/>
      <c r="J11" s="21" t="s">
        <v>104</v>
      </c>
    </row>
    <row r="12" spans="1:10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148</v>
      </c>
      <c r="H14" s="22">
        <f>0.001</f>
        <v>1E-3</v>
      </c>
      <c r="I14" s="22"/>
      <c r="J14" s="74" t="s">
        <v>130</v>
      </c>
    </row>
    <row r="15" spans="1:10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x14ac:dyDescent="0.25">
      <c r="A17" s="21" t="s">
        <v>74</v>
      </c>
      <c r="B17" s="32" t="s">
        <v>133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148</v>
      </c>
      <c r="H17" s="39">
        <v>0</v>
      </c>
      <c r="J17" s="21" t="s">
        <v>106</v>
      </c>
    </row>
    <row r="18" spans="1:10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106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106</v>
      </c>
    </row>
    <row r="20" spans="1:10" x14ac:dyDescent="0.25">
      <c r="A20" t="s">
        <v>134</v>
      </c>
      <c r="B20" s="21" t="s">
        <v>135</v>
      </c>
      <c r="C20" s="21">
        <f>C4</f>
        <v>1</v>
      </c>
      <c r="D20" s="21">
        <f t="shared" ref="D20:H23" si="10">D4</f>
        <v>0.9</v>
      </c>
      <c r="E20" s="21">
        <f t="shared" si="10"/>
        <v>0.48868632707774806</v>
      </c>
      <c r="F20" s="21">
        <f t="shared" si="10"/>
        <v>3.0303298471440061</v>
      </c>
      <c r="G20" s="21" t="s">
        <v>148</v>
      </c>
      <c r="H20" s="21">
        <f t="shared" si="10"/>
        <v>1E-3</v>
      </c>
      <c r="I20" s="21"/>
    </row>
    <row r="21" spans="1:10" s="39" customFormat="1" x14ac:dyDescent="0.25">
      <c r="A21" s="21" t="s">
        <v>146</v>
      </c>
      <c r="B21" s="21"/>
      <c r="C21" s="21"/>
      <c r="D21" s="21"/>
      <c r="E21" s="21"/>
      <c r="F21" s="21"/>
      <c r="G21" s="21" t="s">
        <v>148</v>
      </c>
      <c r="H21" s="65"/>
      <c r="I21" s="65"/>
      <c r="J21" s="21"/>
    </row>
    <row r="22" spans="1:10" x14ac:dyDescent="0.25">
      <c r="A22" s="27" t="s">
        <v>149</v>
      </c>
      <c r="B22" s="21" t="s">
        <v>135</v>
      </c>
      <c r="C22" s="21">
        <f>C6</f>
        <v>1</v>
      </c>
      <c r="D22" s="21">
        <f t="shared" si="10"/>
        <v>0.9</v>
      </c>
      <c r="E22" s="21">
        <f t="shared" si="10"/>
        <v>0.48868632707774806</v>
      </c>
      <c r="F22" s="21">
        <f t="shared" si="10"/>
        <v>3.0303298471440061</v>
      </c>
      <c r="G22" s="21" t="s">
        <v>148</v>
      </c>
      <c r="H22" s="21">
        <f t="shared" si="10"/>
        <v>1E-3</v>
      </c>
      <c r="I22" s="21"/>
    </row>
    <row r="23" spans="1:10" x14ac:dyDescent="0.25">
      <c r="A23" s="27" t="s">
        <v>150</v>
      </c>
      <c r="B23" s="21" t="s">
        <v>135</v>
      </c>
      <c r="C23" s="21">
        <f>C7</f>
        <v>1</v>
      </c>
      <c r="D23" s="21">
        <f t="shared" si="10"/>
        <v>0.9</v>
      </c>
      <c r="E23" s="21">
        <f t="shared" si="10"/>
        <v>0.48868632707774806</v>
      </c>
      <c r="F23" s="21">
        <f t="shared" si="10"/>
        <v>3.0303298471440061</v>
      </c>
      <c r="G23" s="21" t="s">
        <v>148</v>
      </c>
      <c r="H23" s="21">
        <f t="shared" si="10"/>
        <v>1E-3</v>
      </c>
      <c r="I23" s="21"/>
    </row>
    <row r="24" spans="1:10" x14ac:dyDescent="0.25">
      <c r="A24" s="27" t="s">
        <v>162</v>
      </c>
      <c r="B24" s="27" t="s">
        <v>163</v>
      </c>
      <c r="C24" s="21">
        <v>1</v>
      </c>
      <c r="D24" s="21">
        <v>0.9</v>
      </c>
      <c r="E24" s="21">
        <f>1.26/64.2</f>
        <v>1.9626168224299065E-2</v>
      </c>
      <c r="F24" s="21">
        <v>3.2</v>
      </c>
      <c r="G24" s="27" t="s">
        <v>148</v>
      </c>
      <c r="H24" s="26">
        <f>0.077/64.2</f>
        <v>1.1993769470404984E-3</v>
      </c>
    </row>
    <row r="25" spans="1:10" s="39" customFormat="1" x14ac:dyDescent="0.25">
      <c r="A25" s="27" t="s">
        <v>172</v>
      </c>
      <c r="B25" s="21" t="s">
        <v>135</v>
      </c>
      <c r="C25" s="21">
        <f>C$4</f>
        <v>1</v>
      </c>
      <c r="D25" s="21">
        <f t="shared" ref="D25:F28" si="11">D$4</f>
        <v>0.9</v>
      </c>
      <c r="E25" s="21">
        <f t="shared" si="11"/>
        <v>0.48868632707774806</v>
      </c>
      <c r="F25" s="21">
        <f t="shared" si="11"/>
        <v>3.0303298471440061</v>
      </c>
      <c r="G25" s="21" t="str">
        <f t="shared" ref="G25:H28" si="12">G$4</f>
        <v>MEA</v>
      </c>
      <c r="H25" s="21">
        <f t="shared" si="12"/>
        <v>1E-3</v>
      </c>
      <c r="I25" s="65"/>
      <c r="J25" s="21"/>
    </row>
    <row r="26" spans="1:10" x14ac:dyDescent="0.25">
      <c r="A26" s="27" t="s">
        <v>173</v>
      </c>
      <c r="B26" s="21" t="s">
        <v>135</v>
      </c>
      <c r="C26" s="21">
        <f t="shared" ref="C26:C28" si="13">C$4</f>
        <v>1</v>
      </c>
      <c r="D26" s="21">
        <f t="shared" si="11"/>
        <v>0.9</v>
      </c>
      <c r="E26" s="21">
        <f t="shared" si="11"/>
        <v>0.48868632707774806</v>
      </c>
      <c r="F26" s="21">
        <f t="shared" si="11"/>
        <v>3.0303298471440061</v>
      </c>
      <c r="G26" s="21" t="str">
        <f t="shared" si="12"/>
        <v>MEA</v>
      </c>
      <c r="H26" s="21">
        <f t="shared" si="12"/>
        <v>1E-3</v>
      </c>
    </row>
    <row r="27" spans="1:10" x14ac:dyDescent="0.25">
      <c r="A27" s="27" t="s">
        <v>174</v>
      </c>
      <c r="B27" s="27" t="s">
        <v>163</v>
      </c>
      <c r="C27" s="21">
        <f t="shared" si="13"/>
        <v>1</v>
      </c>
      <c r="D27" s="21">
        <f t="shared" si="11"/>
        <v>0.9</v>
      </c>
      <c r="E27" s="21">
        <f t="shared" si="11"/>
        <v>0.48868632707774806</v>
      </c>
      <c r="F27" s="21">
        <v>3.2</v>
      </c>
      <c r="G27" s="21" t="str">
        <f t="shared" si="12"/>
        <v>MEA</v>
      </c>
      <c r="H27" s="21">
        <f t="shared" si="12"/>
        <v>1E-3</v>
      </c>
    </row>
    <row r="28" spans="1:10" x14ac:dyDescent="0.25">
      <c r="A28" s="27" t="s">
        <v>175</v>
      </c>
      <c r="B28" s="27" t="s">
        <v>163</v>
      </c>
      <c r="C28" s="21">
        <f t="shared" si="13"/>
        <v>1</v>
      </c>
      <c r="D28" s="21">
        <f t="shared" si="11"/>
        <v>0.9</v>
      </c>
      <c r="E28" s="21">
        <f t="shared" si="11"/>
        <v>0.48868632707774806</v>
      </c>
      <c r="F28" s="21">
        <v>3.2</v>
      </c>
      <c r="G28" s="21" t="str">
        <f t="shared" si="12"/>
        <v>MEA</v>
      </c>
      <c r="H28" s="21">
        <f t="shared" si="12"/>
        <v>1E-3</v>
      </c>
    </row>
    <row r="33" spans="1:10" s="77" customFormat="1" x14ac:dyDescent="0.25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5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23" style="21" bestFit="1" customWidth="1"/>
    <col min="7" max="7" width="15.42578125" style="65" customWidth="1"/>
    <col min="8" max="8" width="15.140625" style="21" bestFit="1" customWidth="1"/>
    <col min="9" max="9" width="18" style="21" bestFit="1" customWidth="1"/>
    <col min="10" max="10" width="18" style="21" customWidth="1"/>
    <col min="11" max="11" width="15.42578125" style="65" customWidth="1"/>
    <col min="13" max="16384" width="8.85546875" style="21"/>
  </cols>
  <sheetData>
    <row r="1" spans="1:13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155</v>
      </c>
      <c r="G1" s="71" t="s">
        <v>153</v>
      </c>
      <c r="H1" s="71" t="s">
        <v>156</v>
      </c>
      <c r="I1" s="71" t="s">
        <v>157</v>
      </c>
      <c r="J1" s="71" t="s">
        <v>158</v>
      </c>
      <c r="K1" s="71" t="s">
        <v>151</v>
      </c>
      <c r="M1" s="71" t="s">
        <v>47</v>
      </c>
    </row>
    <row r="2" spans="1:13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160</v>
      </c>
      <c r="G2" s="74" t="s">
        <v>160</v>
      </c>
      <c r="H2" s="74"/>
      <c r="I2" s="74"/>
      <c r="J2" s="74"/>
      <c r="K2" s="74" t="s">
        <v>161</v>
      </c>
      <c r="M2" s="75"/>
    </row>
    <row r="3" spans="1:13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154</v>
      </c>
      <c r="H3" s="75"/>
      <c r="I3" s="75"/>
      <c r="J3" s="75"/>
      <c r="K3" s="83"/>
      <c r="M3" s="75"/>
    </row>
    <row r="4" spans="1:13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5">
      <c r="A5" s="27" t="s">
        <v>149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159</v>
      </c>
      <c r="I5" s="10">
        <v>0</v>
      </c>
      <c r="J5" s="3" t="s">
        <v>144</v>
      </c>
      <c r="K5" s="65">
        <f>0.49/1.43</f>
        <v>0.34265734265734266</v>
      </c>
    </row>
    <row r="6" spans="1:13" x14ac:dyDescent="0.25">
      <c r="A6" s="27" t="s">
        <v>150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159</v>
      </c>
      <c r="I6" s="10">
        <v>1</v>
      </c>
      <c r="J6" s="3" t="s">
        <v>144</v>
      </c>
      <c r="K6" s="26">
        <f>0.34/1.23</f>
        <v>0.27642276422764228</v>
      </c>
    </row>
    <row r="7" spans="1:13" x14ac:dyDescent="0.25">
      <c r="A7" s="27" t="s">
        <v>172</v>
      </c>
      <c r="B7" s="21" t="s">
        <v>135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5">
        <f>0.22/(0.74/0.85)</f>
        <v>0.25270270270270268</v>
      </c>
      <c r="H7" t="s">
        <v>159</v>
      </c>
      <c r="I7" s="10">
        <v>0</v>
      </c>
      <c r="J7" s="3" t="s">
        <v>144</v>
      </c>
      <c r="K7" s="65">
        <f>0.49/1.43</f>
        <v>0.34265734265734266</v>
      </c>
    </row>
    <row r="8" spans="1:13" s="39" customFormat="1" x14ac:dyDescent="0.25">
      <c r="A8" s="27" t="s">
        <v>173</v>
      </c>
      <c r="B8" s="21" t="s">
        <v>135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5">
        <f>0.09/(0.74/0.85)</f>
        <v>0.10337837837837838</v>
      </c>
      <c r="H8" t="s">
        <v>159</v>
      </c>
      <c r="I8" s="10">
        <v>1</v>
      </c>
      <c r="J8" s="3" t="s">
        <v>144</v>
      </c>
      <c r="K8" s="26">
        <f>0.34/1.23</f>
        <v>0.27642276422764228</v>
      </c>
      <c r="M8" s="21"/>
    </row>
    <row r="9" spans="1:13" x14ac:dyDescent="0.25">
      <c r="A9" s="27"/>
      <c r="B9" s="27"/>
    </row>
    <row r="10" spans="1:13" x14ac:dyDescent="0.25">
      <c r="A10" s="27"/>
      <c r="B10" s="27"/>
    </row>
    <row r="16" spans="1:13" s="77" customFormat="1" x14ac:dyDescent="0.25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5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Lime</vt:lpstr>
      <vt:lpstr>Charcoal</vt:lpstr>
      <vt:lpstr>Syngas</vt:lpstr>
      <vt:lpstr>Oxygen</vt:lpstr>
      <vt:lpstr>Electricity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2020-02-26T13:54:35Z</dcterms:modified>
</cp:coreProperties>
</file>