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Tanzer/GitHub/BlackBlox/data/steel/"/>
    </mc:Choice>
  </mc:AlternateContent>
  <xr:revisionPtr revIDLastSave="0" documentId="13_ncr:1_{F2FE402C-5096-1444-8AD0-79DF67C1F3CA}" xr6:coauthVersionLast="43" xr6:coauthVersionMax="43" xr10:uidLastSave="{00000000-0000-0000-0000-000000000000}"/>
  <bookViews>
    <workbookView xWindow="300" yWindow="460" windowWidth="27500" windowHeight="17540" tabRatio="598" activeTab="4" xr2:uid="{00000000-000D-0000-FFFF-FFFF00000000}"/>
  </bookViews>
  <sheets>
    <sheet name="Coke" sheetId="17" r:id="rId1"/>
    <sheet name="Lime" sheetId="2" r:id="rId2"/>
    <sheet name="Pellets" sheetId="3" r:id="rId3"/>
    <sheet name="Sinter" sheetId="4" r:id="rId4"/>
    <sheet name="Iron" sheetId="15" r:id="rId5"/>
    <sheet name="Steel" sheetId="6" r:id="rId6"/>
    <sheet name="Oxygen" sheetId="8" r:id="rId7"/>
    <sheet name="Electricity" sheetId="9" r:id="rId8"/>
    <sheet name="Heat" sheetId="18" r:id="rId9"/>
    <sheet name="CO2 Capture" sheetId="12" r:id="rId10"/>
    <sheet name="CO2 Storage" sheetId="13" r:id="rId11"/>
    <sheet name="Fuel" sheetId="10" r:id="rId12"/>
    <sheet name="EAF" sheetId="16" r:id="rId13"/>
    <sheet name="Ref" sheetId="7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6" i="4" l="1"/>
  <c r="G65" i="4"/>
  <c r="G64" i="4"/>
  <c r="F66" i="4"/>
  <c r="F65" i="4"/>
  <c r="F64" i="4"/>
  <c r="E66" i="4"/>
  <c r="E65" i="4"/>
  <c r="E64" i="4"/>
  <c r="C66" i="4"/>
  <c r="C65" i="4"/>
  <c r="C64" i="4"/>
  <c r="B66" i="4"/>
  <c r="B65" i="4"/>
  <c r="B64" i="4"/>
  <c r="B62" i="4"/>
  <c r="B61" i="4"/>
  <c r="B60" i="4"/>
  <c r="C62" i="4"/>
  <c r="C61" i="4"/>
  <c r="C60" i="4"/>
  <c r="E62" i="4"/>
  <c r="E61" i="4"/>
  <c r="E60" i="4"/>
  <c r="F62" i="4"/>
  <c r="F61" i="4"/>
  <c r="F60" i="4"/>
  <c r="G62" i="4"/>
  <c r="G61" i="4"/>
  <c r="G60" i="4"/>
  <c r="G58" i="4"/>
  <c r="G57" i="4"/>
  <c r="G56" i="4"/>
  <c r="F58" i="4"/>
  <c r="F57" i="4"/>
  <c r="F56" i="4"/>
  <c r="E58" i="4"/>
  <c r="E57" i="4"/>
  <c r="E56" i="4"/>
  <c r="C58" i="4"/>
  <c r="C57" i="4"/>
  <c r="C56" i="4"/>
  <c r="B58" i="4"/>
  <c r="B57" i="4"/>
  <c r="B56" i="4"/>
  <c r="G54" i="4"/>
  <c r="F54" i="4"/>
  <c r="E54" i="4"/>
  <c r="C54" i="4"/>
  <c r="B54" i="4"/>
  <c r="G53" i="4"/>
  <c r="F53" i="4"/>
  <c r="E53" i="4"/>
  <c r="C53" i="4"/>
  <c r="B53" i="4"/>
  <c r="G52" i="4"/>
  <c r="F52" i="4"/>
  <c r="E52" i="4"/>
  <c r="D52" i="4"/>
  <c r="C52" i="4"/>
  <c r="B52" i="4"/>
  <c r="D64" i="4"/>
  <c r="D56" i="4"/>
  <c r="D60" i="4"/>
  <c r="F63" i="4"/>
  <c r="B63" i="4"/>
  <c r="G56" i="3"/>
  <c r="G55" i="3"/>
  <c r="G54" i="3"/>
  <c r="F56" i="3"/>
  <c r="F55" i="3"/>
  <c r="F54" i="3"/>
  <c r="E56" i="3"/>
  <c r="E55" i="3"/>
  <c r="E54" i="3"/>
  <c r="C56" i="3"/>
  <c r="C55" i="3"/>
  <c r="C54" i="3"/>
  <c r="D50" i="3"/>
  <c r="D54" i="3"/>
  <c r="D62" i="3"/>
  <c r="G60" i="3"/>
  <c r="G59" i="3"/>
  <c r="G58" i="3"/>
  <c r="F60" i="3"/>
  <c r="F59" i="3"/>
  <c r="F58" i="3"/>
  <c r="E60" i="3"/>
  <c r="E59" i="3"/>
  <c r="E58" i="3"/>
  <c r="C60" i="3"/>
  <c r="C59" i="3"/>
  <c r="C58" i="3"/>
  <c r="B64" i="3"/>
  <c r="B63" i="3"/>
  <c r="B62" i="3"/>
  <c r="C64" i="3"/>
  <c r="C63" i="3"/>
  <c r="C62" i="3"/>
  <c r="E64" i="3"/>
  <c r="E63" i="3"/>
  <c r="E62" i="3"/>
  <c r="G64" i="3"/>
  <c r="G63" i="3"/>
  <c r="G62" i="3"/>
  <c r="F64" i="3"/>
  <c r="F63" i="3"/>
  <c r="F62" i="3"/>
  <c r="D58" i="3"/>
  <c r="G30" i="3"/>
  <c r="F30" i="3"/>
  <c r="D30" i="3"/>
  <c r="C30" i="3"/>
  <c r="B30" i="3"/>
  <c r="C65" i="2"/>
  <c r="C64" i="2"/>
  <c r="C63" i="2"/>
  <c r="B65" i="2"/>
  <c r="B64" i="2"/>
  <c r="B63" i="2"/>
  <c r="C61" i="2"/>
  <c r="C60" i="2"/>
  <c r="C59" i="2"/>
  <c r="B61" i="2"/>
  <c r="B60" i="2"/>
  <c r="B59" i="2"/>
  <c r="C57" i="2"/>
  <c r="C56" i="2"/>
  <c r="C55" i="2"/>
  <c r="B57" i="2"/>
  <c r="B56" i="2"/>
  <c r="B55" i="2"/>
  <c r="C53" i="2"/>
  <c r="C52" i="2"/>
  <c r="C51" i="2"/>
  <c r="B53" i="2"/>
  <c r="B52" i="2"/>
  <c r="B51" i="2"/>
  <c r="D40" i="17"/>
  <c r="D39" i="17"/>
  <c r="D38" i="17"/>
  <c r="C40" i="17"/>
  <c r="C39" i="17"/>
  <c r="C38" i="17"/>
  <c r="B40" i="17"/>
  <c r="B39" i="17"/>
  <c r="B38" i="17"/>
  <c r="D36" i="17"/>
  <c r="D35" i="17"/>
  <c r="D34" i="17"/>
  <c r="D37" i="17" s="1"/>
  <c r="C33" i="17"/>
  <c r="C36" i="17" s="1"/>
  <c r="D32" i="17"/>
  <c r="D31" i="17"/>
  <c r="D30" i="17"/>
  <c r="D29" i="17"/>
  <c r="C32" i="17"/>
  <c r="C31" i="17"/>
  <c r="C30" i="17"/>
  <c r="C29" i="17"/>
  <c r="D66" i="17"/>
  <c r="D67" i="17" s="1"/>
  <c r="D68" i="17" s="1"/>
  <c r="C66" i="17"/>
  <c r="C67" i="17" s="1"/>
  <c r="C68" i="17" s="1"/>
  <c r="B66" i="17"/>
  <c r="B67" i="17" s="1"/>
  <c r="B68" i="17" s="1"/>
  <c r="F56" i="17"/>
  <c r="C56" i="17"/>
  <c r="F55" i="17"/>
  <c r="C55" i="17"/>
  <c r="F54" i="17"/>
  <c r="C54" i="17"/>
  <c r="F64" i="17"/>
  <c r="F63" i="17"/>
  <c r="F62" i="17"/>
  <c r="D64" i="17"/>
  <c r="D63" i="17"/>
  <c r="D62" i="17"/>
  <c r="C64" i="17"/>
  <c r="C63" i="17"/>
  <c r="C62" i="17"/>
  <c r="D58" i="17"/>
  <c r="D59" i="17" s="1"/>
  <c r="D60" i="17" s="1"/>
  <c r="C58" i="17"/>
  <c r="C59" i="17" s="1"/>
  <c r="C60" i="17" s="1"/>
  <c r="B58" i="17"/>
  <c r="B59" i="17" s="1"/>
  <c r="B60" i="17" s="1"/>
  <c r="F44" i="17"/>
  <c r="F43" i="17"/>
  <c r="F42" i="17"/>
  <c r="D44" i="17"/>
  <c r="D43" i="17"/>
  <c r="D42" i="17"/>
  <c r="C44" i="17"/>
  <c r="C43" i="17"/>
  <c r="C42" i="17"/>
  <c r="B44" i="17"/>
  <c r="B43" i="17"/>
  <c r="B42" i="17"/>
  <c r="F48" i="17"/>
  <c r="F47" i="17"/>
  <c r="F46" i="17"/>
  <c r="D48" i="17"/>
  <c r="D47" i="17"/>
  <c r="D46" i="17"/>
  <c r="C48" i="17"/>
  <c r="C47" i="17"/>
  <c r="C46" i="17"/>
  <c r="C52" i="17"/>
  <c r="C51" i="17"/>
  <c r="C50" i="17"/>
  <c r="D49" i="17"/>
  <c r="D52" i="17" s="1"/>
  <c r="B49" i="17"/>
  <c r="B50" i="17" s="1"/>
  <c r="B53" i="17"/>
  <c r="B55" i="17" s="1"/>
  <c r="B45" i="17"/>
  <c r="B48" i="17" s="1"/>
  <c r="B37" i="17"/>
  <c r="B33" i="17"/>
  <c r="B36" i="17" s="1"/>
  <c r="B61" i="17"/>
  <c r="B28" i="17"/>
  <c r="B30" i="17" s="1"/>
  <c r="L72" i="15"/>
  <c r="K72" i="15"/>
  <c r="J72" i="15"/>
  <c r="I72" i="15"/>
  <c r="H72" i="15"/>
  <c r="G72" i="15"/>
  <c r="F72" i="15"/>
  <c r="E72" i="15"/>
  <c r="D72" i="15"/>
  <c r="C72" i="15"/>
  <c r="L71" i="15"/>
  <c r="K71" i="15"/>
  <c r="J71" i="15"/>
  <c r="I71" i="15"/>
  <c r="H71" i="15"/>
  <c r="G71" i="15"/>
  <c r="F71" i="15"/>
  <c r="E71" i="15"/>
  <c r="D71" i="15"/>
  <c r="C71" i="15"/>
  <c r="L70" i="15"/>
  <c r="K70" i="15"/>
  <c r="J70" i="15"/>
  <c r="I70" i="15"/>
  <c r="H70" i="15"/>
  <c r="G70" i="15"/>
  <c r="F70" i="15"/>
  <c r="E70" i="15"/>
  <c r="D70" i="15"/>
  <c r="C70" i="15"/>
  <c r="B72" i="15"/>
  <c r="B71" i="15"/>
  <c r="B70" i="15"/>
  <c r="J69" i="15"/>
  <c r="I69" i="15"/>
  <c r="N72" i="15"/>
  <c r="N71" i="15"/>
  <c r="N70" i="15"/>
  <c r="K63" i="15"/>
  <c r="K62" i="15"/>
  <c r="K64" i="15"/>
  <c r="G63" i="15"/>
  <c r="G62" i="15"/>
  <c r="N64" i="15"/>
  <c r="L64" i="15"/>
  <c r="J64" i="15"/>
  <c r="I64" i="15"/>
  <c r="H64" i="15"/>
  <c r="G64" i="15"/>
  <c r="F64" i="15"/>
  <c r="E64" i="15"/>
  <c r="C64" i="15"/>
  <c r="B64" i="15"/>
  <c r="B63" i="15"/>
  <c r="B62" i="15"/>
  <c r="K57" i="15"/>
  <c r="K60" i="15" s="1"/>
  <c r="G57" i="15"/>
  <c r="G58" i="15" s="1"/>
  <c r="N68" i="15"/>
  <c r="L68" i="15"/>
  <c r="K68" i="15"/>
  <c r="J68" i="15"/>
  <c r="I68" i="15"/>
  <c r="H68" i="15"/>
  <c r="G68" i="15"/>
  <c r="E68" i="15"/>
  <c r="C68" i="15"/>
  <c r="B68" i="15"/>
  <c r="N60" i="15"/>
  <c r="L60" i="15"/>
  <c r="J60" i="15"/>
  <c r="I60" i="15"/>
  <c r="H60" i="15"/>
  <c r="F60" i="15"/>
  <c r="E60" i="15"/>
  <c r="D60" i="15"/>
  <c r="C60" i="15"/>
  <c r="N59" i="15"/>
  <c r="L59" i="15"/>
  <c r="J59" i="15"/>
  <c r="I59" i="15"/>
  <c r="H59" i="15"/>
  <c r="F59" i="15"/>
  <c r="E59" i="15"/>
  <c r="D59" i="15"/>
  <c r="C59" i="15"/>
  <c r="N58" i="15"/>
  <c r="L58" i="15"/>
  <c r="J58" i="15"/>
  <c r="I58" i="15"/>
  <c r="H58" i="15"/>
  <c r="F58" i="15"/>
  <c r="E58" i="15"/>
  <c r="D58" i="15"/>
  <c r="C58" i="15"/>
  <c r="B60" i="15"/>
  <c r="B59" i="15"/>
  <c r="B58" i="15"/>
  <c r="B51" i="15"/>
  <c r="B50" i="15"/>
  <c r="B52" i="15"/>
  <c r="E51" i="15"/>
  <c r="H51" i="15"/>
  <c r="I51" i="15"/>
  <c r="J51" i="15"/>
  <c r="E50" i="15"/>
  <c r="H50" i="15"/>
  <c r="I50" i="15"/>
  <c r="J50" i="15"/>
  <c r="E52" i="15"/>
  <c r="H52" i="15"/>
  <c r="I52" i="15"/>
  <c r="J52" i="15"/>
  <c r="L51" i="15"/>
  <c r="L50" i="15"/>
  <c r="L52" i="15"/>
  <c r="K34" i="15"/>
  <c r="H34" i="15"/>
  <c r="G34" i="15"/>
  <c r="D34" i="15"/>
  <c r="C34" i="15"/>
  <c r="B34" i="15"/>
  <c r="B34" i="17" l="1"/>
  <c r="C34" i="17"/>
  <c r="B35" i="17"/>
  <c r="C35" i="17"/>
  <c r="B29" i="17"/>
  <c r="B31" i="17"/>
  <c r="B32" i="17"/>
  <c r="B56" i="17"/>
  <c r="B62" i="17"/>
  <c r="B63" i="17"/>
  <c r="B54" i="17"/>
  <c r="B64" i="17"/>
  <c r="B46" i="17"/>
  <c r="B47" i="17"/>
  <c r="B51" i="17"/>
  <c r="D51" i="17"/>
  <c r="B52" i="17"/>
  <c r="D50" i="17"/>
  <c r="D53" i="17" s="1"/>
  <c r="K59" i="15"/>
  <c r="K58" i="15"/>
  <c r="G60" i="15"/>
  <c r="G59" i="15"/>
  <c r="D54" i="17" l="1"/>
  <c r="D56" i="17"/>
  <c r="D55" i="17"/>
  <c r="K70" i="6" l="1"/>
  <c r="J70" i="6"/>
  <c r="H70" i="6"/>
  <c r="G70" i="6"/>
  <c r="F70" i="6"/>
  <c r="B70" i="6"/>
  <c r="B51" i="4"/>
  <c r="C51" i="4"/>
  <c r="C74" i="8" l="1"/>
  <c r="C71" i="6" l="1"/>
  <c r="D40" i="6"/>
  <c r="D71" i="6" s="1"/>
  <c r="C40" i="6"/>
  <c r="F53" i="15"/>
  <c r="F45" i="15"/>
  <c r="F41" i="15"/>
  <c r="F65" i="15"/>
  <c r="F68" i="15" s="1"/>
  <c r="F37" i="15"/>
  <c r="F34" i="15" s="1"/>
  <c r="F51" i="15" l="1"/>
  <c r="F50" i="15"/>
  <c r="F52" i="15"/>
  <c r="F62" i="15"/>
  <c r="D36" i="15" l="1"/>
  <c r="D35" i="15"/>
  <c r="D39" i="15"/>
  <c r="D38" i="15"/>
  <c r="D40" i="15"/>
  <c r="B24" i="6" l="1"/>
  <c r="B23" i="6"/>
  <c r="B21" i="6"/>
  <c r="B13" i="6"/>
  <c r="B11" i="6"/>
  <c r="B10" i="6"/>
  <c r="B7" i="6"/>
  <c r="B4" i="6" l="1"/>
  <c r="B32" i="6"/>
  <c r="B53" i="6"/>
  <c r="B46" i="6"/>
  <c r="B71" i="6"/>
  <c r="B58" i="6" s="1"/>
  <c r="B60" i="6"/>
  <c r="B55" i="6"/>
  <c r="B42" i="6"/>
  <c r="B54" i="6" s="1"/>
  <c r="B41" i="6"/>
  <c r="B36" i="6" s="1"/>
  <c r="B40" i="6"/>
  <c r="B28" i="6" s="1"/>
  <c r="B25" i="6"/>
  <c r="B51" i="6" l="1"/>
  <c r="B29" i="6"/>
  <c r="B37" i="6"/>
  <c r="B44" i="6"/>
  <c r="B52" i="6"/>
  <c r="B31" i="6"/>
  <c r="B38" i="6"/>
  <c r="B39" i="6"/>
  <c r="B47" i="6"/>
  <c r="B73" i="6"/>
  <c r="B62" i="6"/>
  <c r="B68" i="6"/>
  <c r="B75" i="6"/>
  <c r="B64" i="6"/>
  <c r="B59" i="6"/>
  <c r="B69" i="6"/>
  <c r="B72" i="6"/>
  <c r="B66" i="6"/>
  <c r="B61" i="6"/>
  <c r="B56" i="6"/>
  <c r="B57" i="6"/>
  <c r="B67" i="6"/>
  <c r="B74" i="6"/>
  <c r="B63" i="6"/>
  <c r="B48" i="6"/>
  <c r="B33" i="6"/>
  <c r="B43" i="6"/>
  <c r="B45" i="6"/>
  <c r="B49" i="6"/>
  <c r="B30" i="6"/>
  <c r="B34" i="6"/>
  <c r="B50" i="6"/>
  <c r="B35" i="6"/>
  <c r="E34" i="3"/>
  <c r="F55" i="15"/>
  <c r="F47" i="15"/>
  <c r="F43" i="15"/>
  <c r="F54" i="15"/>
  <c r="F39" i="15"/>
  <c r="F38" i="15"/>
  <c r="F40" i="15"/>
  <c r="I68" i="6"/>
  <c r="F44" i="15" l="1"/>
  <c r="F48" i="15"/>
  <c r="F56" i="15"/>
  <c r="F42" i="15"/>
  <c r="F46" i="15"/>
  <c r="F4" i="4"/>
  <c r="D4" i="15"/>
  <c r="B4" i="4"/>
  <c r="G4" i="15"/>
  <c r="B4" i="3"/>
  <c r="B34" i="4" l="1"/>
  <c r="E66" i="15" l="1"/>
  <c r="E55" i="15" s="1"/>
  <c r="E67" i="15"/>
  <c r="E63" i="15"/>
  <c r="E42" i="15"/>
  <c r="E43" i="15"/>
  <c r="E44" i="15"/>
  <c r="E46" i="15"/>
  <c r="E47" i="15"/>
  <c r="E48" i="15"/>
  <c r="E54" i="15" l="1"/>
  <c r="E56" i="15"/>
  <c r="D25" i="18"/>
  <c r="D24" i="18"/>
  <c r="D23" i="18"/>
  <c r="D33" i="18" s="1"/>
  <c r="C27" i="6"/>
  <c r="B27" i="6" s="1"/>
  <c r="C71" i="13" l="1"/>
  <c r="B71" i="13"/>
  <c r="C70" i="13"/>
  <c r="B70" i="13"/>
  <c r="C69" i="13"/>
  <c r="B69" i="13"/>
  <c r="C68" i="13"/>
  <c r="B68" i="13"/>
  <c r="C66" i="13"/>
  <c r="B66" i="13"/>
  <c r="C65" i="13"/>
  <c r="B65" i="13"/>
  <c r="C64" i="13"/>
  <c r="B64" i="13"/>
  <c r="C63" i="13"/>
  <c r="B63" i="13"/>
  <c r="C61" i="13"/>
  <c r="B61" i="13"/>
  <c r="C60" i="13"/>
  <c r="B60" i="13"/>
  <c r="C59" i="13"/>
  <c r="B59" i="13"/>
  <c r="C58" i="13"/>
  <c r="B58" i="13"/>
  <c r="C56" i="13"/>
  <c r="B56" i="13"/>
  <c r="C55" i="13"/>
  <c r="B55" i="13"/>
  <c r="C54" i="13"/>
  <c r="B54" i="13"/>
  <c r="C53" i="13"/>
  <c r="B53" i="13"/>
  <c r="C51" i="13"/>
  <c r="B51" i="13"/>
  <c r="C50" i="13"/>
  <c r="B50" i="13"/>
  <c r="C44" i="13"/>
  <c r="B44" i="13"/>
  <c r="C49" i="13"/>
  <c r="B49" i="13"/>
  <c r="C48" i="13"/>
  <c r="B48" i="13"/>
  <c r="C43" i="13"/>
  <c r="B43" i="13"/>
  <c r="C41" i="13"/>
  <c r="B41" i="13"/>
  <c r="C47" i="13"/>
  <c r="B47" i="13"/>
  <c r="C46" i="13"/>
  <c r="B46" i="13"/>
  <c r="C45" i="13"/>
  <c r="B45" i="13"/>
  <c r="C42" i="13"/>
  <c r="B42" i="13"/>
  <c r="C40" i="13"/>
  <c r="B40" i="13"/>
  <c r="C36" i="13"/>
  <c r="B36" i="13"/>
  <c r="C35" i="13"/>
  <c r="B35" i="13"/>
  <c r="C29" i="13"/>
  <c r="B29" i="13"/>
  <c r="C34" i="13"/>
  <c r="B34" i="13"/>
  <c r="C33" i="13"/>
  <c r="B33" i="13"/>
  <c r="C28" i="13"/>
  <c r="B28" i="13"/>
  <c r="C26" i="13"/>
  <c r="B26" i="13"/>
  <c r="C32" i="13"/>
  <c r="B32" i="13"/>
  <c r="C31" i="13"/>
  <c r="B31" i="13"/>
  <c r="C30" i="13"/>
  <c r="B30" i="13"/>
  <c r="C27" i="13"/>
  <c r="B27" i="13"/>
  <c r="C25" i="13"/>
  <c r="B25" i="13"/>
  <c r="E37" i="12"/>
  <c r="E74" i="12"/>
  <c r="D74" i="12"/>
  <c r="C74" i="12"/>
  <c r="B74" i="12"/>
  <c r="E73" i="12"/>
  <c r="D73" i="12"/>
  <c r="C73" i="12"/>
  <c r="B73" i="12"/>
  <c r="E72" i="12"/>
  <c r="D72" i="12"/>
  <c r="C72" i="12"/>
  <c r="B72" i="12"/>
  <c r="E71" i="12"/>
  <c r="D71" i="12"/>
  <c r="C71" i="12"/>
  <c r="B71" i="12"/>
  <c r="E69" i="12"/>
  <c r="D69" i="12"/>
  <c r="C69" i="12"/>
  <c r="B69" i="12"/>
  <c r="E68" i="12"/>
  <c r="D68" i="12"/>
  <c r="C68" i="12"/>
  <c r="B68" i="12"/>
  <c r="E67" i="12"/>
  <c r="D67" i="12"/>
  <c r="C67" i="12"/>
  <c r="B67" i="12"/>
  <c r="E66" i="12"/>
  <c r="D66" i="12"/>
  <c r="C66" i="12"/>
  <c r="B66" i="12"/>
  <c r="E64" i="12"/>
  <c r="D64" i="12"/>
  <c r="C64" i="12"/>
  <c r="B64" i="12"/>
  <c r="E63" i="12"/>
  <c r="D63" i="12"/>
  <c r="C63" i="12"/>
  <c r="B63" i="12"/>
  <c r="E62" i="12"/>
  <c r="D62" i="12"/>
  <c r="C62" i="12"/>
  <c r="B62" i="12"/>
  <c r="E61" i="12"/>
  <c r="D61" i="12"/>
  <c r="C61" i="12"/>
  <c r="B61" i="12"/>
  <c r="E59" i="12"/>
  <c r="D59" i="12"/>
  <c r="C59" i="12"/>
  <c r="B59" i="12"/>
  <c r="E58" i="12"/>
  <c r="D58" i="12"/>
  <c r="C58" i="12"/>
  <c r="B58" i="12"/>
  <c r="E57" i="12"/>
  <c r="D57" i="12"/>
  <c r="C57" i="12"/>
  <c r="B57" i="12"/>
  <c r="E56" i="12"/>
  <c r="D56" i="12"/>
  <c r="C56" i="12"/>
  <c r="B56" i="12"/>
  <c r="E54" i="12"/>
  <c r="D54" i="12"/>
  <c r="C54" i="12"/>
  <c r="B54" i="12"/>
  <c r="E53" i="12"/>
  <c r="D53" i="12"/>
  <c r="C53" i="12"/>
  <c r="B53" i="12"/>
  <c r="E47" i="12"/>
  <c r="D47" i="12"/>
  <c r="C47" i="12"/>
  <c r="B47" i="12"/>
  <c r="E52" i="12"/>
  <c r="D52" i="12"/>
  <c r="C52" i="12"/>
  <c r="B52" i="12"/>
  <c r="E51" i="12"/>
  <c r="D51" i="12"/>
  <c r="C51" i="12"/>
  <c r="B51" i="12"/>
  <c r="E46" i="12"/>
  <c r="D46" i="12"/>
  <c r="C46" i="12"/>
  <c r="B46" i="12"/>
  <c r="E44" i="12"/>
  <c r="D44" i="12"/>
  <c r="C44" i="12"/>
  <c r="B44" i="12"/>
  <c r="E50" i="12"/>
  <c r="D50" i="12"/>
  <c r="C50" i="12"/>
  <c r="B50" i="12"/>
  <c r="E49" i="12"/>
  <c r="D49" i="12"/>
  <c r="C49" i="12"/>
  <c r="B49" i="12"/>
  <c r="E48" i="12"/>
  <c r="D48" i="12"/>
  <c r="C48" i="12"/>
  <c r="B48" i="12"/>
  <c r="E45" i="12"/>
  <c r="D45" i="12"/>
  <c r="C45" i="12"/>
  <c r="B45" i="12"/>
  <c r="E43" i="12"/>
  <c r="D43" i="12"/>
  <c r="C43" i="12"/>
  <c r="B43" i="12"/>
  <c r="E39" i="12"/>
  <c r="D39" i="12"/>
  <c r="C39" i="12"/>
  <c r="B39" i="12"/>
  <c r="E38" i="12"/>
  <c r="D38" i="12"/>
  <c r="C38" i="12"/>
  <c r="B38" i="12"/>
  <c r="E32" i="12"/>
  <c r="D32" i="12"/>
  <c r="C32" i="12"/>
  <c r="B32" i="12"/>
  <c r="D37" i="12"/>
  <c r="C37" i="12"/>
  <c r="B37" i="12"/>
  <c r="E36" i="12"/>
  <c r="D36" i="12"/>
  <c r="C36" i="12"/>
  <c r="B36" i="12"/>
  <c r="E31" i="12"/>
  <c r="D31" i="12"/>
  <c r="C31" i="12"/>
  <c r="B31" i="12"/>
  <c r="E29" i="12"/>
  <c r="D29" i="12"/>
  <c r="C29" i="12"/>
  <c r="B29" i="12"/>
  <c r="E35" i="12"/>
  <c r="D35" i="12"/>
  <c r="C35" i="12"/>
  <c r="B35" i="12"/>
  <c r="E34" i="12"/>
  <c r="D34" i="12"/>
  <c r="C34" i="12"/>
  <c r="B34" i="12"/>
  <c r="E33" i="12"/>
  <c r="D33" i="12"/>
  <c r="C33" i="12"/>
  <c r="B33" i="12"/>
  <c r="E30" i="12"/>
  <c r="D30" i="12"/>
  <c r="C30" i="12"/>
  <c r="B30" i="12"/>
  <c r="E28" i="12"/>
  <c r="D28" i="12"/>
  <c r="C28" i="12"/>
  <c r="B28" i="12"/>
  <c r="B68" i="18"/>
  <c r="B72" i="18" s="1"/>
  <c r="B63" i="18"/>
  <c r="B65" i="18" s="1"/>
  <c r="B58" i="18"/>
  <c r="B61" i="18" s="1"/>
  <c r="C72" i="18"/>
  <c r="C71" i="18"/>
  <c r="B71" i="18"/>
  <c r="C70" i="18"/>
  <c r="B70" i="18"/>
  <c r="C69" i="18"/>
  <c r="B69" i="18"/>
  <c r="C67" i="18"/>
  <c r="B67" i="18"/>
  <c r="C66" i="18"/>
  <c r="B66" i="18"/>
  <c r="C65" i="18"/>
  <c r="C64" i="18"/>
  <c r="B64" i="18"/>
  <c r="C62" i="18"/>
  <c r="B62" i="18"/>
  <c r="C61" i="18"/>
  <c r="C60" i="18"/>
  <c r="B60" i="18"/>
  <c r="C59" i="18"/>
  <c r="B59" i="18"/>
  <c r="C57" i="18"/>
  <c r="B57" i="18"/>
  <c r="C56" i="18"/>
  <c r="B56" i="18"/>
  <c r="C55" i="18"/>
  <c r="B55" i="18"/>
  <c r="C54" i="18"/>
  <c r="B54" i="18"/>
  <c r="C52" i="18"/>
  <c r="B52" i="18"/>
  <c r="D51" i="18"/>
  <c r="C51" i="18"/>
  <c r="B51" i="18"/>
  <c r="C50" i="18"/>
  <c r="B50" i="18"/>
  <c r="D49" i="18"/>
  <c r="C49" i="18"/>
  <c r="B49" i="18"/>
  <c r="D48" i="18"/>
  <c r="C48" i="18"/>
  <c r="B48" i="18"/>
  <c r="C47" i="18"/>
  <c r="B47" i="18"/>
  <c r="C46" i="18"/>
  <c r="B46" i="18"/>
  <c r="C45" i="18"/>
  <c r="B45" i="18"/>
  <c r="C44" i="18"/>
  <c r="B44" i="18"/>
  <c r="C43" i="18"/>
  <c r="B43" i="18"/>
  <c r="C42" i="18"/>
  <c r="B42" i="18"/>
  <c r="C41" i="18"/>
  <c r="B41" i="18"/>
  <c r="C37" i="18"/>
  <c r="B37" i="18"/>
  <c r="D36" i="18"/>
  <c r="C36" i="18"/>
  <c r="B36" i="18"/>
  <c r="C35" i="18"/>
  <c r="B35" i="18"/>
  <c r="D34" i="18"/>
  <c r="C34" i="18"/>
  <c r="B34" i="18"/>
  <c r="C33" i="18"/>
  <c r="B33" i="18"/>
  <c r="C32" i="18"/>
  <c r="B32" i="18"/>
  <c r="C31" i="18"/>
  <c r="B31" i="18"/>
  <c r="C30" i="18"/>
  <c r="B30" i="18"/>
  <c r="C29" i="18"/>
  <c r="B29" i="18"/>
  <c r="C28" i="18"/>
  <c r="B28" i="18"/>
  <c r="C27" i="18"/>
  <c r="B27" i="18"/>
  <c r="C26" i="18"/>
  <c r="B26" i="18"/>
  <c r="E17" i="18"/>
  <c r="C17" i="18"/>
  <c r="B17" i="18"/>
  <c r="E16" i="18"/>
  <c r="D16" i="18"/>
  <c r="C16" i="18"/>
  <c r="B16" i="18"/>
  <c r="E15" i="18"/>
  <c r="D15" i="18"/>
  <c r="C15" i="18"/>
  <c r="B15" i="18"/>
  <c r="E14" i="18"/>
  <c r="D14" i="18"/>
  <c r="C14" i="18"/>
  <c r="B14" i="18"/>
  <c r="E13" i="18"/>
  <c r="D13" i="18"/>
  <c r="C13" i="18"/>
  <c r="B13" i="18"/>
  <c r="F12" i="18"/>
  <c r="F11" i="18"/>
  <c r="B11" i="18"/>
  <c r="F10" i="18"/>
  <c r="B10" i="18"/>
  <c r="F9" i="18"/>
  <c r="F8" i="18"/>
  <c r="F7" i="18"/>
  <c r="F17" i="18" s="1"/>
  <c r="F6" i="18"/>
  <c r="D72" i="9"/>
  <c r="C72" i="9"/>
  <c r="B72" i="9"/>
  <c r="D71" i="9"/>
  <c r="C71" i="9"/>
  <c r="B71" i="9"/>
  <c r="D70" i="9"/>
  <c r="C70" i="9"/>
  <c r="B70" i="9"/>
  <c r="D69" i="9"/>
  <c r="C69" i="9"/>
  <c r="B69" i="9"/>
  <c r="D67" i="9"/>
  <c r="C67" i="9"/>
  <c r="B67" i="9"/>
  <c r="D66" i="9"/>
  <c r="C66" i="9"/>
  <c r="B66" i="9"/>
  <c r="D65" i="9"/>
  <c r="C65" i="9"/>
  <c r="B65" i="9"/>
  <c r="D64" i="9"/>
  <c r="C64" i="9"/>
  <c r="B64" i="9"/>
  <c r="D62" i="9"/>
  <c r="C62" i="9"/>
  <c r="B62" i="9"/>
  <c r="D61" i="9"/>
  <c r="C61" i="9"/>
  <c r="B61" i="9"/>
  <c r="D60" i="9"/>
  <c r="C60" i="9"/>
  <c r="B60" i="9"/>
  <c r="D59" i="9"/>
  <c r="C59" i="9"/>
  <c r="B59" i="9"/>
  <c r="D57" i="9"/>
  <c r="C57" i="9"/>
  <c r="B57" i="9"/>
  <c r="D56" i="9"/>
  <c r="C56" i="9"/>
  <c r="B56" i="9"/>
  <c r="D55" i="9"/>
  <c r="C55" i="9"/>
  <c r="B55" i="9"/>
  <c r="D54" i="9"/>
  <c r="C54" i="9"/>
  <c r="B54" i="9"/>
  <c r="D52" i="9"/>
  <c r="C52" i="9"/>
  <c r="B52" i="9"/>
  <c r="D51" i="9"/>
  <c r="C51" i="9"/>
  <c r="B51" i="9"/>
  <c r="D45" i="9"/>
  <c r="C45" i="9"/>
  <c r="B45" i="9"/>
  <c r="D50" i="9"/>
  <c r="C50" i="9"/>
  <c r="B50" i="9"/>
  <c r="D49" i="9"/>
  <c r="C49" i="9"/>
  <c r="B49" i="9"/>
  <c r="D44" i="9"/>
  <c r="C44" i="9"/>
  <c r="B44" i="9"/>
  <c r="D42" i="9"/>
  <c r="C42" i="9"/>
  <c r="B42" i="9"/>
  <c r="D48" i="9"/>
  <c r="C48" i="9"/>
  <c r="B48" i="9"/>
  <c r="D47" i="9"/>
  <c r="C47" i="9"/>
  <c r="B47" i="9"/>
  <c r="D46" i="9"/>
  <c r="C46" i="9"/>
  <c r="B46" i="9"/>
  <c r="D43" i="9"/>
  <c r="C43" i="9"/>
  <c r="B43" i="9"/>
  <c r="D41" i="9"/>
  <c r="C41" i="9"/>
  <c r="B41" i="9"/>
  <c r="D37" i="9"/>
  <c r="C37" i="9"/>
  <c r="B37" i="9"/>
  <c r="D36" i="9"/>
  <c r="C36" i="9"/>
  <c r="B36" i="9"/>
  <c r="D30" i="9"/>
  <c r="C30" i="9"/>
  <c r="B30" i="9"/>
  <c r="D35" i="9"/>
  <c r="C35" i="9"/>
  <c r="B35" i="9"/>
  <c r="D34" i="9"/>
  <c r="C34" i="9"/>
  <c r="B34" i="9"/>
  <c r="D29" i="9"/>
  <c r="C29" i="9"/>
  <c r="B29" i="9"/>
  <c r="D27" i="9"/>
  <c r="C27" i="9"/>
  <c r="B27" i="9"/>
  <c r="D33" i="9"/>
  <c r="C33" i="9"/>
  <c r="B33" i="9"/>
  <c r="D32" i="9"/>
  <c r="C32" i="9"/>
  <c r="B32" i="9"/>
  <c r="D31" i="9"/>
  <c r="C31" i="9"/>
  <c r="B31" i="9"/>
  <c r="D28" i="9"/>
  <c r="C28" i="9"/>
  <c r="B28" i="9"/>
  <c r="D26" i="9"/>
  <c r="C26" i="9"/>
  <c r="B26" i="9"/>
  <c r="C77" i="8"/>
  <c r="C69" i="8"/>
  <c r="C73" i="8" s="1"/>
  <c r="B69" i="8"/>
  <c r="B73" i="8" s="1"/>
  <c r="C59" i="8"/>
  <c r="C63" i="8" s="1"/>
  <c r="B59" i="8"/>
  <c r="B60" i="8" s="1"/>
  <c r="B58" i="8"/>
  <c r="B57" i="8"/>
  <c r="B51" i="8"/>
  <c r="C45" i="8"/>
  <c r="C55" i="8" s="1"/>
  <c r="B45" i="8"/>
  <c r="B55" i="8" s="1"/>
  <c r="C75" i="8"/>
  <c r="C78" i="8" s="1"/>
  <c r="B75" i="8"/>
  <c r="B79" i="8" s="1"/>
  <c r="C64" i="8"/>
  <c r="C67" i="8" s="1"/>
  <c r="B64" i="8"/>
  <c r="B68" i="8" s="1"/>
  <c r="B44" i="8"/>
  <c r="B54" i="8" s="1"/>
  <c r="C44" i="8"/>
  <c r="C53" i="8" s="1"/>
  <c r="B43" i="8"/>
  <c r="B42" i="8"/>
  <c r="B36" i="8"/>
  <c r="B41" i="8"/>
  <c r="B40" i="8"/>
  <c r="B35" i="8"/>
  <c r="B33" i="8"/>
  <c r="C29" i="8"/>
  <c r="C39" i="8" s="1"/>
  <c r="B29" i="8"/>
  <c r="B38" i="8" s="1"/>
  <c r="K75" i="6"/>
  <c r="J75" i="6"/>
  <c r="I75" i="6"/>
  <c r="H75" i="6"/>
  <c r="G75" i="6"/>
  <c r="F75" i="6"/>
  <c r="E75" i="6"/>
  <c r="D75" i="6"/>
  <c r="C75" i="6"/>
  <c r="K74" i="6"/>
  <c r="J74" i="6"/>
  <c r="I74" i="6"/>
  <c r="H74" i="6"/>
  <c r="G74" i="6"/>
  <c r="F74" i="6"/>
  <c r="E74" i="6"/>
  <c r="D74" i="6"/>
  <c r="C74" i="6"/>
  <c r="K73" i="6"/>
  <c r="J73" i="6"/>
  <c r="I73" i="6"/>
  <c r="H73" i="6"/>
  <c r="G73" i="6"/>
  <c r="F73" i="6"/>
  <c r="E73" i="6"/>
  <c r="D73" i="6"/>
  <c r="C73" i="6"/>
  <c r="K72" i="6"/>
  <c r="J72" i="6"/>
  <c r="I72" i="6"/>
  <c r="H72" i="6"/>
  <c r="G72" i="6"/>
  <c r="F72" i="6"/>
  <c r="E72" i="6"/>
  <c r="D72" i="6"/>
  <c r="C72" i="6"/>
  <c r="K69" i="6"/>
  <c r="J69" i="6"/>
  <c r="I69" i="6"/>
  <c r="H69" i="6"/>
  <c r="G69" i="6"/>
  <c r="F69" i="6"/>
  <c r="K68" i="6"/>
  <c r="J68" i="6"/>
  <c r="H68" i="6"/>
  <c r="F68" i="6"/>
  <c r="K67" i="6"/>
  <c r="J67" i="6"/>
  <c r="I67" i="6"/>
  <c r="H67" i="6"/>
  <c r="G67" i="6"/>
  <c r="F67" i="6"/>
  <c r="K66" i="6"/>
  <c r="J66" i="6"/>
  <c r="I66" i="6"/>
  <c r="H66" i="6"/>
  <c r="G66" i="6"/>
  <c r="F66" i="6"/>
  <c r="D66" i="6"/>
  <c r="K64" i="6"/>
  <c r="J64" i="6"/>
  <c r="I64" i="6"/>
  <c r="H64" i="6"/>
  <c r="G64" i="6"/>
  <c r="F64" i="6"/>
  <c r="E64" i="6"/>
  <c r="D64" i="6"/>
  <c r="C64" i="6"/>
  <c r="K63" i="6"/>
  <c r="J63" i="6"/>
  <c r="I63" i="6"/>
  <c r="H63" i="6"/>
  <c r="G63" i="6"/>
  <c r="F63" i="6"/>
  <c r="E63" i="6"/>
  <c r="D63" i="6"/>
  <c r="C63" i="6"/>
  <c r="K62" i="6"/>
  <c r="J62" i="6"/>
  <c r="I62" i="6"/>
  <c r="H62" i="6"/>
  <c r="G62" i="6"/>
  <c r="F62" i="6"/>
  <c r="E62" i="6"/>
  <c r="D62" i="6"/>
  <c r="C62" i="6"/>
  <c r="K61" i="6"/>
  <c r="J61" i="6"/>
  <c r="I61" i="6"/>
  <c r="H61" i="6"/>
  <c r="G61" i="6"/>
  <c r="F61" i="6"/>
  <c r="E61" i="6"/>
  <c r="D61" i="6"/>
  <c r="C61" i="6"/>
  <c r="K59" i="6"/>
  <c r="J59" i="6"/>
  <c r="I59" i="6"/>
  <c r="H59" i="6"/>
  <c r="G59" i="6"/>
  <c r="F59" i="6"/>
  <c r="E59" i="6"/>
  <c r="D59" i="6"/>
  <c r="C59" i="6"/>
  <c r="K58" i="6"/>
  <c r="J58" i="6"/>
  <c r="I58" i="6"/>
  <c r="H58" i="6"/>
  <c r="G58" i="6"/>
  <c r="F58" i="6"/>
  <c r="E58" i="6"/>
  <c r="D58" i="6"/>
  <c r="C58" i="6"/>
  <c r="K57" i="6"/>
  <c r="J57" i="6"/>
  <c r="I57" i="6"/>
  <c r="H57" i="6"/>
  <c r="G57" i="6"/>
  <c r="F57" i="6"/>
  <c r="E57" i="6"/>
  <c r="D57" i="6"/>
  <c r="C57" i="6"/>
  <c r="K56" i="6"/>
  <c r="J56" i="6"/>
  <c r="I56" i="6"/>
  <c r="H56" i="6"/>
  <c r="G56" i="6"/>
  <c r="F56" i="6"/>
  <c r="E56" i="6"/>
  <c r="D56" i="6"/>
  <c r="C56" i="6"/>
  <c r="E65" i="6"/>
  <c r="E69" i="6" s="1"/>
  <c r="D65" i="6"/>
  <c r="D69" i="6" s="1"/>
  <c r="C65" i="6"/>
  <c r="K54" i="6"/>
  <c r="J54" i="6"/>
  <c r="G54" i="6"/>
  <c r="F54" i="6"/>
  <c r="E54" i="6"/>
  <c r="D54" i="6"/>
  <c r="C54" i="6"/>
  <c r="K53" i="6"/>
  <c r="J53" i="6"/>
  <c r="I53" i="6"/>
  <c r="G53" i="6"/>
  <c r="F53" i="6"/>
  <c r="E53" i="6"/>
  <c r="D53" i="6"/>
  <c r="C53" i="6"/>
  <c r="K47" i="6"/>
  <c r="J47" i="6"/>
  <c r="I47" i="6"/>
  <c r="G47" i="6"/>
  <c r="F47" i="6"/>
  <c r="E47" i="6"/>
  <c r="D47" i="6"/>
  <c r="K52" i="6"/>
  <c r="J52" i="6"/>
  <c r="G52" i="6"/>
  <c r="F52" i="6"/>
  <c r="E52" i="6"/>
  <c r="D52" i="6"/>
  <c r="C52" i="6"/>
  <c r="K51" i="6"/>
  <c r="J51" i="6"/>
  <c r="G51" i="6"/>
  <c r="F51" i="6"/>
  <c r="E51" i="6"/>
  <c r="D51" i="6"/>
  <c r="C51" i="6"/>
  <c r="K46" i="6"/>
  <c r="J46" i="6"/>
  <c r="G46" i="6"/>
  <c r="F46" i="6"/>
  <c r="E46" i="6"/>
  <c r="D46" i="6"/>
  <c r="C46" i="6"/>
  <c r="K44" i="6"/>
  <c r="J44" i="6"/>
  <c r="G44" i="6"/>
  <c r="F44" i="6"/>
  <c r="E44" i="6"/>
  <c r="D44" i="6"/>
  <c r="K50" i="6"/>
  <c r="J50" i="6"/>
  <c r="I50" i="6"/>
  <c r="H50" i="6"/>
  <c r="G50" i="6"/>
  <c r="F50" i="6"/>
  <c r="E50" i="6"/>
  <c r="C50" i="6"/>
  <c r="K49" i="6"/>
  <c r="J49" i="6"/>
  <c r="H49" i="6"/>
  <c r="G49" i="6"/>
  <c r="F49" i="6"/>
  <c r="E49" i="6"/>
  <c r="K48" i="6"/>
  <c r="J48" i="6"/>
  <c r="I48" i="6"/>
  <c r="H48" i="6"/>
  <c r="G48" i="6"/>
  <c r="F48" i="6"/>
  <c r="E48" i="6"/>
  <c r="C48" i="6"/>
  <c r="K45" i="6"/>
  <c r="J45" i="6"/>
  <c r="H45" i="6"/>
  <c r="G45" i="6"/>
  <c r="F45" i="6"/>
  <c r="E45" i="6"/>
  <c r="K43" i="6"/>
  <c r="J43" i="6"/>
  <c r="I43" i="6"/>
  <c r="H43" i="6"/>
  <c r="G43" i="6"/>
  <c r="F43" i="6"/>
  <c r="E43" i="6"/>
  <c r="C47" i="6"/>
  <c r="C44" i="6"/>
  <c r="C43" i="6"/>
  <c r="I54" i="6"/>
  <c r="I52" i="6"/>
  <c r="H42" i="6"/>
  <c r="H53" i="6" s="1"/>
  <c r="H41" i="6"/>
  <c r="H44" i="6" s="1"/>
  <c r="I45" i="6"/>
  <c r="D48" i="6"/>
  <c r="C49" i="6"/>
  <c r="J39" i="6"/>
  <c r="I39" i="6"/>
  <c r="H39" i="6"/>
  <c r="G39" i="6"/>
  <c r="F39" i="6"/>
  <c r="E39" i="6"/>
  <c r="D39" i="6"/>
  <c r="C39" i="6"/>
  <c r="J38" i="6"/>
  <c r="I38" i="6"/>
  <c r="H38" i="6"/>
  <c r="G38" i="6"/>
  <c r="F38" i="6"/>
  <c r="E38" i="6"/>
  <c r="D38" i="6"/>
  <c r="C38" i="6"/>
  <c r="J32" i="6"/>
  <c r="I32" i="6"/>
  <c r="H32" i="6"/>
  <c r="G32" i="6"/>
  <c r="F32" i="6"/>
  <c r="E32" i="6"/>
  <c r="D32" i="6"/>
  <c r="C32" i="6"/>
  <c r="J37" i="6"/>
  <c r="I37" i="6"/>
  <c r="H37" i="6"/>
  <c r="G37" i="6"/>
  <c r="F37" i="6"/>
  <c r="E37" i="6"/>
  <c r="D37" i="6"/>
  <c r="J36" i="6"/>
  <c r="I36" i="6"/>
  <c r="H36" i="6"/>
  <c r="G36" i="6"/>
  <c r="F36" i="6"/>
  <c r="E36" i="6"/>
  <c r="D36" i="6"/>
  <c r="J31" i="6"/>
  <c r="I31" i="6"/>
  <c r="H31" i="6"/>
  <c r="G31" i="6"/>
  <c r="F31" i="6"/>
  <c r="E31" i="6"/>
  <c r="D31" i="6"/>
  <c r="J29" i="6"/>
  <c r="I29" i="6"/>
  <c r="H29" i="6"/>
  <c r="G29" i="6"/>
  <c r="F29" i="6"/>
  <c r="E29" i="6"/>
  <c r="D29" i="6"/>
  <c r="J35" i="6"/>
  <c r="I35" i="6"/>
  <c r="H35" i="6"/>
  <c r="G35" i="6"/>
  <c r="F35" i="6"/>
  <c r="D35" i="6"/>
  <c r="C35" i="6"/>
  <c r="J34" i="6"/>
  <c r="I34" i="6"/>
  <c r="H34" i="6"/>
  <c r="G34" i="6"/>
  <c r="F34" i="6"/>
  <c r="D34" i="6"/>
  <c r="C34" i="6"/>
  <c r="J33" i="6"/>
  <c r="I33" i="6"/>
  <c r="H33" i="6"/>
  <c r="G33" i="6"/>
  <c r="F33" i="6"/>
  <c r="D33" i="6"/>
  <c r="C33" i="6"/>
  <c r="J30" i="6"/>
  <c r="I30" i="6"/>
  <c r="H30" i="6"/>
  <c r="G30" i="6"/>
  <c r="F30" i="6"/>
  <c r="D30" i="6"/>
  <c r="C30" i="6"/>
  <c r="J28" i="6"/>
  <c r="I28" i="6"/>
  <c r="H28" i="6"/>
  <c r="G28" i="6"/>
  <c r="F28" i="6"/>
  <c r="D28" i="6"/>
  <c r="C28" i="6"/>
  <c r="C26" i="6"/>
  <c r="E25" i="6"/>
  <c r="E33" i="6" s="1"/>
  <c r="E21" i="6"/>
  <c r="K31" i="15"/>
  <c r="G31" i="15"/>
  <c r="L48" i="15"/>
  <c r="K48" i="15"/>
  <c r="J48" i="15"/>
  <c r="I48" i="15"/>
  <c r="H48" i="15"/>
  <c r="G48" i="15"/>
  <c r="L47" i="15"/>
  <c r="K47" i="15"/>
  <c r="J47" i="15"/>
  <c r="I47" i="15"/>
  <c r="H47" i="15"/>
  <c r="G47" i="15"/>
  <c r="L46" i="15"/>
  <c r="K46" i="15"/>
  <c r="J46" i="15"/>
  <c r="I46" i="15"/>
  <c r="H46" i="15"/>
  <c r="G46" i="15"/>
  <c r="L44" i="15"/>
  <c r="K44" i="15"/>
  <c r="J44" i="15"/>
  <c r="I44" i="15"/>
  <c r="H44" i="15"/>
  <c r="G44" i="15"/>
  <c r="L43" i="15"/>
  <c r="K43" i="15"/>
  <c r="J43" i="15"/>
  <c r="I43" i="15"/>
  <c r="H43" i="15"/>
  <c r="G43" i="15"/>
  <c r="C44" i="15"/>
  <c r="B44" i="15"/>
  <c r="C43" i="15"/>
  <c r="B43" i="15"/>
  <c r="K42" i="15"/>
  <c r="J42" i="15"/>
  <c r="I42" i="15"/>
  <c r="H42" i="15"/>
  <c r="G42" i="15"/>
  <c r="C42" i="15"/>
  <c r="B42" i="15"/>
  <c r="K40" i="15"/>
  <c r="K39" i="15"/>
  <c r="J40" i="15"/>
  <c r="I40" i="15"/>
  <c r="H40" i="15"/>
  <c r="G40" i="15"/>
  <c r="C40" i="15"/>
  <c r="B40" i="15"/>
  <c r="J39" i="15"/>
  <c r="I39" i="15"/>
  <c r="H39" i="15"/>
  <c r="G39" i="15"/>
  <c r="C39" i="15"/>
  <c r="B39" i="15"/>
  <c r="K38" i="15"/>
  <c r="J38" i="15"/>
  <c r="I38" i="15"/>
  <c r="H38" i="15"/>
  <c r="G38" i="15"/>
  <c r="C38" i="15"/>
  <c r="B38" i="15"/>
  <c r="I17" i="16"/>
  <c r="D17" i="16"/>
  <c r="I8" i="6"/>
  <c r="D8" i="6"/>
  <c r="C8" i="6"/>
  <c r="K8" i="15"/>
  <c r="G8" i="15"/>
  <c r="D7" i="15"/>
  <c r="F25" i="4"/>
  <c r="F26" i="4"/>
  <c r="B26" i="4"/>
  <c r="B24" i="3"/>
  <c r="K49" i="15"/>
  <c r="G49" i="15"/>
  <c r="D49" i="15"/>
  <c r="C49" i="15"/>
  <c r="D45" i="15"/>
  <c r="C45" i="15"/>
  <c r="C46" i="15" s="1"/>
  <c r="B45" i="15"/>
  <c r="D41" i="15"/>
  <c r="N63" i="15"/>
  <c r="L63" i="15"/>
  <c r="J63" i="15"/>
  <c r="I63" i="15"/>
  <c r="H63" i="15"/>
  <c r="F63" i="15"/>
  <c r="C63" i="15"/>
  <c r="N67" i="15"/>
  <c r="K67" i="15"/>
  <c r="J67" i="15"/>
  <c r="I67" i="15"/>
  <c r="H67" i="15"/>
  <c r="G67" i="15"/>
  <c r="B67" i="15"/>
  <c r="N66" i="15"/>
  <c r="L66" i="15"/>
  <c r="L54" i="15" s="1"/>
  <c r="K66" i="15"/>
  <c r="K54" i="15" s="1"/>
  <c r="J66" i="15"/>
  <c r="J55" i="15" s="1"/>
  <c r="I66" i="15"/>
  <c r="I56" i="15" s="1"/>
  <c r="H66" i="15"/>
  <c r="H54" i="15" s="1"/>
  <c r="G66" i="15"/>
  <c r="G54" i="15" s="1"/>
  <c r="C66" i="15"/>
  <c r="C55" i="15" s="1"/>
  <c r="B66" i="15"/>
  <c r="B56" i="15" s="1"/>
  <c r="D62" i="15"/>
  <c r="D63" i="15" s="1"/>
  <c r="D65" i="15"/>
  <c r="D68" i="15" s="1"/>
  <c r="K36" i="15"/>
  <c r="H36" i="15"/>
  <c r="G36" i="15"/>
  <c r="F36" i="15"/>
  <c r="C36" i="15"/>
  <c r="B36" i="15"/>
  <c r="K35" i="15"/>
  <c r="H35" i="15"/>
  <c r="G35" i="15"/>
  <c r="F35" i="15"/>
  <c r="C35" i="15"/>
  <c r="B35" i="15"/>
  <c r="B47" i="4"/>
  <c r="C45" i="4"/>
  <c r="E45" i="4"/>
  <c r="G50" i="4"/>
  <c r="G49" i="4"/>
  <c r="G48" i="4"/>
  <c r="C50" i="4"/>
  <c r="C49" i="4"/>
  <c r="C48" i="4"/>
  <c r="C46" i="4"/>
  <c r="C44" i="4"/>
  <c r="G42" i="4"/>
  <c r="F42" i="4"/>
  <c r="G41" i="4"/>
  <c r="F41" i="4"/>
  <c r="G40" i="4"/>
  <c r="F40" i="4"/>
  <c r="C42" i="4"/>
  <c r="B42" i="4"/>
  <c r="C41" i="4"/>
  <c r="B41" i="4"/>
  <c r="C40" i="4"/>
  <c r="B40" i="4"/>
  <c r="G38" i="4"/>
  <c r="G37" i="4"/>
  <c r="G36" i="4"/>
  <c r="C38" i="4"/>
  <c r="B38" i="4"/>
  <c r="C37" i="4"/>
  <c r="B37" i="4"/>
  <c r="C36" i="4"/>
  <c r="B36" i="4"/>
  <c r="G43" i="4"/>
  <c r="B43" i="4"/>
  <c r="B21" i="4"/>
  <c r="C34" i="4"/>
  <c r="C33" i="4"/>
  <c r="B33" i="4"/>
  <c r="C32" i="4"/>
  <c r="B32" i="4"/>
  <c r="C30" i="4"/>
  <c r="C29" i="4"/>
  <c r="C28" i="4"/>
  <c r="E50" i="4"/>
  <c r="E49" i="4"/>
  <c r="E48" i="4"/>
  <c r="D48" i="4"/>
  <c r="E46" i="4"/>
  <c r="E44" i="4"/>
  <c r="D44" i="4"/>
  <c r="E42" i="4"/>
  <c r="E41" i="4"/>
  <c r="E40" i="4"/>
  <c r="D40" i="4"/>
  <c r="E38" i="4"/>
  <c r="E37" i="4"/>
  <c r="E36" i="4"/>
  <c r="D36" i="4"/>
  <c r="E34" i="4"/>
  <c r="E33" i="4"/>
  <c r="E32" i="4"/>
  <c r="D32" i="4"/>
  <c r="E30" i="4"/>
  <c r="E29" i="4"/>
  <c r="E28" i="4"/>
  <c r="D28" i="4"/>
  <c r="F55" i="4"/>
  <c r="B55" i="4"/>
  <c r="F59" i="4"/>
  <c r="B59" i="4"/>
  <c r="G27" i="4"/>
  <c r="B27" i="4"/>
  <c r="G48" i="3"/>
  <c r="F48" i="3"/>
  <c r="G47" i="3"/>
  <c r="F47" i="3"/>
  <c r="G46" i="3"/>
  <c r="F46" i="3"/>
  <c r="C48" i="3"/>
  <c r="B48" i="3"/>
  <c r="C47" i="3"/>
  <c r="B47" i="3"/>
  <c r="C46" i="3"/>
  <c r="B46" i="3"/>
  <c r="G40" i="3"/>
  <c r="F40" i="3"/>
  <c r="G39" i="3"/>
  <c r="F39" i="3"/>
  <c r="G38" i="3"/>
  <c r="F38" i="3"/>
  <c r="C40" i="3"/>
  <c r="B40" i="3"/>
  <c r="C39" i="3"/>
  <c r="B39" i="3"/>
  <c r="C38" i="3"/>
  <c r="B38" i="3"/>
  <c r="G44" i="3"/>
  <c r="F44" i="3"/>
  <c r="G43" i="3"/>
  <c r="F43" i="3"/>
  <c r="G42" i="3"/>
  <c r="F42" i="3"/>
  <c r="C44" i="3"/>
  <c r="C43" i="3"/>
  <c r="C42" i="3"/>
  <c r="G36" i="3"/>
  <c r="F36" i="3"/>
  <c r="G35" i="3"/>
  <c r="F35" i="3"/>
  <c r="G34" i="3"/>
  <c r="F34" i="3"/>
  <c r="C36" i="3"/>
  <c r="B36" i="3"/>
  <c r="C35" i="3"/>
  <c r="B35" i="3"/>
  <c r="C34" i="3"/>
  <c r="B34" i="3"/>
  <c r="E48" i="3"/>
  <c r="E47" i="3"/>
  <c r="E46" i="3"/>
  <c r="D46" i="3"/>
  <c r="E44" i="3"/>
  <c r="E43" i="3"/>
  <c r="E42" i="3"/>
  <c r="D42" i="3"/>
  <c r="E40" i="3"/>
  <c r="E39" i="3"/>
  <c r="E38" i="3"/>
  <c r="D38" i="3"/>
  <c r="E36" i="3"/>
  <c r="E35" i="3"/>
  <c r="D34" i="3"/>
  <c r="G32" i="3"/>
  <c r="F32" i="3"/>
  <c r="C32" i="3"/>
  <c r="B32" i="3"/>
  <c r="G31" i="3"/>
  <c r="F31" i="3"/>
  <c r="C31" i="3"/>
  <c r="B31" i="3"/>
  <c r="E32" i="3"/>
  <c r="E31" i="3"/>
  <c r="E30" i="3"/>
  <c r="E28" i="3"/>
  <c r="C28" i="3"/>
  <c r="E27" i="3"/>
  <c r="C27" i="3"/>
  <c r="E26" i="3"/>
  <c r="D26" i="3"/>
  <c r="C26" i="3"/>
  <c r="B53" i="3"/>
  <c r="B57" i="3"/>
  <c r="G25" i="3"/>
  <c r="F25" i="3"/>
  <c r="F28" i="3" s="1"/>
  <c r="B25" i="3"/>
  <c r="B21" i="3"/>
  <c r="B20" i="3"/>
  <c r="G18" i="3"/>
  <c r="G19" i="3"/>
  <c r="G20" i="3"/>
  <c r="B37" i="2"/>
  <c r="B35" i="2"/>
  <c r="B36" i="2"/>
  <c r="C41" i="2"/>
  <c r="B41" i="2"/>
  <c r="C39" i="2"/>
  <c r="B39" i="2"/>
  <c r="C40" i="2"/>
  <c r="B40" i="2"/>
  <c r="B49" i="2"/>
  <c r="B47" i="2"/>
  <c r="B48" i="2"/>
  <c r="B45" i="2"/>
  <c r="B43" i="2"/>
  <c r="B44" i="2"/>
  <c r="B29" i="2"/>
  <c r="B27" i="2"/>
  <c r="B28" i="2"/>
  <c r="B33" i="2"/>
  <c r="B31" i="2"/>
  <c r="B32" i="2"/>
  <c r="B58" i="3" l="1"/>
  <c r="B59" i="3"/>
  <c r="B60" i="3"/>
  <c r="B56" i="3"/>
  <c r="B54" i="3"/>
  <c r="B55" i="3"/>
  <c r="C52" i="15"/>
  <c r="C51" i="15"/>
  <c r="C50" i="15"/>
  <c r="D51" i="15"/>
  <c r="D50" i="15"/>
  <c r="D52" i="15"/>
  <c r="G52" i="15"/>
  <c r="G50" i="15"/>
  <c r="G51" i="15"/>
  <c r="K51" i="15"/>
  <c r="K52" i="15"/>
  <c r="K50" i="15"/>
  <c r="C67" i="15"/>
  <c r="K55" i="15"/>
  <c r="J56" i="15"/>
  <c r="I54" i="15"/>
  <c r="G55" i="15"/>
  <c r="B54" i="15"/>
  <c r="C54" i="15"/>
  <c r="C56" i="15"/>
  <c r="J54" i="15"/>
  <c r="H55" i="15"/>
  <c r="G56" i="15"/>
  <c r="K56" i="15"/>
  <c r="B55" i="15"/>
  <c r="I55" i="15"/>
  <c r="H56" i="15"/>
  <c r="B8" i="6"/>
  <c r="C68" i="8"/>
  <c r="C47" i="8"/>
  <c r="C37" i="6"/>
  <c r="B26" i="6"/>
  <c r="E34" i="6"/>
  <c r="C66" i="6"/>
  <c r="B65" i="6"/>
  <c r="C52" i="8"/>
  <c r="C79" i="8"/>
  <c r="H54" i="6"/>
  <c r="C54" i="8"/>
  <c r="C66" i="8"/>
  <c r="D48" i="15"/>
  <c r="D47" i="15"/>
  <c r="D46" i="15"/>
  <c r="F49" i="15"/>
  <c r="D43" i="15"/>
  <c r="D44" i="15"/>
  <c r="D42" i="15"/>
  <c r="D67" i="15"/>
  <c r="D66" i="15"/>
  <c r="D61" i="15" s="1"/>
  <c r="D64" i="15" s="1"/>
  <c r="D49" i="6"/>
  <c r="B26" i="3"/>
  <c r="E28" i="6"/>
  <c r="E35" i="6"/>
  <c r="C31" i="6"/>
  <c r="D43" i="6"/>
  <c r="C45" i="6"/>
  <c r="I49" i="6"/>
  <c r="D50" i="6"/>
  <c r="I44" i="6"/>
  <c r="I46" i="6"/>
  <c r="I51" i="6"/>
  <c r="E66" i="6"/>
  <c r="D67" i="6"/>
  <c r="C68" i="6"/>
  <c r="C69" i="6"/>
  <c r="B49" i="8"/>
  <c r="B53" i="8"/>
  <c r="B50" i="8"/>
  <c r="B65" i="8"/>
  <c r="B67" i="8"/>
  <c r="B70" i="8"/>
  <c r="B76" i="8"/>
  <c r="B78" i="8"/>
  <c r="E30" i="6"/>
  <c r="C36" i="6"/>
  <c r="D45" i="6"/>
  <c r="E67" i="6"/>
  <c r="D68" i="6"/>
  <c r="C34" i="8"/>
  <c r="C49" i="8"/>
  <c r="B56" i="8"/>
  <c r="C65" i="8"/>
  <c r="C70" i="8"/>
  <c r="C76" i="8"/>
  <c r="C29" i="6"/>
  <c r="C67" i="6"/>
  <c r="C72" i="8"/>
  <c r="E68" i="6"/>
  <c r="C38" i="8"/>
  <c r="B47" i="8"/>
  <c r="B52" i="8"/>
  <c r="B66" i="8"/>
  <c r="B72" i="8"/>
  <c r="B77" i="8"/>
  <c r="H51" i="6"/>
  <c r="H52" i="6"/>
  <c r="H47" i="6"/>
  <c r="H46" i="6"/>
  <c r="B47" i="15"/>
  <c r="B46" i="15"/>
  <c r="C47" i="15"/>
  <c r="B48" i="15"/>
  <c r="C48" i="15"/>
  <c r="F13" i="18"/>
  <c r="F14" i="18"/>
  <c r="F15" i="18"/>
  <c r="F16" i="18"/>
  <c r="B32" i="8"/>
  <c r="B37" i="8"/>
  <c r="B39" i="8"/>
  <c r="C50" i="8"/>
  <c r="C56" i="8"/>
  <c r="C60" i="8"/>
  <c r="C62" i="8"/>
  <c r="B62" i="8"/>
  <c r="C32" i="8"/>
  <c r="C37" i="8"/>
  <c r="B48" i="8"/>
  <c r="B61" i="8"/>
  <c r="B63" i="8"/>
  <c r="B71" i="8"/>
  <c r="B34" i="8"/>
  <c r="C48" i="8"/>
  <c r="C61" i="8"/>
  <c r="C71" i="8"/>
  <c r="F45" i="4"/>
  <c r="G45" i="4"/>
  <c r="B45" i="4"/>
  <c r="F32" i="4"/>
  <c r="F34" i="4"/>
  <c r="F33" i="4"/>
  <c r="B28" i="4"/>
  <c r="B30" i="4"/>
  <c r="F30" i="4"/>
  <c r="G30" i="4"/>
  <c r="F28" i="4"/>
  <c r="B29" i="4"/>
  <c r="F29" i="4"/>
  <c r="G28" i="4"/>
  <c r="G29" i="4"/>
  <c r="F36" i="4"/>
  <c r="F37" i="4"/>
  <c r="F38" i="4"/>
  <c r="B44" i="4"/>
  <c r="B46" i="4"/>
  <c r="F44" i="4"/>
  <c r="F46" i="4"/>
  <c r="G44" i="4"/>
  <c r="G46" i="4"/>
  <c r="F48" i="4"/>
  <c r="F49" i="4"/>
  <c r="F50" i="4"/>
  <c r="G27" i="3"/>
  <c r="B28" i="3"/>
  <c r="B27" i="3"/>
  <c r="G28" i="3"/>
  <c r="G26" i="3"/>
  <c r="F26" i="3"/>
  <c r="F27" i="3"/>
  <c r="B42" i="3"/>
  <c r="B43" i="3"/>
  <c r="B44" i="3"/>
  <c r="F66" i="15" l="1"/>
  <c r="F67" i="15"/>
  <c r="D55" i="15"/>
  <c r="D54" i="15"/>
  <c r="D56" i="15"/>
  <c r="B50" i="4"/>
  <c r="B49" i="4"/>
  <c r="B48" i="4"/>
  <c r="F19" i="3" l="1"/>
  <c r="B19" i="3"/>
  <c r="F18" i="3"/>
  <c r="B18" i="3"/>
  <c r="B24" i="4"/>
  <c r="G24" i="4"/>
  <c r="F24" i="4"/>
  <c r="I20" i="6"/>
  <c r="D20" i="6"/>
  <c r="C20" i="6"/>
  <c r="I19" i="6"/>
  <c r="D19" i="6"/>
  <c r="C19" i="6"/>
  <c r="B19" i="6" s="1"/>
  <c r="D25" i="17"/>
  <c r="B25" i="17"/>
  <c r="D26" i="17"/>
  <c r="B26" i="17"/>
  <c r="B27" i="17"/>
  <c r="B20" i="6" l="1"/>
  <c r="B7" i="17"/>
  <c r="B12" i="17" s="1"/>
  <c r="B8" i="17"/>
  <c r="B10" i="17"/>
  <c r="B23" i="17" s="1"/>
  <c r="C11" i="17"/>
  <c r="C12" i="17"/>
  <c r="D12" i="17"/>
  <c r="C13" i="17"/>
  <c r="D13" i="17"/>
  <c r="C14" i="17"/>
  <c r="D14" i="17"/>
  <c r="C15" i="17"/>
  <c r="D15" i="17"/>
  <c r="B16" i="17"/>
  <c r="C16" i="17"/>
  <c r="D17" i="17"/>
  <c r="B18" i="17"/>
  <c r="D18" i="17"/>
  <c r="B19" i="17"/>
  <c r="D19" i="17"/>
  <c r="B20" i="17"/>
  <c r="D20" i="17"/>
  <c r="B21" i="17"/>
  <c r="D21" i="17"/>
  <c r="B22" i="17"/>
  <c r="D22" i="17"/>
  <c r="B24" i="17"/>
  <c r="B13" i="17" l="1"/>
  <c r="B14" i="17"/>
  <c r="B15" i="17"/>
  <c r="B11" i="17"/>
  <c r="B23" i="4"/>
  <c r="G32" i="15"/>
  <c r="D14" i="16"/>
  <c r="D15" i="16"/>
  <c r="E24" i="6"/>
  <c r="E12" i="6"/>
  <c r="C22" i="6"/>
  <c r="B22" i="6" s="1"/>
  <c r="G29" i="15"/>
  <c r="K30" i="15"/>
  <c r="G30" i="15"/>
  <c r="K16" i="15"/>
  <c r="G16" i="15"/>
  <c r="B7" i="3"/>
  <c r="F20" i="3"/>
  <c r="F7" i="3"/>
  <c r="B22" i="4"/>
  <c r="B10" i="3"/>
  <c r="G10" i="4"/>
  <c r="B10" i="4"/>
  <c r="B11" i="4"/>
  <c r="G18" i="4"/>
  <c r="F18" i="4"/>
  <c r="B20" i="4"/>
  <c r="B18" i="4" s="1"/>
  <c r="B19" i="4"/>
  <c r="G19" i="4" l="1"/>
  <c r="F20" i="4"/>
  <c r="F19" i="4" l="1"/>
  <c r="C15" i="13" l="1"/>
  <c r="B15" i="13"/>
  <c r="B11" i="9"/>
  <c r="C16" i="8"/>
  <c r="B20" i="2"/>
  <c r="E17" i="9" l="1"/>
  <c r="C17" i="9"/>
  <c r="B17" i="9"/>
  <c r="C15" i="8"/>
  <c r="B15" i="8"/>
  <c r="B16" i="8" s="1"/>
  <c r="K18" i="6"/>
  <c r="J18" i="6"/>
  <c r="I18" i="6" l="1"/>
  <c r="D18" i="6"/>
  <c r="B18" i="6" s="1"/>
  <c r="D24" i="15"/>
  <c r="B16" i="2"/>
  <c r="I4" i="15" l="1"/>
  <c r="J4" i="15"/>
  <c r="M4" i="15"/>
  <c r="N4" i="15"/>
  <c r="L5" i="15"/>
  <c r="D6" i="15"/>
  <c r="D11" i="15"/>
  <c r="D12" i="15"/>
  <c r="B14" i="15"/>
  <c r="B19" i="15" s="1"/>
  <c r="C14" i="15"/>
  <c r="D14" i="15"/>
  <c r="C16" i="15"/>
  <c r="D16" i="15"/>
  <c r="G19" i="15"/>
  <c r="I19" i="15"/>
  <c r="K19" i="15"/>
  <c r="M19" i="15"/>
  <c r="B20" i="15"/>
  <c r="C20" i="15"/>
  <c r="G20" i="15"/>
  <c r="H20" i="15"/>
  <c r="K20" i="15"/>
  <c r="L20" i="15"/>
  <c r="E20" i="15"/>
  <c r="B21" i="15"/>
  <c r="C21" i="15"/>
  <c r="D21" i="15"/>
  <c r="G21" i="15"/>
  <c r="H21" i="15"/>
  <c r="K21" i="15"/>
  <c r="L21" i="15"/>
  <c r="E21" i="15"/>
  <c r="B22" i="15"/>
  <c r="C22" i="15"/>
  <c r="D22" i="15"/>
  <c r="G22" i="15"/>
  <c r="H22" i="15"/>
  <c r="K22" i="15"/>
  <c r="L22" i="15"/>
  <c r="E22" i="15"/>
  <c r="B23" i="15"/>
  <c r="C23" i="15"/>
  <c r="D23" i="15"/>
  <c r="G23" i="15"/>
  <c r="H23" i="15"/>
  <c r="K23" i="15"/>
  <c r="L23" i="15"/>
  <c r="E23" i="15"/>
  <c r="C19" i="15" l="1"/>
  <c r="D20" i="15"/>
  <c r="D19" i="15"/>
  <c r="C14" i="13"/>
  <c r="B14" i="13"/>
  <c r="C13" i="13"/>
  <c r="B13" i="13"/>
  <c r="C12" i="13"/>
  <c r="B12" i="13"/>
  <c r="C11" i="13"/>
  <c r="B11" i="13"/>
  <c r="F17" i="12"/>
  <c r="E17" i="12"/>
  <c r="D17" i="12"/>
  <c r="C17" i="12"/>
  <c r="B17" i="12"/>
  <c r="F16" i="12"/>
  <c r="E16" i="12"/>
  <c r="D16" i="12"/>
  <c r="C16" i="12"/>
  <c r="B16" i="12"/>
  <c r="F15" i="12"/>
  <c r="E15" i="12"/>
  <c r="D15" i="12"/>
  <c r="C15" i="12"/>
  <c r="B15" i="12"/>
  <c r="F14" i="12"/>
  <c r="E14" i="12"/>
  <c r="D14" i="12"/>
  <c r="C14" i="12"/>
  <c r="B14" i="12"/>
  <c r="E16" i="9"/>
  <c r="D16" i="9"/>
  <c r="C16" i="9"/>
  <c r="B16" i="9"/>
  <c r="E15" i="9"/>
  <c r="D15" i="9"/>
  <c r="C15" i="9"/>
  <c r="B15" i="9"/>
  <c r="E14" i="9"/>
  <c r="D14" i="9"/>
  <c r="C14" i="9"/>
  <c r="B14" i="9"/>
  <c r="E13" i="9"/>
  <c r="D13" i="9"/>
  <c r="C13" i="9"/>
  <c r="B13" i="9"/>
  <c r="C14" i="8"/>
  <c r="B14" i="8"/>
  <c r="C13" i="8"/>
  <c r="B13" i="8"/>
  <c r="C12" i="8"/>
  <c r="B12" i="8"/>
  <c r="C11" i="8"/>
  <c r="B11" i="8"/>
  <c r="K17" i="6"/>
  <c r="J17" i="6"/>
  <c r="H17" i="6"/>
  <c r="G17" i="6"/>
  <c r="F17" i="6"/>
  <c r="E17" i="6"/>
  <c r="K16" i="6"/>
  <c r="J16" i="6"/>
  <c r="H16" i="6"/>
  <c r="G16" i="6"/>
  <c r="F16" i="6"/>
  <c r="E16" i="6"/>
  <c r="K15" i="6"/>
  <c r="J15" i="6"/>
  <c r="H15" i="6"/>
  <c r="G15" i="6"/>
  <c r="F15" i="6"/>
  <c r="E15" i="6"/>
  <c r="K14" i="6"/>
  <c r="J14" i="6"/>
  <c r="H14" i="6"/>
  <c r="G14" i="6"/>
  <c r="F14" i="6"/>
  <c r="E14" i="6"/>
  <c r="G15" i="3"/>
  <c r="F15" i="3"/>
  <c r="E15" i="3"/>
  <c r="C15" i="3"/>
  <c r="B15" i="3"/>
  <c r="G14" i="3"/>
  <c r="F14" i="3"/>
  <c r="E14" i="3"/>
  <c r="C14" i="3"/>
  <c r="B14" i="3"/>
  <c r="G13" i="3"/>
  <c r="F13" i="3"/>
  <c r="E13" i="3"/>
  <c r="C13" i="3"/>
  <c r="B13" i="3"/>
  <c r="G12" i="3"/>
  <c r="F12" i="3"/>
  <c r="E12" i="3"/>
  <c r="D12" i="3"/>
  <c r="C12" i="3"/>
  <c r="B12" i="3"/>
  <c r="C15" i="2"/>
  <c r="B15" i="2"/>
  <c r="C14" i="2"/>
  <c r="B14" i="2"/>
  <c r="C13" i="2"/>
  <c r="B13" i="2"/>
  <c r="C12" i="2"/>
  <c r="B12" i="2"/>
  <c r="G16" i="4"/>
  <c r="G15" i="4"/>
  <c r="G14" i="4"/>
  <c r="G13" i="4"/>
  <c r="F16" i="4"/>
  <c r="F15" i="4"/>
  <c r="F14" i="4"/>
  <c r="F13" i="4"/>
  <c r="E16" i="4"/>
  <c r="E15" i="4"/>
  <c r="E14" i="4"/>
  <c r="E13" i="4"/>
  <c r="C16" i="4"/>
  <c r="C15" i="4"/>
  <c r="C14" i="4"/>
  <c r="C13" i="4"/>
  <c r="B16" i="4"/>
  <c r="B15" i="4"/>
  <c r="B14" i="4"/>
  <c r="B13" i="4"/>
  <c r="D12" i="4"/>
  <c r="F11" i="3"/>
  <c r="D11" i="3"/>
  <c r="B11" i="3"/>
  <c r="F6" i="4"/>
  <c r="F8" i="4"/>
  <c r="F10" i="4"/>
  <c r="F11" i="4"/>
  <c r="I9" i="6"/>
  <c r="I15" i="6" s="1"/>
  <c r="F12" i="9"/>
  <c r="F11" i="9"/>
  <c r="F10" i="9"/>
  <c r="F9" i="9"/>
  <c r="F8" i="9"/>
  <c r="F7" i="9"/>
  <c r="F6" i="9"/>
  <c r="F12" i="4" l="1"/>
  <c r="F16" i="9"/>
  <c r="F17" i="9"/>
  <c r="I16" i="6"/>
  <c r="F13" i="9"/>
  <c r="I17" i="6"/>
  <c r="F14" i="9"/>
  <c r="I14" i="6"/>
  <c r="F15" i="9"/>
  <c r="B11" i="2"/>
  <c r="E4" i="12" l="1"/>
  <c r="D4" i="12"/>
  <c r="C4" i="12"/>
  <c r="D12" i="6" l="1"/>
  <c r="C9" i="8" l="1"/>
  <c r="B21" i="7" l="1"/>
  <c r="B20" i="7" l="1"/>
  <c r="B10" i="9"/>
  <c r="C12" i="6"/>
  <c r="B12" i="6" s="1"/>
  <c r="C8" i="8"/>
  <c r="B8" i="8"/>
  <c r="B9" i="8" s="1"/>
  <c r="B10" i="8" s="1"/>
  <c r="B12" i="4" l="1"/>
  <c r="I6" i="6"/>
  <c r="C6" i="8"/>
  <c r="B6" i="8"/>
  <c r="B5" i="8" s="1"/>
  <c r="C5" i="6" l="1"/>
  <c r="B5" i="6" s="1"/>
  <c r="C9" i="6"/>
  <c r="C6" i="6"/>
  <c r="B6" i="6" s="1"/>
  <c r="C17" i="6" l="1"/>
  <c r="C16" i="6"/>
  <c r="C15" i="6"/>
  <c r="C14" i="6"/>
  <c r="D9" i="6"/>
  <c r="B9" i="6" s="1"/>
  <c r="D16" i="6" l="1"/>
  <c r="B16" i="6" s="1"/>
  <c r="D15" i="6"/>
  <c r="B15" i="6" s="1"/>
  <c r="D14" i="6"/>
  <c r="B14" i="6" s="1"/>
  <c r="D17" i="6"/>
  <c r="B17" i="6" s="1"/>
  <c r="B19" i="7"/>
  <c r="C7" i="7" s="1"/>
  <c r="B18" i="7"/>
  <c r="G6" i="4" s="1"/>
  <c r="B10" i="7"/>
  <c r="E37" i="15" l="1"/>
  <c r="E34" i="15" s="1"/>
  <c r="C21" i="8"/>
  <c r="E7" i="15"/>
  <c r="G31" i="4"/>
  <c r="C46" i="2"/>
  <c r="C19" i="2"/>
  <c r="C26" i="2"/>
  <c r="C17" i="2"/>
  <c r="C42" i="2"/>
  <c r="C22" i="8"/>
  <c r="G25" i="4"/>
  <c r="C31" i="8"/>
  <c r="C9" i="2"/>
  <c r="C18" i="2"/>
  <c r="E6" i="15"/>
  <c r="J6" i="6"/>
  <c r="C11" i="2"/>
  <c r="G12" i="4"/>
  <c r="G11" i="3"/>
  <c r="C6" i="7"/>
  <c r="C10" i="7"/>
  <c r="C4" i="7"/>
  <c r="C8" i="7"/>
  <c r="C11" i="7"/>
  <c r="C5" i="7"/>
  <c r="C9" i="7"/>
  <c r="C12" i="7"/>
  <c r="E36" i="15" l="1"/>
  <c r="E35" i="15"/>
  <c r="C35" i="2"/>
  <c r="C37" i="2"/>
  <c r="C36" i="2"/>
  <c r="C33" i="2"/>
  <c r="C32" i="2"/>
  <c r="C31" i="2"/>
  <c r="E19" i="15"/>
  <c r="C42" i="8"/>
  <c r="C43" i="8"/>
  <c r="C36" i="8"/>
  <c r="C43" i="2"/>
  <c r="C44" i="2"/>
  <c r="C45" i="2"/>
  <c r="C47" i="2"/>
  <c r="C49" i="2"/>
  <c r="C48" i="2"/>
  <c r="K6" i="6"/>
  <c r="J27" i="16"/>
  <c r="J23" i="16"/>
  <c r="J19" i="16"/>
  <c r="C30" i="8"/>
  <c r="J26" i="16"/>
  <c r="J20" i="16"/>
  <c r="J18" i="16"/>
  <c r="C46" i="8"/>
  <c r="J25" i="16"/>
  <c r="J22" i="16"/>
  <c r="J11" i="16"/>
  <c r="C24" i="8"/>
  <c r="K21" i="6"/>
  <c r="J24" i="16"/>
  <c r="J21" i="16"/>
  <c r="J12" i="16"/>
  <c r="C23" i="8"/>
  <c r="K22" i="6"/>
  <c r="C28" i="2"/>
  <c r="C29" i="2"/>
  <c r="C27" i="2"/>
  <c r="E38" i="15"/>
  <c r="E39" i="15"/>
  <c r="E40" i="15"/>
  <c r="G33" i="4"/>
  <c r="G34" i="4"/>
  <c r="G32" i="4"/>
  <c r="K35" i="6" l="1"/>
  <c r="K28" i="6"/>
  <c r="K34" i="6"/>
  <c r="K33" i="6"/>
  <c r="K30" i="6"/>
  <c r="K32" i="6"/>
  <c r="K39" i="6"/>
  <c r="K38" i="6"/>
  <c r="K37" i="6"/>
  <c r="K36" i="6"/>
  <c r="K29" i="6"/>
  <c r="K31" i="6"/>
  <c r="C51" i="8"/>
  <c r="C57" i="8"/>
  <c r="C58" i="8"/>
  <c r="C41" i="8"/>
  <c r="C35" i="8"/>
  <c r="C40" i="8"/>
  <c r="C3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</authors>
  <commentList>
    <comment ref="B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1/1.6 : http://ietd.iipnetwork.org/content/coke-making</t>
        </r>
      </text>
    </comment>
    <comment ref="B33" authorId="0" shapeId="0" xr:uid="{66FF35DC-F3BE-1D47-A932-D639B5A3E0E4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1/1.6 : http://ietd.iipnetwork.org/content/coke-making</t>
        </r>
      </text>
    </comment>
    <comment ref="C45" authorId="0" shapeId="0" xr:uid="{D1953C1B-3538-D94E-AF06-855652997AFF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from bandwidth study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  <author>Microsoft Office User</author>
  </authors>
  <commentList>
    <comment ref="B10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https://www.epa.gov/sites/production/files/2015-02/documents/tsd_iron_and_steel_epa_9-8-08.pdf</t>
        </r>
      </text>
    </comment>
    <comment ref="B2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Assuming natural gas is 75% C</t>
        </r>
      </text>
    </comment>
    <comment ref="F33" authorId="1" shapeId="0" xr:uid="{00000000-0006-0000-0200-000003000000}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0.028 in Kuromochi
</t>
        </r>
      </text>
    </comment>
    <comment ref="B41" authorId="0" shapeId="0" xr:uid="{00000000-0006-0000-0200-000004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https://www.epa.gov/sites/production/files/2015-02/documents/tsd_iron_and_steel_epa_9-8-08.pdf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  <author>Microsoft Office User</author>
  </authors>
  <commentList>
    <comment ref="F9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from other Kuronov study: https://link.springer.com/content/pdf/10.1007%2Fs11015-010-9247-8.pdf</t>
        </r>
      </text>
    </comment>
    <comment ref="F26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ratio of CaO to C in Fusing Agent, assuming the fusing agent is limestone</t>
        </r>
      </text>
    </comment>
    <comment ref="F31" authorId="1" shapeId="0" xr:uid="{00000000-0006-0000-0300-000003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0.079 in source
</t>
        </r>
      </text>
    </comment>
    <comment ref="F39" authorId="0" shapeId="0" xr:uid="{00000000-0006-0000-0300-000004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from other Kuronov study: https://link.springer.com/content/pdf/10.1007%2Fs11015-010-9247-8.pdf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S.E. Tanzer</author>
  </authors>
  <commentList>
    <comment ref="E6" authorId="0" shapeId="0" xr:uid="{00000000-0006-0000-0400-000001000000}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Net: electricity use minus TRT electricity production
</t>
        </r>
      </text>
    </comment>
    <comment ref="E7" authorId="0" shapeId="0" xr:uid="{00000000-0006-0000-0400-000002000000}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Net: electricity use minus TRT electricity production
</t>
        </r>
      </text>
    </comment>
    <comment ref="C14" authorId="1" shapeId="0" xr:uid="{00000000-0006-0000-0400-000003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Pellet demand % from https://link.springer.com/content/pdf/10.1007%2Fs11015-010-9247-8.pdf 
Assumption of ratio of total ore-load demand</t>
        </r>
      </text>
    </comment>
    <comment ref="D16" authorId="1" shapeId="0" xr:uid="{00000000-0006-0000-0400-000004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https://www.energystar.gov/ia/business/industry/Iron_Steel_Guide.pdf</t>
        </r>
      </text>
    </comment>
    <comment ref="G16" authorId="1" shapeId="0" xr:uid="{00000000-0006-0000-0400-000005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https://link.springer.com/content/pdf/10.1007%2Fs11015-015-0141-2.pdf
</t>
        </r>
      </text>
    </comment>
    <comment ref="K16" authorId="1" shapeId="0" xr:uid="{00000000-0006-0000-0400-000006000000}">
      <text>
        <r>
          <rPr>
            <b/>
            <sz val="9"/>
            <color indexed="81"/>
            <rFont val="Tahoma"/>
            <family val="2"/>
          </rPr>
          <t xml:space="preserve">S.E. Tanzer: </t>
        </r>
        <r>
          <rPr>
            <sz val="9"/>
            <color indexed="81"/>
            <rFont val="Tahoma"/>
            <family val="2"/>
          </rPr>
          <t>Currently from Bandwidth report typical; 1.88 is from natural gas and 2.13 from coal
https://link.springer.com/content/pdf/10.1007%2Fs11015-015-0141-2.pdf</t>
        </r>
      </text>
    </comment>
    <comment ref="F27" authorId="1" shapeId="0" xr:uid="{00000000-0006-0000-0400-000007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possibly *also* 43 m3/t HM? Unlcear if they're cumulative
</t>
        </r>
      </text>
    </comment>
    <comment ref="K27" authorId="1" shapeId="0" xr:uid="{00000000-0006-0000-0400-000008000000}">
      <text>
        <r>
          <rPr>
            <b/>
            <sz val="9"/>
            <color indexed="81"/>
            <rFont val="Tahoma"/>
            <family val="2"/>
          </rPr>
          <t>S.E. Tanzer:
increased from 0.162 to account for also 0.03 of oil and 0.002 of nat gas</t>
        </r>
      </text>
    </comment>
    <comment ref="K30" authorId="1" shapeId="0" xr:uid="{00000000-0006-0000-0400-000009000000}">
      <text>
        <r>
          <rPr>
            <b/>
            <sz val="9"/>
            <color indexed="81"/>
            <rFont val="Tahoma"/>
            <family val="2"/>
          </rPr>
          <t xml:space="preserve">S.E. Tanzer:
</t>
        </r>
        <r>
          <rPr>
            <sz val="9"/>
            <color indexed="81"/>
            <rFont val="Tahoma"/>
            <family val="2"/>
          </rPr>
          <t>0.141 is oil. Nat gas not in SoA</t>
        </r>
      </text>
    </comment>
    <comment ref="K31" authorId="1" shapeId="0" xr:uid="{00000000-0006-0000-0400-00000A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Natural Gas + Coal in GJ</t>
        </r>
      </text>
    </comment>
    <comment ref="F33" authorId="1" shapeId="0" xr:uid="{00000000-0006-0000-0400-00000B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possibly *also* 43 m3/t HM? Unlcear if they're cumulative
</t>
        </r>
      </text>
    </comment>
    <comment ref="K33" authorId="1" shapeId="0" xr:uid="{00000000-0006-0000-0400-00000C000000}">
      <text>
        <r>
          <rPr>
            <b/>
            <sz val="9"/>
            <color rgb="FF000000"/>
            <rFont val="Tahoma"/>
            <family val="2"/>
          </rPr>
          <t xml:space="preserve">S.E. Tanzer:
</t>
        </r>
        <r>
          <rPr>
            <b/>
            <sz val="9"/>
            <color rgb="FF000000"/>
            <rFont val="Tahoma"/>
            <family val="2"/>
          </rPr>
          <t>increased from 0.162 to account for also 0.03 of oil and 0.002 of nat gas</t>
        </r>
      </text>
    </comment>
    <comment ref="E37" authorId="0" shapeId="0" xr:uid="{00000000-0006-0000-0400-00000D000000}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Net: electricity use minus TRT electricity production
</t>
        </r>
      </text>
    </comment>
    <comment ref="C45" authorId="1" shapeId="0" xr:uid="{00000000-0006-0000-0400-00000F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Pellet demand % from https://link.springer.com/content/pdf/10.1007%2Fs11015-010-9247-8.pdf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Assumption of ratio of total ore-load demand</t>
        </r>
      </text>
    </comment>
    <comment ref="D49" authorId="1" shapeId="0" xr:uid="{00000000-0006-0000-0400-000010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https://www.energystar.gov/ia/business/industry/Iron_Steel_Guide.pdf</t>
        </r>
      </text>
    </comment>
    <comment ref="G49" authorId="1" shapeId="0" xr:uid="{00000000-0006-0000-0400-000011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https://link.springer.com/content/pdf/10.1007%2Fs11015-015-0141-2.pdf
</t>
        </r>
      </text>
    </comment>
    <comment ref="K49" authorId="1" shapeId="0" xr:uid="{00000000-0006-0000-0400-000012000000}">
      <text>
        <r>
          <rPr>
            <b/>
            <sz val="9"/>
            <color indexed="81"/>
            <rFont val="Tahoma"/>
            <family val="2"/>
          </rPr>
          <t xml:space="preserve">S.E. Tanzer: </t>
        </r>
        <r>
          <rPr>
            <sz val="9"/>
            <color indexed="81"/>
            <rFont val="Tahoma"/>
            <family val="2"/>
          </rPr>
          <t>Currently from Bandwidth report typical; 1.88 is from natural gas and 2.13 from coal
https://link.springer.com/content/pdf/10.1007%2Fs11015-015-0141-2.pdf</t>
        </r>
      </text>
    </comment>
    <comment ref="K69" authorId="0" shapeId="0" xr:uid="{787F6920-7222-EE4C-9EF1-29D0C3957B5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Zhang et al - </t>
        </r>
        <r>
          <rPr>
            <sz val="10"/>
            <color rgb="FF000000"/>
            <rFont val="Calibri"/>
            <family val="2"/>
            <scheme val="minor"/>
          </rPr>
          <t>doi:10.1088/1755-1315/233/5/052016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  <author>Microsoft Office User</author>
  </authors>
  <commentList>
    <comment ref="D2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"minimum energy" thus maximum scrap</t>
        </r>
      </text>
    </comment>
    <comment ref="K25" authorId="1" shapeId="0" xr:uid="{00000000-0006-0000-0500-000002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D26" authorId="0" shapeId="0" xr:uid="{00000000-0006-0000-0500-000003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"minimum energy" thus maximum scrap</t>
        </r>
      </text>
    </comment>
    <comment ref="K26" authorId="1" shapeId="0" xr:uid="{00000000-0006-0000-0500-000004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D27" authorId="0" shapeId="0" xr:uid="{00000000-0006-0000-0500-000005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"minimum energy" thus maximum scrap</t>
        </r>
      </text>
    </comment>
    <comment ref="K27" authorId="1" shapeId="0" xr:uid="{00000000-0006-0000-0500-000006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I40" authorId="1" shapeId="0" xr:uid="{00000000-0006-0000-0500-000007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0.011 in Li et al 2012
</t>
        </r>
      </text>
    </comment>
    <comment ref="K40" authorId="1" shapeId="0" xr:uid="{00000000-0006-0000-0500-000008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K41" authorId="1" shapeId="0" xr:uid="{00000000-0006-0000-0500-000009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K42" authorId="1" shapeId="0" xr:uid="{00000000-0006-0000-0500-00000A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K55" authorId="1" shapeId="0" xr:uid="{00000000-0006-0000-0500-00000B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K60" authorId="1" shapeId="0" xr:uid="{00000000-0006-0000-0500-00000C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K65" authorId="1" shapeId="0" xr:uid="{00000000-0006-0000-0500-00000D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K71" authorId="1" shapeId="0" xr:uid="{00000000-0006-0000-0500-00000E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S.E. Tanzer</author>
  </authors>
  <commentList>
    <comment ref="C6" authorId="0" shapeId="0" xr:uid="{00000000-0006-0000-0600-000001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9" authorId="0" shapeId="0" xr:uid="{00000000-0006-0000-0600-000002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16" authorId="0" shapeId="0" xr:uid="{00000000-0006-0000-0600-000003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44" authorId="0" shapeId="0" xr:uid="{00000000-0006-0000-0600-000004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64" authorId="0" shapeId="0" xr:uid="{00000000-0006-0000-0600-000005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74" authorId="1" shapeId="0" xr:uid="{00000000-0006-0000-0600-000006000000}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https://www.mdpi.com/1099-4300/20/4/232/htm</t>
        </r>
      </text>
    </comment>
    <comment ref="C75" authorId="0" shapeId="0" xr:uid="{00000000-0006-0000-0600-000007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  <author>Samantha Tanzer - TBM</author>
  </authors>
  <commentList>
    <comment ref="C5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C6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E6" authorId="1" shapeId="0" xr:uid="{00000000-0006-0000-0900-000003000000}">
      <text>
        <r>
          <rPr>
            <b/>
            <sz val="9"/>
            <color indexed="81"/>
            <rFont val="Tahoma"/>
            <family val="2"/>
          </rPr>
          <t>Samantha Tanzer - TBM:</t>
        </r>
        <r>
          <rPr>
            <sz val="9"/>
            <color indexed="81"/>
            <rFont val="Tahoma"/>
            <family val="2"/>
          </rPr>
          <t xml:space="preserve">
low pressure steam
</t>
        </r>
      </text>
    </comment>
    <comment ref="C7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00000000-0006-0000-0D00-000001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<sst xmlns="http://schemas.openxmlformats.org/spreadsheetml/2006/main" count="1782" uniqueCount="301">
  <si>
    <t>scenario</t>
  </si>
  <si>
    <t>meta-unit</t>
  </si>
  <si>
    <t>meta-notes</t>
  </si>
  <si>
    <t>default</t>
  </si>
  <si>
    <t>fossil fuel demand</t>
  </si>
  <si>
    <t>coking efficiency</t>
  </si>
  <si>
    <t>t coke out/t coal in</t>
  </si>
  <si>
    <t>electricity demand</t>
  </si>
  <si>
    <t>C to Slag</t>
  </si>
  <si>
    <t>Electricity Demand</t>
  </si>
  <si>
    <t>fuel demand</t>
  </si>
  <si>
    <t>biofuel cofire rate</t>
  </si>
  <si>
    <t>biofuel type</t>
  </si>
  <si>
    <t>CaO in pellets</t>
  </si>
  <si>
    <t>CaO in sinter</t>
  </si>
  <si>
    <t>secondary fuel type</t>
  </si>
  <si>
    <t>secondary fuel demand</t>
  </si>
  <si>
    <t>secondary-bio cofire</t>
  </si>
  <si>
    <t>secondary biofuel type</t>
  </si>
  <si>
    <t>CaO demand</t>
  </si>
  <si>
    <t>scrap demand</t>
  </si>
  <si>
    <t>fossil fuel type</t>
  </si>
  <si>
    <t>biomass cofire rate</t>
  </si>
  <si>
    <t>t solid fuel/t sinter</t>
  </si>
  <si>
    <t>t flux/t sinter</t>
  </si>
  <si>
    <t>sinter demand</t>
  </si>
  <si>
    <t>pellet demand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</si>
  <si>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</si>
  <si>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</si>
  <si>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</si>
  <si>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</si>
  <si>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</si>
  <si>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</si>
  <si>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</si>
  <si>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</si>
  <si>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</si>
  <si>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</si>
  <si>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</si>
  <si>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</si>
  <si>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</si>
  <si>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</si>
  <si>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</si>
  <si>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</si>
  <si>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</si>
  <si>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</si>
  <si>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GJ/t sinter</t>
  </si>
  <si>
    <t>t sinter/t hot metal</t>
  </si>
  <si>
    <t>t pellet / t hot metal</t>
  </si>
  <si>
    <t>t CaO/t hot metal</t>
  </si>
  <si>
    <t>t coke / t hot metal</t>
  </si>
  <si>
    <t>primary fuel demand</t>
  </si>
  <si>
    <t>primary fuel type</t>
  </si>
  <si>
    <t>primary-bio cofire</t>
  </si>
  <si>
    <t>% biofuel</t>
  </si>
  <si>
    <t>t fuel / t hot metal</t>
  </si>
  <si>
    <t>test</t>
  </si>
  <si>
    <t>coking coal</t>
  </si>
  <si>
    <t>GJ/t hot metal</t>
  </si>
  <si>
    <t>combustion eff</t>
  </si>
  <si>
    <t>O2 Recovery Eff</t>
  </si>
  <si>
    <t>fueltype</t>
  </si>
  <si>
    <t>biomass type</t>
  </si>
  <si>
    <t>Remainder is lost to coal gas</t>
  </si>
  <si>
    <t>GJ/t coke out</t>
  </si>
  <si>
    <t>t CO2 in slag/t CO2 in CaCO3</t>
  </si>
  <si>
    <t>GJ/t CaO</t>
  </si>
  <si>
    <t>coal</t>
  </si>
  <si>
    <t>GJ electricity/GJ fuel</t>
  </si>
  <si>
    <t>wood</t>
  </si>
  <si>
    <t>oxygen demand</t>
  </si>
  <si>
    <t>t scrap/t crude steel</t>
  </si>
  <si>
    <t>t O2/t crude steel</t>
  </si>
  <si>
    <t>GJ/t crude steel</t>
  </si>
  <si>
    <t>hot metal demand</t>
  </si>
  <si>
    <t>t hot metal / t crude steel</t>
  </si>
  <si>
    <t>GJ/t</t>
  </si>
  <si>
    <t>eff from IEA 2016</t>
  </si>
  <si>
    <t>Mbtu/ton in GJ/tonne</t>
  </si>
  <si>
    <t>meta-units</t>
  </si>
  <si>
    <t>short ton in metric tonnes</t>
  </si>
  <si>
    <t>meta-source</t>
  </si>
  <si>
    <t>http://www.infomine.ru/files/catalog/223/file_223_eng.pdf (rotary)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</si>
  <si>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</si>
  <si>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</si>
  <si>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</si>
  <si>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</si>
  <si>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</si>
  <si>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</si>
  <si>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</si>
  <si>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</si>
  <si>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</si>
  <si>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</si>
  <si>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</si>
  <si>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</si>
  <si>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</si>
  <si>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Birat 2010-VSPA</t>
  </si>
  <si>
    <t>VSPA+compression+cryo flash</t>
  </si>
  <si>
    <t>Birat 2010-amine</t>
  </si>
  <si>
    <t>amine + compression</t>
  </si>
  <si>
    <t>Birat 2010-PSA</t>
  </si>
  <si>
    <t>PSA+cryo distil+compression</t>
  </si>
  <si>
    <t>Losses</t>
  </si>
  <si>
    <t>Ancillary Emissions</t>
  </si>
  <si>
    <t>CO2 lost  / CO2 in</t>
  </si>
  <si>
    <t>t CO2 / t CO2 stored</t>
  </si>
  <si>
    <t>amine average from Kuromochi et al 2012</t>
  </si>
  <si>
    <t>China-BF-base</t>
  </si>
  <si>
    <t>EU-BF-base</t>
  </si>
  <si>
    <t>Japan-BF-base</t>
  </si>
  <si>
    <t>Russia-BF-base</t>
  </si>
  <si>
    <t>USA-BF-base</t>
  </si>
  <si>
    <t>coke - IPCC</t>
  </si>
  <si>
    <t>coke - CN</t>
  </si>
  <si>
    <t>coal coking - CN</t>
  </si>
  <si>
    <t>coal coking - IPCC</t>
  </si>
  <si>
    <t>coke - JP IPCC</t>
  </si>
  <si>
    <t>coal PCI - JP IPCC</t>
  </si>
  <si>
    <t>natural gas - RU</t>
  </si>
  <si>
    <t>coke - US</t>
  </si>
  <si>
    <t>natural gas - US</t>
  </si>
  <si>
    <t>coal coking - JP IPCC</t>
  </si>
  <si>
    <t>coal hard - RU</t>
  </si>
  <si>
    <t>coal coking - US</t>
  </si>
  <si>
    <t>natural gas - IPCC</t>
  </si>
  <si>
    <t>natural gas</t>
  </si>
  <si>
    <t>multi-mean</t>
  </si>
  <si>
    <t>India-BF-base</t>
  </si>
  <si>
    <t>SoKorea-BF-base</t>
  </si>
  <si>
    <t>meta-IEA2016</t>
  </si>
  <si>
    <t>Multi-mean</t>
  </si>
  <si>
    <t>EU-BF-I</t>
  </si>
  <si>
    <t>EU-BF-C</t>
  </si>
  <si>
    <t>EU-BF-M</t>
  </si>
  <si>
    <t>EU-BF-F</t>
  </si>
  <si>
    <t>PROXY electricity mix - CN</t>
  </si>
  <si>
    <t>ieaghg-reference</t>
  </si>
  <si>
    <t>coke</t>
  </si>
  <si>
    <t>PCI coal</t>
  </si>
  <si>
    <t>Process CO2</t>
  </si>
  <si>
    <t>Fuel Demand</t>
  </si>
  <si>
    <t>Biofuel Cofire Rate</t>
  </si>
  <si>
    <t>Biofuel Type</t>
  </si>
  <si>
    <t>EU-BAT-minimum</t>
  </si>
  <si>
    <t>EUROFER 2010</t>
  </si>
  <si>
    <t>EUROFER 1990</t>
  </si>
  <si>
    <t>t CO2 / t steel</t>
  </si>
  <si>
    <t>GJ Electricity / t steel</t>
  </si>
  <si>
    <t>Fresh Steel Demand</t>
  </si>
  <si>
    <t>t fresh steel / t EAF steel</t>
  </si>
  <si>
    <t>i.e. not scrap</t>
  </si>
  <si>
    <t>EU-BF-base-2050</t>
  </si>
  <si>
    <t>EU-BAT-average</t>
  </si>
  <si>
    <t>theoretical minimum</t>
  </si>
  <si>
    <t>from bandwidth study and (original is 1.36 HJ coke and 0.08 GJ Nat Gas)</t>
  </si>
  <si>
    <t>bandwidth study; 0.01 GJ of nat gas added to coke breeze. 0.35GJ  from recovered heat excluded here</t>
  </si>
  <si>
    <t>US-SOA</t>
  </si>
  <si>
    <t>t O2 / t hot metal</t>
  </si>
  <si>
    <t>EU-BF-base-2030</t>
  </si>
  <si>
    <t>birat 2010</t>
  </si>
  <si>
    <t>tertiary fuel type</t>
  </si>
  <si>
    <t>CaO Demand</t>
  </si>
  <si>
    <t>Oxygen Demand</t>
  </si>
  <si>
    <t>t O2/t EAF steel</t>
  </si>
  <si>
    <t>US-Typical</t>
  </si>
  <si>
    <t>EU-EAF-base</t>
  </si>
  <si>
    <t>US-practical minimum</t>
  </si>
  <si>
    <t>US practical minimum</t>
  </si>
  <si>
    <t>EU-EAF-base-2050</t>
  </si>
  <si>
    <t>EU-EAF-base-2030</t>
  </si>
  <si>
    <t>PROXY fuel mix (1:1 energy:mass unit)- Eurofer Electricity 2030</t>
  </si>
  <si>
    <t>PROXY fuel mix (1:1 energy:mass unit)- Eurofer Electricity 2010</t>
  </si>
  <si>
    <t>PROXY fuel mix (1:1 energy:mass unit)- Eurofer Electricity 2050</t>
  </si>
  <si>
    <t>EU-EAF-2015</t>
  </si>
  <si>
    <t>EU-EAF-2030</t>
  </si>
  <si>
    <t>EU-EAFB-2030</t>
  </si>
  <si>
    <t>EU-EAF-2050</t>
  </si>
  <si>
    <t>EU-EAFB-2050</t>
  </si>
  <si>
    <t>CH-EAF-2015</t>
  </si>
  <si>
    <t>CH-EAF-2030</t>
  </si>
  <si>
    <t>CH-EAFB-2030</t>
  </si>
  <si>
    <t>CH-EAF-2050</t>
  </si>
  <si>
    <t>CH-EAFB-2050</t>
  </si>
  <si>
    <t>EU BAT Average</t>
  </si>
  <si>
    <t>EU BAT Minimum</t>
  </si>
  <si>
    <t>Own projection based on US Bandwidth Study</t>
  </si>
  <si>
    <t>He et al</t>
  </si>
  <si>
    <t>US bandwidth study (2015)</t>
  </si>
  <si>
    <t>EU-BAT-min</t>
  </si>
  <si>
    <t>EU-BAT-avg</t>
  </si>
  <si>
    <t>4200MJ</t>
  </si>
  <si>
    <t>3300MJ</t>
  </si>
  <si>
    <t>Annual Shaft Kiln</t>
  </si>
  <si>
    <t>Mixed Shaft Kiln</t>
  </si>
  <si>
    <t>EU-BAT-max</t>
  </si>
  <si>
    <t>https://doi.org/10.1016/j.apenergy.2015.04.091</t>
  </si>
  <si>
    <t>http://www.infomine.ru/files/catalog/223/file_223_eng.pdf</t>
  </si>
  <si>
    <t>GJ/t Pellet</t>
  </si>
  <si>
    <t>EU-0B-2015</t>
  </si>
  <si>
    <t>EU-IB-2015</t>
  </si>
  <si>
    <t>EU-CB-2015</t>
  </si>
  <si>
    <t>EU-TB-2015</t>
  </si>
  <si>
    <t>EU-FB-2015</t>
  </si>
  <si>
    <t>CH-0B-2015</t>
  </si>
  <si>
    <t>CH-0B-2030</t>
  </si>
  <si>
    <t>CH-0B-2050</t>
  </si>
  <si>
    <t>CH-IB-2015</t>
  </si>
  <si>
    <t>CH-IB-2030</t>
  </si>
  <si>
    <t>CH-CB-2015</t>
  </si>
  <si>
    <t>CH-CB-2030</t>
  </si>
  <si>
    <t>CH-CB-2050</t>
  </si>
  <si>
    <t>CH-TB-2015</t>
  </si>
  <si>
    <t>CH-FB-2015</t>
  </si>
  <si>
    <t>JP-0B-2015</t>
  </si>
  <si>
    <t>JP-IB-2015</t>
  </si>
  <si>
    <t>JP-CB-2015</t>
  </si>
  <si>
    <t>JP-TB-2015</t>
  </si>
  <si>
    <t>JP-FB-2015</t>
  </si>
  <si>
    <t>RU-0B-2015</t>
  </si>
  <si>
    <t>RU-IB-2015</t>
  </si>
  <si>
    <t>RU-CB-2015</t>
  </si>
  <si>
    <t>RU-TB-2015</t>
  </si>
  <si>
    <t>RU-FB-2015</t>
  </si>
  <si>
    <t>US-0B-2015</t>
  </si>
  <si>
    <t>US-IB-2015</t>
  </si>
  <si>
    <t>US-CB-2015</t>
  </si>
  <si>
    <t>US-TB-2015</t>
  </si>
  <si>
    <t>US-FB-2015</t>
  </si>
  <si>
    <t>IN-0B-2015</t>
  </si>
  <si>
    <t>IN-IB-2015</t>
  </si>
  <si>
    <t>IN-CB-2015</t>
  </si>
  <si>
    <t>IN-TB-2015</t>
  </si>
  <si>
    <t>IN-FB-2015</t>
  </si>
  <si>
    <t>2013 data</t>
  </si>
  <si>
    <t>coke-CN</t>
  </si>
  <si>
    <t>China-HeEtAl2017</t>
  </si>
  <si>
    <t>China-LiEtAl2012</t>
  </si>
  <si>
    <t>natural gas - CN</t>
  </si>
  <si>
    <t>coke -CN</t>
  </si>
  <si>
    <t>also 9.6 kg C in ignite gas</t>
  </si>
  <si>
    <t>China-Kurunov2015</t>
  </si>
  <si>
    <t>coke-CH</t>
  </si>
  <si>
    <t>from Kurunov  2015</t>
  </si>
  <si>
    <t>China-IEA2007</t>
  </si>
  <si>
    <t>IEA 2007, jives with India Energy Ministry</t>
  </si>
  <si>
    <t>coal coking  - IPCC</t>
  </si>
  <si>
    <t>Russia-IEA2007</t>
  </si>
  <si>
    <t>Japan-IEA2007</t>
  </si>
  <si>
    <t>SouthKorea-IEA2007</t>
  </si>
  <si>
    <t>IEA 2007</t>
  </si>
  <si>
    <t>Bandwith Study</t>
  </si>
  <si>
    <t>US-typical</t>
  </si>
  <si>
    <t>Bandwidth Study</t>
  </si>
  <si>
    <t>SOA</t>
  </si>
  <si>
    <t>https://www.degruyter.com/downloadpdf/j/aoter.2015.36.issue-1/aoter-2015-0011/aoter-2015-0011.pdf</t>
  </si>
  <si>
    <t>10.4186/ej.2014.18.2.67</t>
  </si>
  <si>
    <t>Als2014-low</t>
  </si>
  <si>
    <t>Als2014-high</t>
  </si>
  <si>
    <t>coal coking - Birat</t>
  </si>
  <si>
    <t>coke - Birat</t>
  </si>
  <si>
    <t>O2 demand</t>
  </si>
  <si>
    <t>electricity PROXY electricity mix - CN</t>
  </si>
  <si>
    <t>electricity PROXY fuel mix (1:1 energy:mass unit)- Eurofer Electricity 2010</t>
  </si>
  <si>
    <t>electricity PROXY fuel mix (1:1 energy:mass unit)- Eurofer Electricity 2050</t>
  </si>
  <si>
    <t>electricity PROXY fuel mix (1:1 energy:mass unit)- Eurofer Electricity 2030</t>
  </si>
  <si>
    <t>electricity PROXY - EU 2016</t>
  </si>
  <si>
    <t>electricity PROXY - EU 2030</t>
  </si>
  <si>
    <t>electricity PROXY - EU 2040</t>
  </si>
  <si>
    <t>electricity PROXY - CN 2016</t>
  </si>
  <si>
    <t>electricity PROXY - CN 2030</t>
  </si>
  <si>
    <t>electricity PROXY - CN 2040</t>
  </si>
  <si>
    <t>electricity PROXY - JP 2016</t>
  </si>
  <si>
    <t>electricity PROXY - RU 2016</t>
  </si>
  <si>
    <t>electricity PROXY - US 2016</t>
  </si>
  <si>
    <t>electricity PROXY - IN 2016</t>
  </si>
  <si>
    <t>wood air dry - IPCC</t>
  </si>
  <si>
    <t>charcoal - IPCC</t>
  </si>
  <si>
    <t>tertiary fuel demand</t>
  </si>
  <si>
    <t>https://www.sciencedirect.com/science/article/pii/S0301421501001471#BIB5</t>
  </si>
  <si>
    <t>total metal demand</t>
  </si>
  <si>
    <t>t metal in/t crude steel</t>
  </si>
  <si>
    <t>sum of scrap + HM</t>
  </si>
  <si>
    <t>coal bituminous - IPCC</t>
  </si>
  <si>
    <t>TMIN-0B</t>
  </si>
  <si>
    <t>TMIN-IB</t>
  </si>
  <si>
    <t>TMIN-CB</t>
  </si>
  <si>
    <t>TMIN-TB</t>
  </si>
  <si>
    <t>TGR-0B</t>
  </si>
  <si>
    <t>TGR-IB</t>
  </si>
  <si>
    <t>TGR-CB</t>
  </si>
  <si>
    <t>TGR-TB</t>
  </si>
  <si>
    <t>SOA-0B</t>
  </si>
  <si>
    <t>SOA-IB</t>
  </si>
  <si>
    <t>SOA-CB</t>
  </si>
  <si>
    <t>SOA-TB</t>
  </si>
  <si>
    <t>Assumed 65% energy from coke, 35% from coal…roughly split from SOA</t>
  </si>
  <si>
    <t>HIS-0B</t>
  </si>
  <si>
    <t>HIS-IB</t>
  </si>
  <si>
    <t>HIS-0CB</t>
  </si>
  <si>
    <t>HIS-TB</t>
  </si>
  <si>
    <t>coke-IPCC</t>
  </si>
  <si>
    <t>meta- GJ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</si>
</sst>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00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5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12" fillId="0" borderId="0" applyNumberFormat="0" applyFill="0" applyBorder="0" applyAlignment="0" applyProtection="0"/>
    <xf numFmtId="0" fontId="3" fillId="0" borderId="0"/>
  </cellStyleXfs>
  <cellXfs count="16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0" fontId="3" fillId="0" borderId="0" xfId="0" applyFont="1"/>
    <xf numFmtId="0" fontId="0" fillId="0" borderId="0" xfId="1" applyFont="1"/>
    <xf numFmtId="0" fontId="7" fillId="0" borderId="0" xfId="0" applyFont="1"/>
    <xf numFmtId="165" fontId="0" fillId="0" borderId="0" xfId="0" applyNumberFormat="1"/>
    <xf numFmtId="0" fontId="8" fillId="0" borderId="0" xfId="0" applyFont="1"/>
    <xf numFmtId="165" fontId="8" fillId="0" borderId="0" xfId="0" applyNumberFormat="1" applyFont="1"/>
    <xf numFmtId="0" fontId="8" fillId="0" borderId="0" xfId="1" applyFont="1"/>
    <xf numFmtId="2" fontId="0" fillId="0" borderId="0" xfId="0" applyNumberFormat="1" applyAlignment="1">
      <alignment horizontal="right"/>
    </xf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0" fontId="9" fillId="0" borderId="0" xfId="0" applyFont="1"/>
    <xf numFmtId="165" fontId="9" fillId="0" borderId="0" xfId="0" applyNumberFormat="1" applyFont="1"/>
    <xf numFmtId="0" fontId="12" fillId="0" borderId="0" xfId="2"/>
    <xf numFmtId="0" fontId="9" fillId="0" borderId="0" xfId="1" applyFont="1"/>
    <xf numFmtId="0" fontId="13" fillId="0" borderId="0" xfId="3" applyFont="1"/>
    <xf numFmtId="0" fontId="1" fillId="0" borderId="0" xfId="3" applyFont="1"/>
    <xf numFmtId="0" fontId="14" fillId="0" borderId="0" xfId="3" applyFont="1"/>
    <xf numFmtId="0" fontId="15" fillId="0" borderId="0" xfId="3" applyFont="1"/>
    <xf numFmtId="0" fontId="0" fillId="0" borderId="0" xfId="3" applyFont="1"/>
    <xf numFmtId="0" fontId="3" fillId="0" borderId="0" xfId="3"/>
    <xf numFmtId="0" fontId="16" fillId="0" borderId="0" xfId="1" applyFont="1"/>
    <xf numFmtId="0" fontId="8" fillId="0" borderId="0" xfId="0" applyFont="1" applyAlignment="1">
      <alignment wrapText="1"/>
    </xf>
    <xf numFmtId="2" fontId="0" fillId="0" borderId="0" xfId="0" applyNumberFormat="1"/>
    <xf numFmtId="0" fontId="17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9" fontId="0" fillId="0" borderId="0" xfId="0" applyNumberFormat="1"/>
    <xf numFmtId="0" fontId="0" fillId="0" borderId="0" xfId="0" applyFont="1" applyBorder="1"/>
    <xf numFmtId="0" fontId="0" fillId="0" borderId="0" xfId="0" applyFont="1" applyFill="1" applyBorder="1"/>
    <xf numFmtId="165" fontId="8" fillId="0" borderId="0" xfId="0" applyNumberFormat="1" applyFont="1" applyFill="1" applyBorder="1"/>
    <xf numFmtId="0" fontId="0" fillId="0" borderId="0" xfId="0" applyFill="1" applyBorder="1"/>
    <xf numFmtId="165" fontId="0" fillId="0" borderId="0" xfId="0" applyNumberFormat="1" applyFill="1" applyBorder="1"/>
    <xf numFmtId="166" fontId="0" fillId="0" borderId="0" xfId="0" applyNumberFormat="1" applyFill="1" applyBorder="1"/>
    <xf numFmtId="0" fontId="0" fillId="0" borderId="9" xfId="0" applyFont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7" fillId="0" borderId="9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9" fillId="0" borderId="0" xfId="0" applyFont="1" applyBorder="1" applyAlignment="1">
      <alignment wrapText="1"/>
    </xf>
    <xf numFmtId="165" fontId="1" fillId="0" borderId="0" xfId="0" applyNumberFormat="1" applyFont="1"/>
    <xf numFmtId="165" fontId="18" fillId="0" borderId="0" xfId="0" applyNumberFormat="1" applyFont="1" applyFill="1" applyBorder="1"/>
    <xf numFmtId="0" fontId="1" fillId="0" borderId="0" xfId="0" applyFont="1" applyFill="1" applyBorder="1"/>
    <xf numFmtId="165" fontId="1" fillId="0" borderId="0" xfId="0" applyNumberFormat="1" applyFont="1" applyFill="1" applyBorder="1"/>
    <xf numFmtId="0" fontId="18" fillId="0" borderId="0" xfId="0" applyFont="1"/>
    <xf numFmtId="0" fontId="21" fillId="0" borderId="0" xfId="0" applyFont="1"/>
    <xf numFmtId="0" fontId="22" fillId="0" borderId="0" xfId="0" applyFont="1"/>
    <xf numFmtId="0" fontId="21" fillId="0" borderId="9" xfId="0" applyFont="1" applyBorder="1"/>
    <xf numFmtId="0" fontId="0" fillId="0" borderId="9" xfId="0" applyFill="1" applyBorder="1"/>
    <xf numFmtId="165" fontId="23" fillId="0" borderId="0" xfId="0" applyNumberFormat="1" applyFont="1"/>
    <xf numFmtId="165" fontId="0" fillId="0" borderId="9" xfId="0" applyNumberFormat="1" applyFill="1" applyBorder="1"/>
    <xf numFmtId="2" fontId="0" fillId="0" borderId="9" xfId="0" applyNumberFormat="1" applyBorder="1"/>
    <xf numFmtId="0" fontId="8" fillId="0" borderId="9" xfId="0" applyFont="1" applyBorder="1"/>
    <xf numFmtId="165" fontId="1" fillId="0" borderId="0" xfId="0" applyNumberFormat="1" applyFont="1" applyAlignment="1">
      <alignment horizontal="right"/>
    </xf>
    <xf numFmtId="165" fontId="16" fillId="0" borderId="0" xfId="0" applyNumberFormat="1" applyFont="1"/>
    <xf numFmtId="0" fontId="1" fillId="0" borderId="2" xfId="0" applyFont="1" applyBorder="1" applyAlignment="1">
      <alignment wrapText="1"/>
    </xf>
    <xf numFmtId="0" fontId="1" fillId="0" borderId="2" xfId="0" applyFont="1" applyBorder="1"/>
    <xf numFmtId="0" fontId="0" fillId="0" borderId="2" xfId="0" applyBorder="1"/>
    <xf numFmtId="0" fontId="21" fillId="0" borderId="0" xfId="0" applyFont="1" applyBorder="1"/>
    <xf numFmtId="0" fontId="22" fillId="0" borderId="2" xfId="0" applyFont="1" applyBorder="1"/>
    <xf numFmtId="2" fontId="0" fillId="0" borderId="0" xfId="0" applyNumberFormat="1" applyBorder="1"/>
    <xf numFmtId="0" fontId="18" fillId="0" borderId="2" xfId="0" applyFont="1" applyBorder="1"/>
    <xf numFmtId="9" fontId="1" fillId="0" borderId="0" xfId="0" applyNumberFormat="1" applyFont="1"/>
    <xf numFmtId="0" fontId="18" fillId="0" borderId="0" xfId="0" applyFont="1" applyBorder="1"/>
    <xf numFmtId="165" fontId="1" fillId="0" borderId="2" xfId="0" applyNumberFormat="1" applyFont="1" applyBorder="1"/>
    <xf numFmtId="0" fontId="1" fillId="0" borderId="0" xfId="0" applyFont="1" applyBorder="1"/>
    <xf numFmtId="165" fontId="20" fillId="0" borderId="0" xfId="0" applyNumberFormat="1" applyFont="1"/>
    <xf numFmtId="165" fontId="18" fillId="0" borderId="0" xfId="0" applyNumberFormat="1" applyFont="1"/>
    <xf numFmtId="2" fontId="0" fillId="0" borderId="0" xfId="0" applyNumberFormat="1" applyFill="1" applyBorder="1"/>
    <xf numFmtId="2" fontId="0" fillId="0" borderId="9" xfId="0" applyNumberFormat="1" applyFill="1" applyBorder="1"/>
    <xf numFmtId="165" fontId="1" fillId="0" borderId="0" xfId="1" applyNumberFormat="1" applyFont="1"/>
    <xf numFmtId="165" fontId="18" fillId="0" borderId="0" xfId="0" applyNumberFormat="1" applyFont="1" applyBorder="1"/>
    <xf numFmtId="165" fontId="18" fillId="0" borderId="0" xfId="1" applyNumberFormat="1" applyFont="1"/>
    <xf numFmtId="165" fontId="18" fillId="0" borderId="2" xfId="0" applyNumberFormat="1" applyFont="1" applyBorder="1"/>
    <xf numFmtId="0" fontId="3" fillId="0" borderId="2" xfId="1" applyBorder="1"/>
    <xf numFmtId="0" fontId="3" fillId="0" borderId="9" xfId="1" applyBorder="1"/>
    <xf numFmtId="0" fontId="0" fillId="0" borderId="7" xfId="0" applyBorder="1"/>
    <xf numFmtId="0" fontId="8" fillId="0" borderId="7" xfId="0" applyFont="1" applyBorder="1" applyAlignment="1">
      <alignment wrapText="1"/>
    </xf>
    <xf numFmtId="0" fontId="8" fillId="0" borderId="7" xfId="0" applyFont="1" applyBorder="1"/>
    <xf numFmtId="0" fontId="8" fillId="0" borderId="9" xfId="0" applyFont="1" applyBorder="1" applyAlignment="1">
      <alignment wrapText="1"/>
    </xf>
    <xf numFmtId="0" fontId="0" fillId="0" borderId="9" xfId="0" applyFont="1" applyFill="1" applyBorder="1"/>
    <xf numFmtId="0" fontId="0" fillId="0" borderId="2" xfId="0" applyFont="1" applyBorder="1"/>
    <xf numFmtId="2" fontId="18" fillId="0" borderId="0" xfId="0" applyNumberFormat="1" applyFont="1"/>
    <xf numFmtId="2" fontId="1" fillId="0" borderId="0" xfId="0" applyNumberFormat="1" applyFont="1"/>
    <xf numFmtId="2" fontId="8" fillId="0" borderId="0" xfId="0" applyNumberFormat="1" applyFont="1"/>
    <xf numFmtId="2" fontId="8" fillId="0" borderId="0" xfId="0" applyNumberFormat="1" applyFont="1" applyBorder="1"/>
    <xf numFmtId="165" fontId="8" fillId="0" borderId="0" xfId="0" applyNumberFormat="1" applyFont="1" applyBorder="1"/>
    <xf numFmtId="165" fontId="16" fillId="0" borderId="0" xfId="0" applyNumberFormat="1" applyFont="1" applyBorder="1"/>
    <xf numFmtId="2" fontId="1" fillId="0" borderId="0" xfId="1" applyNumberFormat="1" applyFont="1"/>
    <xf numFmtId="2" fontId="8" fillId="0" borderId="9" xfId="0" applyNumberFormat="1" applyFont="1" applyBorder="1"/>
    <xf numFmtId="165" fontId="8" fillId="0" borderId="9" xfId="0" applyNumberFormat="1" applyFont="1" applyBorder="1"/>
    <xf numFmtId="2" fontId="1" fillId="0" borderId="2" xfId="1" applyNumberFormat="1" applyFont="1" applyBorder="1"/>
    <xf numFmtId="2" fontId="3" fillId="0" borderId="9" xfId="1" applyNumberFormat="1" applyBorder="1"/>
    <xf numFmtId="2" fontId="1" fillId="0" borderId="0" xfId="0" applyNumberFormat="1" applyFont="1" applyBorder="1"/>
    <xf numFmtId="166" fontId="3" fillId="0" borderId="0" xfId="1" applyNumberFormat="1" applyBorder="1"/>
    <xf numFmtId="165" fontId="1" fillId="0" borderId="2" xfId="0" applyNumberFormat="1" applyFont="1" applyBorder="1" applyAlignment="1">
      <alignment wrapText="1"/>
    </xf>
    <xf numFmtId="0" fontId="24" fillId="0" borderId="0" xfId="0" applyFont="1"/>
    <xf numFmtId="2" fontId="21" fillId="0" borderId="0" xfId="0" applyNumberFormat="1" applyFont="1" applyAlignment="1">
      <alignment horizontal="right"/>
    </xf>
    <xf numFmtId="165" fontId="22" fillId="0" borderId="2" xfId="0" applyNumberFormat="1" applyFont="1" applyBorder="1"/>
    <xf numFmtId="165" fontId="22" fillId="0" borderId="0" xfId="0" applyNumberFormat="1" applyFont="1"/>
    <xf numFmtId="165" fontId="21" fillId="0" borderId="0" xfId="0" applyNumberFormat="1" applyFont="1"/>
    <xf numFmtId="165" fontId="21" fillId="0" borderId="9" xfId="0" applyNumberFormat="1" applyFont="1" applyBorder="1"/>
    <xf numFmtId="165" fontId="22" fillId="0" borderId="0" xfId="0" applyNumberFormat="1" applyFont="1" applyAlignment="1">
      <alignment horizontal="right"/>
    </xf>
    <xf numFmtId="165" fontId="21" fillId="0" borderId="0" xfId="0" applyNumberFormat="1" applyFont="1" applyFill="1" applyBorder="1"/>
    <xf numFmtId="165" fontId="21" fillId="0" borderId="9" xfId="0" applyNumberFormat="1" applyFont="1" applyFill="1" applyBorder="1"/>
    <xf numFmtId="165" fontId="1" fillId="0" borderId="0" xfId="0" applyNumberFormat="1" applyFont="1" applyBorder="1" applyAlignment="1">
      <alignment wrapText="1"/>
    </xf>
    <xf numFmtId="165" fontId="0" fillId="0" borderId="0" xfId="0" applyNumberFormat="1" applyFont="1" applyBorder="1" applyAlignment="1">
      <alignment wrapText="1"/>
    </xf>
    <xf numFmtId="165" fontId="0" fillId="0" borderId="7" xfId="0" applyNumberFormat="1" applyFont="1" applyBorder="1" applyAlignment="1">
      <alignment wrapText="1"/>
    </xf>
    <xf numFmtId="166" fontId="0" fillId="0" borderId="0" xfId="0" applyNumberFormat="1" applyBorder="1"/>
    <xf numFmtId="9" fontId="0" fillId="0" borderId="0" xfId="0" applyNumberFormat="1" applyBorder="1"/>
    <xf numFmtId="9" fontId="0" fillId="0" borderId="0" xfId="0" applyNumberFormat="1" applyFont="1" applyBorder="1"/>
    <xf numFmtId="165" fontId="21" fillId="0" borderId="0" xfId="0" applyNumberFormat="1" applyFont="1" applyBorder="1"/>
    <xf numFmtId="0" fontId="0" fillId="0" borderId="0" xfId="0" applyFont="1" applyFill="1" applyBorder="1" applyAlignment="1">
      <alignment wrapText="1"/>
    </xf>
    <xf numFmtId="0" fontId="0" fillId="0" borderId="0" xfId="1" applyFont="1" applyBorder="1"/>
    <xf numFmtId="0" fontId="2" fillId="0" borderId="0" xfId="0" applyFont="1" applyBorder="1"/>
    <xf numFmtId="165" fontId="0" fillId="0" borderId="0" xfId="0" applyNumberFormat="1" applyFont="1" applyBorder="1"/>
    <xf numFmtId="0" fontId="8" fillId="0" borderId="0" xfId="0" applyFont="1" applyBorder="1"/>
    <xf numFmtId="165" fontId="0" fillId="0" borderId="0" xfId="0" applyNumberFormat="1" applyBorder="1" applyAlignment="1">
      <alignment horizontal="right"/>
    </xf>
    <xf numFmtId="0" fontId="9" fillId="0" borderId="0" xfId="0" applyFont="1" applyBorder="1"/>
    <xf numFmtId="2" fontId="9" fillId="0" borderId="0" xfId="0" applyNumberFormat="1" applyFont="1" applyBorder="1"/>
    <xf numFmtId="165" fontId="9" fillId="0" borderId="0" xfId="0" applyNumberFormat="1" applyFont="1" applyBorder="1"/>
    <xf numFmtId="166" fontId="0" fillId="0" borderId="0" xfId="0" applyNumberFormat="1" applyFont="1" applyBorder="1" applyAlignment="1">
      <alignment horizontal="right"/>
    </xf>
    <xf numFmtId="165" fontId="1" fillId="0" borderId="0" xfId="0" applyNumberFormat="1" applyFont="1" applyBorder="1"/>
    <xf numFmtId="9" fontId="1" fillId="0" borderId="0" xfId="0" applyNumberFormat="1" applyFont="1" applyBorder="1"/>
    <xf numFmtId="165" fontId="23" fillId="0" borderId="0" xfId="0" applyNumberFormat="1" applyFont="1" applyBorder="1"/>
    <xf numFmtId="0" fontId="22" fillId="0" borderId="0" xfId="0" applyFont="1" applyBorder="1"/>
    <xf numFmtId="0" fontId="12" fillId="0" borderId="2" xfId="2" applyBorder="1"/>
    <xf numFmtId="0" fontId="0" fillId="0" borderId="0" xfId="0" applyAlignment="1">
      <alignment wrapText="1"/>
    </xf>
    <xf numFmtId="0" fontId="0" fillId="2" borderId="0" xfId="0" applyFont="1" applyFill="1" applyBorder="1" applyAlignment="1">
      <alignment wrapText="1"/>
    </xf>
    <xf numFmtId="165" fontId="0" fillId="2" borderId="0" xfId="0" applyNumberFormat="1" applyFill="1" applyBorder="1"/>
    <xf numFmtId="0" fontId="1" fillId="2" borderId="0" xfId="0" applyFont="1" applyFill="1" applyBorder="1"/>
    <xf numFmtId="0" fontId="0" fillId="2" borderId="0" xfId="0" applyFill="1" applyBorder="1"/>
    <xf numFmtId="9" fontId="0" fillId="2" borderId="0" xfId="0" applyNumberFormat="1" applyFont="1" applyFill="1" applyBorder="1"/>
    <xf numFmtId="165" fontId="18" fillId="2" borderId="0" xfId="0" applyNumberFormat="1" applyFont="1" applyFill="1" applyBorder="1"/>
    <xf numFmtId="165" fontId="8" fillId="2" borderId="0" xfId="0" applyNumberFormat="1" applyFont="1" applyFill="1" applyBorder="1"/>
    <xf numFmtId="0" fontId="8" fillId="0" borderId="0" xfId="0" applyFont="1" applyFill="1" applyBorder="1"/>
    <xf numFmtId="0" fontId="18" fillId="0" borderId="0" xfId="0" applyFont="1" applyFill="1" applyBorder="1"/>
    <xf numFmtId="0" fontId="0" fillId="3" borderId="0" xfId="0" applyFill="1" applyBorder="1"/>
    <xf numFmtId="0" fontId="0" fillId="0" borderId="0" xfId="0" applyBorder="1" applyAlignment="1">
      <alignment wrapText="1"/>
    </xf>
    <xf numFmtId="165" fontId="20" fillId="0" borderId="0" xfId="0" applyNumberFormat="1" applyFont="1" applyBorder="1"/>
    <xf numFmtId="0" fontId="12" fillId="0" borderId="0" xfId="2" applyBorder="1"/>
    <xf numFmtId="0" fontId="15" fillId="0" borderId="0" xfId="0" applyFont="1" applyBorder="1"/>
    <xf numFmtId="165" fontId="16" fillId="0" borderId="0" xfId="0" applyNumberFormat="1" applyFont="1" applyFill="1" applyBorder="1"/>
    <xf numFmtId="165" fontId="1" fillId="0" borderId="0" xfId="0" applyNumberFormat="1" applyFont="1" applyBorder="1" applyAlignment="1">
      <alignment horizontal="right"/>
    </xf>
    <xf numFmtId="165" fontId="20" fillId="0" borderId="0" xfId="0" applyNumberFormat="1" applyFont="1" applyFill="1" applyBorder="1"/>
    <xf numFmtId="166" fontId="1" fillId="0" borderId="0" xfId="0" applyNumberFormat="1" applyFont="1" applyBorder="1"/>
    <xf numFmtId="0" fontId="1" fillId="0" borderId="0" xfId="0" applyFont="1" applyFill="1" applyBorder="1" applyAlignment="1">
      <alignment wrapText="1"/>
    </xf>
  </cellXfs>
  <cellStyles count="4">
    <cellStyle name="Hyperlink" xfId="2" builtinId="8"/>
    <cellStyle name="Normal" xfId="0" builtinId="0"/>
    <cellStyle name="Normal 2" xfId="1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ld/steel_simplified_var-june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ke"/>
      <sheetName val="Lime"/>
      <sheetName val="Pellets"/>
      <sheetName val="Sinter"/>
      <sheetName val="Iron"/>
      <sheetName val="Steel"/>
      <sheetName val="Oxygen"/>
      <sheetName val="Electricity"/>
      <sheetName val="Heat"/>
      <sheetName val="CO2 Capture"/>
      <sheetName val="CO2 Storage"/>
      <sheetName val="Fuel"/>
      <sheetName val="EAF"/>
      <sheetName val="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iencedirect.com/science/article/pii/S0301421501001471" TargetMode="Externa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doi.org/10.1016/j.apenergy.2015.04.091" TargetMode="External"/><Relationship Id="rId1" Type="http://schemas.openxmlformats.org/officeDocument/2006/relationships/hyperlink" Target="http://www.infomine.ru/files/catalog/223/file_223_eng.pdf%20(rotary)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gruyter.com/downloadpdf/j/aoter.2015.36.issue-1/aoter-2015-0011/aoter-2015-0011.pdf" TargetMode="External"/><Relationship Id="rId2" Type="http://schemas.openxmlformats.org/officeDocument/2006/relationships/hyperlink" Target="https://www.degruyter.com/downloadpdf/j/aoter.2015.36.issue-1/aoter-2015-0011/aoter-2015-0011.pdf" TargetMode="External"/><Relationship Id="rId1" Type="http://schemas.openxmlformats.org/officeDocument/2006/relationships/hyperlink" Target="https://www.degruyter.com/downloadpdf/j/aoter.2015.36.issue-1/aoter-2015-0011/aoter-2015-0011.pdf" TargetMode="External"/><Relationship Id="rId6" Type="http://schemas.openxmlformats.org/officeDocument/2006/relationships/comments" Target="../comments6.xml"/><Relationship Id="rId5" Type="http://schemas.openxmlformats.org/officeDocument/2006/relationships/vmlDrawing" Target="../drawings/vmlDrawing6.v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8"/>
  <sheetViews>
    <sheetView workbookViewId="0">
      <pane xSplit="1" ySplit="2" topLeftCell="B38" activePane="bottomRight" state="frozen"/>
      <selection pane="topRight" activeCell="B1" sqref="B1"/>
      <selection pane="bottomLeft" activeCell="A3" sqref="A3"/>
      <selection pane="bottomRight" activeCell="A53" sqref="A53:A68"/>
    </sheetView>
  </sheetViews>
  <sheetFormatPr baseColWidth="10" defaultColWidth="8.83203125" defaultRowHeight="15" x14ac:dyDescent="0.2"/>
  <cols>
    <col min="1" max="1" width="20.5" style="47" bestFit="1" customWidth="1"/>
    <col min="2" max="2" width="26.6640625" style="28" bestFit="1" customWidth="1"/>
    <col min="3" max="3" width="17.83203125" style="28" bestFit="1" customWidth="1"/>
    <col min="4" max="4" width="18.83203125" style="28" bestFit="1" customWidth="1"/>
    <col min="5" max="5" width="17.33203125" style="28" bestFit="1" customWidth="1"/>
    <col min="6" max="6" width="11.83203125" style="28" bestFit="1" customWidth="1"/>
    <col min="7" max="16384" width="8.83203125" style="28"/>
  </cols>
  <sheetData>
    <row r="1" spans="1:7" x14ac:dyDescent="0.2">
      <c r="A1" s="86" t="s">
        <v>0</v>
      </c>
      <c r="B1" s="28" t="s">
        <v>5</v>
      </c>
      <c r="C1" s="28" t="s">
        <v>7</v>
      </c>
      <c r="D1" s="28" t="s">
        <v>60</v>
      </c>
      <c r="E1" s="28" t="s">
        <v>11</v>
      </c>
      <c r="F1" s="28" t="s">
        <v>12</v>
      </c>
      <c r="G1" s="28" t="s">
        <v>80</v>
      </c>
    </row>
    <row r="2" spans="1:7" x14ac:dyDescent="0.2">
      <c r="A2" s="135" t="s">
        <v>1</v>
      </c>
      <c r="B2" s="135" t="s">
        <v>6</v>
      </c>
      <c r="C2" s="135" t="s">
        <v>63</v>
      </c>
      <c r="D2" s="135"/>
      <c r="E2" s="135"/>
      <c r="F2" s="135"/>
    </row>
    <row r="3" spans="1:7" x14ac:dyDescent="0.2">
      <c r="A3" s="135" t="s">
        <v>2</v>
      </c>
      <c r="B3" s="135" t="s">
        <v>62</v>
      </c>
      <c r="C3" s="135"/>
      <c r="D3" s="135"/>
      <c r="E3" s="135"/>
      <c r="F3" s="135"/>
    </row>
    <row r="4" spans="1:7" x14ac:dyDescent="0.2">
      <c r="A4" s="47" t="s">
        <v>3</v>
      </c>
      <c r="B4" s="29">
        <v>0.8</v>
      </c>
      <c r="C4" s="29">
        <v>0</v>
      </c>
      <c r="D4" s="28" t="s">
        <v>257</v>
      </c>
      <c r="E4" s="28">
        <v>0</v>
      </c>
      <c r="F4" s="28" t="s">
        <v>275</v>
      </c>
    </row>
    <row r="5" spans="1:7" hidden="1" x14ac:dyDescent="0.2">
      <c r="A5" s="47" t="s">
        <v>55</v>
      </c>
      <c r="B5" s="29">
        <v>0.8</v>
      </c>
      <c r="C5" s="29">
        <v>0.1</v>
      </c>
      <c r="D5" s="28" t="s">
        <v>56</v>
      </c>
      <c r="E5" s="28">
        <v>0</v>
      </c>
      <c r="F5" s="28" t="s">
        <v>275</v>
      </c>
    </row>
    <row r="6" spans="1:7" x14ac:dyDescent="0.2">
      <c r="A6" s="47" t="s">
        <v>106</v>
      </c>
      <c r="B6" s="29">
        <v>0.754</v>
      </c>
      <c r="C6" s="29">
        <v>0</v>
      </c>
      <c r="D6" s="28" t="s">
        <v>113</v>
      </c>
      <c r="E6" s="28">
        <v>0</v>
      </c>
      <c r="F6" s="28" t="s">
        <v>275</v>
      </c>
    </row>
    <row r="7" spans="1:7" hidden="1" x14ac:dyDescent="0.2">
      <c r="A7" s="47" t="s">
        <v>107</v>
      </c>
      <c r="B7" s="29">
        <f>1/1.2852</f>
        <v>0.77808901338313108</v>
      </c>
      <c r="C7" s="29">
        <v>0.126</v>
      </c>
      <c r="D7" s="28" t="s">
        <v>114</v>
      </c>
      <c r="E7" s="28">
        <v>0</v>
      </c>
      <c r="F7" s="28" t="s">
        <v>275</v>
      </c>
    </row>
    <row r="8" spans="1:7" hidden="1" x14ac:dyDescent="0.2">
      <c r="A8" s="47" t="s">
        <v>108</v>
      </c>
      <c r="B8" s="29">
        <f>1/1.43</f>
        <v>0.69930069930069938</v>
      </c>
      <c r="C8" s="29">
        <v>0.19</v>
      </c>
      <c r="D8" s="28" t="s">
        <v>120</v>
      </c>
      <c r="E8" s="28">
        <v>0</v>
      </c>
      <c r="F8" s="28" t="s">
        <v>275</v>
      </c>
    </row>
    <row r="9" spans="1:7" s="50" customFormat="1" hidden="1" x14ac:dyDescent="0.2">
      <c r="A9" s="48" t="s">
        <v>109</v>
      </c>
      <c r="B9" s="49">
        <v>0.7</v>
      </c>
      <c r="C9" s="49">
        <v>0.2</v>
      </c>
      <c r="D9" s="50" t="s">
        <v>121</v>
      </c>
      <c r="E9" s="50">
        <v>0</v>
      </c>
      <c r="F9" s="50" t="s">
        <v>275</v>
      </c>
    </row>
    <row r="10" spans="1:7" s="50" customFormat="1" hidden="1" x14ac:dyDescent="0.2">
      <c r="A10" s="48" t="s">
        <v>110</v>
      </c>
      <c r="B10" s="51">
        <f>24.7/32</f>
        <v>0.77187499999999998</v>
      </c>
      <c r="C10" s="51">
        <v>0.12</v>
      </c>
      <c r="D10" s="50" t="s">
        <v>122</v>
      </c>
      <c r="E10" s="50">
        <v>0</v>
      </c>
      <c r="F10" s="50" t="s">
        <v>275</v>
      </c>
    </row>
    <row r="11" spans="1:7" s="50" customFormat="1" hidden="1" x14ac:dyDescent="0.2">
      <c r="A11" s="48" t="s">
        <v>125</v>
      </c>
      <c r="B11" s="51">
        <f>AVERAGE(B6:B10)</f>
        <v>0.74065294253676606</v>
      </c>
      <c r="C11" s="51">
        <f>AVERAGE(C6:C10)</f>
        <v>0.12720000000000001</v>
      </c>
      <c r="D11" s="50" t="s">
        <v>114</v>
      </c>
      <c r="E11" s="50">
        <v>0</v>
      </c>
      <c r="F11" s="50" t="s">
        <v>275</v>
      </c>
    </row>
    <row r="12" spans="1:7" hidden="1" x14ac:dyDescent="0.2">
      <c r="A12" s="47" t="s">
        <v>130</v>
      </c>
      <c r="B12" s="29">
        <f t="shared" ref="B12:D15" si="0">B$7</f>
        <v>0.77808901338313108</v>
      </c>
      <c r="C12" s="29">
        <f t="shared" si="0"/>
        <v>0.126</v>
      </c>
      <c r="D12" s="29" t="str">
        <f t="shared" si="0"/>
        <v>coal coking - IPCC</v>
      </c>
      <c r="E12" s="28">
        <v>0</v>
      </c>
      <c r="F12" s="28" t="s">
        <v>275</v>
      </c>
    </row>
    <row r="13" spans="1:7" hidden="1" x14ac:dyDescent="0.2">
      <c r="A13" s="47" t="s">
        <v>131</v>
      </c>
      <c r="B13" s="29">
        <f t="shared" si="0"/>
        <v>0.77808901338313108</v>
      </c>
      <c r="C13" s="29">
        <f t="shared" si="0"/>
        <v>0.126</v>
      </c>
      <c r="D13" s="29" t="str">
        <f t="shared" si="0"/>
        <v>coal coking - IPCC</v>
      </c>
      <c r="E13" s="28">
        <v>0.05</v>
      </c>
      <c r="F13" s="28" t="s">
        <v>275</v>
      </c>
    </row>
    <row r="14" spans="1:7" hidden="1" x14ac:dyDescent="0.2">
      <c r="A14" s="47" t="s">
        <v>132</v>
      </c>
      <c r="B14" s="29">
        <f t="shared" si="0"/>
        <v>0.77808901338313108</v>
      </c>
      <c r="C14" s="29">
        <f t="shared" si="0"/>
        <v>0.126</v>
      </c>
      <c r="D14" s="29" t="str">
        <f t="shared" si="0"/>
        <v>coal coking - IPCC</v>
      </c>
      <c r="E14" s="28">
        <v>1</v>
      </c>
      <c r="F14" s="28" t="s">
        <v>275</v>
      </c>
    </row>
    <row r="15" spans="1:7" hidden="1" x14ac:dyDescent="0.2">
      <c r="A15" s="47" t="s">
        <v>133</v>
      </c>
      <c r="B15" s="29">
        <f t="shared" si="0"/>
        <v>0.77808901338313108</v>
      </c>
      <c r="C15" s="29">
        <f t="shared" si="0"/>
        <v>0.126</v>
      </c>
      <c r="D15" s="29" t="str">
        <f t="shared" si="0"/>
        <v>coal coking - IPCC</v>
      </c>
      <c r="E15" s="28">
        <v>0.05</v>
      </c>
      <c r="F15" s="28" t="s">
        <v>275</v>
      </c>
    </row>
    <row r="16" spans="1:7" hidden="1" x14ac:dyDescent="0.2">
      <c r="A16" s="47" t="s">
        <v>135</v>
      </c>
      <c r="B16" s="29">
        <f>1/1.2852</f>
        <v>0.77808901338313108</v>
      </c>
      <c r="C16" s="29">
        <f>0.126</f>
        <v>0.126</v>
      </c>
      <c r="D16" s="47" t="s">
        <v>56</v>
      </c>
      <c r="E16" s="28">
        <v>0</v>
      </c>
      <c r="F16" s="28" t="s">
        <v>275</v>
      </c>
    </row>
    <row r="17" spans="1:7" hidden="1" x14ac:dyDescent="0.2">
      <c r="A17" s="47" t="s">
        <v>126</v>
      </c>
      <c r="B17" s="29">
        <v>0.7</v>
      </c>
      <c r="C17" s="107">
        <v>0.2</v>
      </c>
      <c r="D17" s="29" t="str">
        <f t="shared" ref="D17:D22" si="1">D$7</f>
        <v>coal coking - IPCC</v>
      </c>
      <c r="E17" s="28">
        <v>0</v>
      </c>
      <c r="F17" s="28" t="s">
        <v>275</v>
      </c>
    </row>
    <row r="18" spans="1:7" hidden="1" x14ac:dyDescent="0.2">
      <c r="A18" s="47" t="s">
        <v>150</v>
      </c>
      <c r="B18" s="107">
        <f>0.83</f>
        <v>0.83</v>
      </c>
      <c r="C18" s="29">
        <v>0.02</v>
      </c>
      <c r="D18" s="29" t="str">
        <f t="shared" si="1"/>
        <v>coal coking - IPCC</v>
      </c>
      <c r="E18" s="28">
        <v>0</v>
      </c>
      <c r="F18" s="28" t="s">
        <v>275</v>
      </c>
    </row>
    <row r="19" spans="1:7" hidden="1" x14ac:dyDescent="0.2">
      <c r="A19" s="47" t="s">
        <v>157</v>
      </c>
      <c r="B19" s="29">
        <f>1/1.22</f>
        <v>0.81967213114754101</v>
      </c>
      <c r="C19" s="29">
        <v>0.02</v>
      </c>
      <c r="D19" s="29" t="str">
        <f t="shared" si="1"/>
        <v>coal coking - IPCC</v>
      </c>
      <c r="E19" s="28">
        <v>0</v>
      </c>
      <c r="F19" s="28" t="s">
        <v>275</v>
      </c>
    </row>
    <row r="20" spans="1:7" x14ac:dyDescent="0.2">
      <c r="A20" s="47" t="s">
        <v>151</v>
      </c>
      <c r="B20" s="29">
        <f>1/1.3</f>
        <v>0.76923076923076916</v>
      </c>
      <c r="C20" s="29">
        <v>0.1</v>
      </c>
      <c r="D20" s="29" t="str">
        <f t="shared" si="1"/>
        <v>coal coking - IPCC</v>
      </c>
      <c r="E20" s="28">
        <v>0</v>
      </c>
      <c r="F20" s="28" t="s">
        <v>275</v>
      </c>
    </row>
    <row r="21" spans="1:7" x14ac:dyDescent="0.2">
      <c r="A21" s="47" t="s">
        <v>142</v>
      </c>
      <c r="B21" s="29">
        <f>1/1.22</f>
        <v>0.81967213114754101</v>
      </c>
      <c r="C21" s="29">
        <v>0.02</v>
      </c>
      <c r="D21" s="29" t="str">
        <f t="shared" si="1"/>
        <v>coal coking - IPCC</v>
      </c>
      <c r="E21" s="28">
        <v>0</v>
      </c>
      <c r="F21" s="28" t="s">
        <v>275</v>
      </c>
    </row>
    <row r="22" spans="1:7" x14ac:dyDescent="0.2">
      <c r="A22" s="47" t="s">
        <v>152</v>
      </c>
      <c r="B22" s="141">
        <f>30.23/(30.23+2)</f>
        <v>0.93794601303133718</v>
      </c>
      <c r="C22" s="29">
        <v>0</v>
      </c>
      <c r="D22" s="29" t="str">
        <f t="shared" si="1"/>
        <v>coal coking - IPCC</v>
      </c>
      <c r="E22" s="28">
        <v>0</v>
      </c>
      <c r="F22" s="28" t="s">
        <v>275</v>
      </c>
    </row>
    <row r="23" spans="1:7" hidden="1" x14ac:dyDescent="0.2">
      <c r="A23" s="47" t="s">
        <v>155</v>
      </c>
      <c r="B23" s="141">
        <f>(B10-3.16/3.24*B10)+B10</f>
        <v>0.79093364197530858</v>
      </c>
      <c r="C23" s="29">
        <v>0.1</v>
      </c>
      <c r="D23" s="158" t="s">
        <v>122</v>
      </c>
      <c r="E23" s="28">
        <v>0</v>
      </c>
      <c r="F23" s="28" t="s">
        <v>275</v>
      </c>
    </row>
    <row r="24" spans="1:7" x14ac:dyDescent="0.2">
      <c r="A24" s="47" t="s">
        <v>166</v>
      </c>
      <c r="B24" s="141">
        <f>30.23/(30.23+2.23)</f>
        <v>0.93130006161429446</v>
      </c>
      <c r="C24" s="29">
        <v>0.1</v>
      </c>
      <c r="D24" s="158" t="s">
        <v>122</v>
      </c>
      <c r="E24" s="28">
        <v>0</v>
      </c>
      <c r="F24" s="28" t="s">
        <v>275</v>
      </c>
    </row>
    <row r="25" spans="1:7" hidden="1" x14ac:dyDescent="0.2">
      <c r="A25" s="47" t="s">
        <v>167</v>
      </c>
      <c r="B25" s="107">
        <f>0.83</f>
        <v>0.83</v>
      </c>
      <c r="C25" s="29">
        <v>0.02</v>
      </c>
      <c r="D25" s="29" t="str">
        <f t="shared" ref="D25" si="2">D$7</f>
        <v>coal coking - IPCC</v>
      </c>
      <c r="E25" s="28">
        <v>0</v>
      </c>
      <c r="F25" s="28" t="s">
        <v>275</v>
      </c>
    </row>
    <row r="26" spans="1:7" hidden="1" x14ac:dyDescent="0.2">
      <c r="A26" s="47" t="s">
        <v>168</v>
      </c>
      <c r="B26" s="29">
        <f>1/1.22</f>
        <v>0.81967213114754101</v>
      </c>
      <c r="C26" s="29">
        <v>0.02</v>
      </c>
      <c r="D26" s="29" t="str">
        <f t="shared" ref="D26" si="3">D$7</f>
        <v>coal coking - IPCC</v>
      </c>
      <c r="E26" s="28">
        <v>0</v>
      </c>
      <c r="F26" s="28" t="s">
        <v>275</v>
      </c>
    </row>
    <row r="27" spans="1:7" hidden="1" x14ac:dyDescent="0.2">
      <c r="A27" s="47" t="s">
        <v>164</v>
      </c>
      <c r="B27" s="29">
        <f>1/1.2852</f>
        <v>0.77808901338313108</v>
      </c>
      <c r="C27" s="29">
        <v>0.126</v>
      </c>
      <c r="D27" s="28" t="s">
        <v>114</v>
      </c>
      <c r="E27" s="28">
        <v>0</v>
      </c>
      <c r="F27" s="28" t="s">
        <v>275</v>
      </c>
    </row>
    <row r="28" spans="1:7" ht="16" x14ac:dyDescent="0.2">
      <c r="A28" s="59" t="s">
        <v>197</v>
      </c>
      <c r="B28" s="143">
        <f>1/1.3</f>
        <v>0.76923076923076916</v>
      </c>
      <c r="C28" s="143">
        <v>0.1</v>
      </c>
      <c r="D28" s="86" t="s">
        <v>114</v>
      </c>
      <c r="E28" s="28">
        <v>0</v>
      </c>
      <c r="F28" s="28" t="s">
        <v>275</v>
      </c>
      <c r="G28" s="28" t="s">
        <v>182</v>
      </c>
    </row>
    <row r="29" spans="1:7" ht="16" x14ac:dyDescent="0.2">
      <c r="A29" s="159" t="s">
        <v>198</v>
      </c>
      <c r="B29" s="29">
        <f>B28</f>
        <v>0.76923076923076916</v>
      </c>
      <c r="C29" s="29">
        <f>C28</f>
        <v>0.1</v>
      </c>
      <c r="D29" s="29" t="str">
        <f>D28</f>
        <v>coal coking - IPCC</v>
      </c>
      <c r="E29" s="28">
        <v>0</v>
      </c>
      <c r="F29" s="28" t="s">
        <v>275</v>
      </c>
    </row>
    <row r="30" spans="1:7" ht="16" x14ac:dyDescent="0.2">
      <c r="A30" s="159" t="s">
        <v>199</v>
      </c>
      <c r="B30" s="29">
        <f>B28</f>
        <v>0.76923076923076916</v>
      </c>
      <c r="C30" s="29">
        <f>C28</f>
        <v>0.1</v>
      </c>
      <c r="D30" s="29" t="str">
        <f>D28</f>
        <v>coal coking - IPCC</v>
      </c>
      <c r="E30" s="130">
        <v>0.05</v>
      </c>
      <c r="F30" s="28" t="s">
        <v>275</v>
      </c>
    </row>
    <row r="31" spans="1:7" ht="16" x14ac:dyDescent="0.2">
      <c r="A31" s="159" t="s">
        <v>200</v>
      </c>
      <c r="B31" s="29">
        <f>B28</f>
        <v>0.76923076923076916</v>
      </c>
      <c r="C31" s="29">
        <f>C28</f>
        <v>0.1</v>
      </c>
      <c r="D31" s="29" t="str">
        <f>D28</f>
        <v>coal coking - IPCC</v>
      </c>
      <c r="E31" s="130">
        <v>1</v>
      </c>
      <c r="F31" s="28" t="s">
        <v>275</v>
      </c>
    </row>
    <row r="32" spans="1:7" ht="16" x14ac:dyDescent="0.2">
      <c r="A32" s="159" t="s">
        <v>172</v>
      </c>
      <c r="B32" s="29">
        <f>B28</f>
        <v>0.76923076923076916</v>
      </c>
      <c r="C32" s="29">
        <f>C28</f>
        <v>0.1</v>
      </c>
      <c r="D32" s="29" t="str">
        <f>D28</f>
        <v>coal coking - IPCC</v>
      </c>
      <c r="E32" s="28">
        <v>0</v>
      </c>
      <c r="F32" s="28" t="s">
        <v>275</v>
      </c>
    </row>
    <row r="33" spans="1:7" ht="16" x14ac:dyDescent="0.2">
      <c r="A33" s="59" t="s">
        <v>202</v>
      </c>
      <c r="B33" s="160">
        <f>0.7</f>
        <v>0.7</v>
      </c>
      <c r="C33" s="160">
        <f>0.033*1000*[1]Ref!B14</f>
        <v>0</v>
      </c>
      <c r="D33" s="86" t="s">
        <v>114</v>
      </c>
      <c r="E33" s="28">
        <v>0</v>
      </c>
      <c r="F33" s="28" t="s">
        <v>275</v>
      </c>
      <c r="G33" s="161" t="s">
        <v>277</v>
      </c>
    </row>
    <row r="34" spans="1:7" ht="16" x14ac:dyDescent="0.2">
      <c r="A34" s="159" t="s">
        <v>205</v>
      </c>
      <c r="B34" s="29">
        <f>B33</f>
        <v>0.7</v>
      </c>
      <c r="C34" s="29">
        <f>C33</f>
        <v>0</v>
      </c>
      <c r="D34" s="29" t="str">
        <f>D33</f>
        <v>coal coking - IPCC</v>
      </c>
      <c r="E34" s="28">
        <v>0</v>
      </c>
      <c r="F34" s="28" t="s">
        <v>275</v>
      </c>
    </row>
    <row r="35" spans="1:7" ht="16" x14ac:dyDescent="0.2">
      <c r="A35" s="159" t="s">
        <v>207</v>
      </c>
      <c r="B35" s="29">
        <f>B33</f>
        <v>0.7</v>
      </c>
      <c r="C35" s="29">
        <f>C33</f>
        <v>0</v>
      </c>
      <c r="D35" s="29" t="str">
        <f>D33</f>
        <v>coal coking - IPCC</v>
      </c>
      <c r="E35" s="130">
        <v>0.05</v>
      </c>
      <c r="F35" s="28" t="s">
        <v>275</v>
      </c>
    </row>
    <row r="36" spans="1:7" ht="16" x14ac:dyDescent="0.2">
      <c r="A36" s="159" t="s">
        <v>210</v>
      </c>
      <c r="B36" s="29">
        <f>B33</f>
        <v>0.7</v>
      </c>
      <c r="C36" s="29">
        <f>C33</f>
        <v>0</v>
      </c>
      <c r="D36" s="29" t="str">
        <f>D33</f>
        <v>coal coking - IPCC</v>
      </c>
      <c r="E36" s="130">
        <v>1</v>
      </c>
      <c r="F36" s="28" t="s">
        <v>275</v>
      </c>
    </row>
    <row r="37" spans="1:7" s="86" customFormat="1" x14ac:dyDescent="0.2">
      <c r="A37" s="60" t="s">
        <v>212</v>
      </c>
      <c r="B37" s="143">
        <f>1/1.43</f>
        <v>0.69930069930069938</v>
      </c>
      <c r="C37" s="143">
        <v>0.19</v>
      </c>
      <c r="D37" s="29" t="str">
        <f>D34</f>
        <v>coal coking - IPCC</v>
      </c>
      <c r="E37" s="86">
        <v>0</v>
      </c>
      <c r="F37" s="86" t="s">
        <v>275</v>
      </c>
    </row>
    <row r="38" spans="1:7" x14ac:dyDescent="0.2">
      <c r="A38" s="44" t="s">
        <v>213</v>
      </c>
      <c r="B38" s="29">
        <f>B37</f>
        <v>0.69930069930069938</v>
      </c>
      <c r="C38" s="29">
        <f>C37</f>
        <v>0.19</v>
      </c>
      <c r="D38" s="29" t="str">
        <f>D37</f>
        <v>coal coking - IPCC</v>
      </c>
      <c r="E38" s="28">
        <v>0</v>
      </c>
      <c r="F38" s="28" t="s">
        <v>275</v>
      </c>
    </row>
    <row r="39" spans="1:7" x14ac:dyDescent="0.2">
      <c r="A39" s="44" t="s">
        <v>214</v>
      </c>
      <c r="B39" s="29">
        <f>B37</f>
        <v>0.69930069930069938</v>
      </c>
      <c r="C39" s="29">
        <f>C37</f>
        <v>0.19</v>
      </c>
      <c r="D39" s="29" t="str">
        <f>D37</f>
        <v>coal coking - IPCC</v>
      </c>
      <c r="E39" s="130">
        <v>0.05</v>
      </c>
      <c r="F39" s="28" t="s">
        <v>275</v>
      </c>
    </row>
    <row r="40" spans="1:7" x14ac:dyDescent="0.2">
      <c r="A40" s="44" t="s">
        <v>215</v>
      </c>
      <c r="B40" s="29">
        <f>B37</f>
        <v>0.69930069930069938</v>
      </c>
      <c r="C40" s="29">
        <f>C37</f>
        <v>0.19</v>
      </c>
      <c r="D40" s="29" t="str">
        <f>D37</f>
        <v>coal coking - IPCC</v>
      </c>
      <c r="E40" s="130">
        <v>1</v>
      </c>
      <c r="F40" s="28" t="s">
        <v>275</v>
      </c>
    </row>
    <row r="41" spans="1:7" x14ac:dyDescent="0.2">
      <c r="A41" s="60" t="s">
        <v>217</v>
      </c>
      <c r="B41" s="92">
        <v>0.7</v>
      </c>
      <c r="C41" s="92">
        <v>0.2</v>
      </c>
      <c r="D41" s="86" t="s">
        <v>114</v>
      </c>
      <c r="E41" s="28">
        <v>0</v>
      </c>
      <c r="F41" s="28" t="s">
        <v>275</v>
      </c>
    </row>
    <row r="42" spans="1:7" x14ac:dyDescent="0.2">
      <c r="A42" s="44" t="s">
        <v>218</v>
      </c>
      <c r="B42" s="29">
        <f>B41</f>
        <v>0.7</v>
      </c>
      <c r="C42" s="29">
        <f>C41</f>
        <v>0.2</v>
      </c>
      <c r="D42" s="29" t="str">
        <f>D41</f>
        <v>coal coking - IPCC</v>
      </c>
      <c r="E42" s="28">
        <v>0</v>
      </c>
      <c r="F42" s="29" t="str">
        <f>F41</f>
        <v>charcoal - IPCC</v>
      </c>
    </row>
    <row r="43" spans="1:7" x14ac:dyDescent="0.2">
      <c r="A43" s="44" t="s">
        <v>219</v>
      </c>
      <c r="B43" s="29">
        <f>B41</f>
        <v>0.7</v>
      </c>
      <c r="C43" s="29">
        <f>C41</f>
        <v>0.2</v>
      </c>
      <c r="D43" s="29" t="str">
        <f>D41</f>
        <v>coal coking - IPCC</v>
      </c>
      <c r="E43" s="130">
        <v>0.05</v>
      </c>
      <c r="F43" s="29" t="str">
        <f>F41</f>
        <v>charcoal - IPCC</v>
      </c>
    </row>
    <row r="44" spans="1:7" x14ac:dyDescent="0.2">
      <c r="A44" s="44" t="s">
        <v>220</v>
      </c>
      <c r="B44" s="29">
        <f>B41</f>
        <v>0.7</v>
      </c>
      <c r="C44" s="29">
        <f>C41</f>
        <v>0.2</v>
      </c>
      <c r="D44" s="29" t="str">
        <f>D41</f>
        <v>coal coking - IPCC</v>
      </c>
      <c r="E44" s="130">
        <v>1</v>
      </c>
      <c r="F44" s="29" t="str">
        <f>F41</f>
        <v>charcoal - IPCC</v>
      </c>
    </row>
    <row r="45" spans="1:7" x14ac:dyDescent="0.2">
      <c r="A45" s="60" t="s">
        <v>222</v>
      </c>
      <c r="B45" s="143">
        <f>24.7/32</f>
        <v>0.77187499999999998</v>
      </c>
      <c r="C45" s="143">
        <v>0.12</v>
      </c>
      <c r="D45" s="86" t="s">
        <v>114</v>
      </c>
      <c r="E45" s="28">
        <v>0</v>
      </c>
      <c r="F45" s="28" t="s">
        <v>275</v>
      </c>
      <c r="G45" s="28" t="s">
        <v>186</v>
      </c>
    </row>
    <row r="46" spans="1:7" x14ac:dyDescent="0.2">
      <c r="A46" s="44" t="s">
        <v>223</v>
      </c>
      <c r="B46" s="29">
        <f>B45</f>
        <v>0.77187499999999998</v>
      </c>
      <c r="C46" s="29">
        <f>C45</f>
        <v>0.12</v>
      </c>
      <c r="D46" s="29" t="str">
        <f>D45</f>
        <v>coal coking - IPCC</v>
      </c>
      <c r="E46" s="28">
        <v>0</v>
      </c>
      <c r="F46" s="29" t="str">
        <f>F45</f>
        <v>charcoal - IPCC</v>
      </c>
    </row>
    <row r="47" spans="1:7" x14ac:dyDescent="0.2">
      <c r="A47" s="44" t="s">
        <v>224</v>
      </c>
      <c r="B47" s="29">
        <f>B45</f>
        <v>0.77187499999999998</v>
      </c>
      <c r="C47" s="29">
        <f>C45</f>
        <v>0.12</v>
      </c>
      <c r="D47" s="29" t="str">
        <f>D45</f>
        <v>coal coking - IPCC</v>
      </c>
      <c r="E47" s="130">
        <v>0.05</v>
      </c>
      <c r="F47" s="29" t="str">
        <f>F45</f>
        <v>charcoal - IPCC</v>
      </c>
    </row>
    <row r="48" spans="1:7" x14ac:dyDescent="0.2">
      <c r="A48" s="44" t="s">
        <v>225</v>
      </c>
      <c r="B48" s="29">
        <f>B45</f>
        <v>0.77187499999999998</v>
      </c>
      <c r="C48" s="29">
        <f>C45</f>
        <v>0.12</v>
      </c>
      <c r="D48" s="29" t="str">
        <f>D45</f>
        <v>coal coking - IPCC</v>
      </c>
      <c r="E48" s="130">
        <v>1</v>
      </c>
      <c r="F48" s="29" t="str">
        <f>F45</f>
        <v>charcoal - IPCC</v>
      </c>
    </row>
    <row r="49" spans="1:7" x14ac:dyDescent="0.2">
      <c r="A49" s="60" t="s">
        <v>227</v>
      </c>
      <c r="B49" s="92">
        <f>1/1.5</f>
        <v>0.66666666666666663</v>
      </c>
      <c r="C49" s="92">
        <v>0.12</v>
      </c>
      <c r="D49" s="143" t="str">
        <f t="shared" ref="D49" si="4">D$7</f>
        <v>coal coking - IPCC</v>
      </c>
      <c r="E49" s="28">
        <v>0</v>
      </c>
      <c r="F49" s="28" t="s">
        <v>275</v>
      </c>
    </row>
    <row r="50" spans="1:7" x14ac:dyDescent="0.2">
      <c r="A50" s="44" t="s">
        <v>228</v>
      </c>
      <c r="B50" s="29">
        <f>B49</f>
        <v>0.66666666666666663</v>
      </c>
      <c r="C50" s="29">
        <f t="shared" ref="C50:D50" si="5">C49</f>
        <v>0.12</v>
      </c>
      <c r="D50" s="29" t="str">
        <f t="shared" si="5"/>
        <v>coal coking - IPCC</v>
      </c>
      <c r="E50" s="28">
        <v>0</v>
      </c>
      <c r="F50" s="28" t="s">
        <v>275</v>
      </c>
    </row>
    <row r="51" spans="1:7" x14ac:dyDescent="0.2">
      <c r="A51" s="44" t="s">
        <v>229</v>
      </c>
      <c r="B51" s="29">
        <f>B49</f>
        <v>0.66666666666666663</v>
      </c>
      <c r="C51" s="29">
        <f t="shared" ref="C51:D51" si="6">C49</f>
        <v>0.12</v>
      </c>
      <c r="D51" s="29" t="str">
        <f t="shared" si="6"/>
        <v>coal coking - IPCC</v>
      </c>
      <c r="E51" s="130">
        <v>0.05</v>
      </c>
      <c r="F51" s="28" t="s">
        <v>275</v>
      </c>
    </row>
    <row r="52" spans="1:7" x14ac:dyDescent="0.2">
      <c r="A52" s="44" t="s">
        <v>230</v>
      </c>
      <c r="B52" s="29">
        <f>B49</f>
        <v>0.66666666666666663</v>
      </c>
      <c r="C52" s="29">
        <f t="shared" ref="C52:D53" si="7">C49</f>
        <v>0.12</v>
      </c>
      <c r="D52" s="29" t="str">
        <f t="shared" si="7"/>
        <v>coal coking - IPCC</v>
      </c>
      <c r="E52" s="130">
        <v>1</v>
      </c>
      <c r="F52" s="28" t="s">
        <v>275</v>
      </c>
    </row>
    <row r="53" spans="1:7" x14ac:dyDescent="0.2">
      <c r="A53" s="44" t="s">
        <v>282</v>
      </c>
      <c r="B53" s="29">
        <f>(28.2-2)/28.2</f>
        <v>0.92907801418439717</v>
      </c>
      <c r="C53" s="29">
        <v>0.02</v>
      </c>
      <c r="D53" s="29" t="str">
        <f t="shared" si="7"/>
        <v>coal coking - IPCC</v>
      </c>
      <c r="E53" s="28">
        <v>0</v>
      </c>
      <c r="F53" s="28" t="s">
        <v>275</v>
      </c>
    </row>
    <row r="54" spans="1:7" ht="16" x14ac:dyDescent="0.2">
      <c r="A54" s="133" t="s">
        <v>283</v>
      </c>
      <c r="B54" s="29">
        <f>B53</f>
        <v>0.92907801418439717</v>
      </c>
      <c r="C54" s="29">
        <f t="shared" ref="C54:F54" si="8">C53</f>
        <v>0.02</v>
      </c>
      <c r="D54" s="29" t="str">
        <f t="shared" si="8"/>
        <v>coal coking - IPCC</v>
      </c>
      <c r="E54" s="28">
        <v>0</v>
      </c>
      <c r="F54" s="29" t="str">
        <f t="shared" si="8"/>
        <v>charcoal - IPCC</v>
      </c>
    </row>
    <row r="55" spans="1:7" ht="16" x14ac:dyDescent="0.2">
      <c r="A55" s="133" t="s">
        <v>284</v>
      </c>
      <c r="B55" s="29">
        <f>B53</f>
        <v>0.92907801418439717</v>
      </c>
      <c r="C55" s="29">
        <f t="shared" ref="C55:F55" si="9">C53</f>
        <v>0.02</v>
      </c>
      <c r="D55" s="29" t="str">
        <f t="shared" si="9"/>
        <v>coal coking - IPCC</v>
      </c>
      <c r="E55" s="130">
        <v>0.05</v>
      </c>
      <c r="F55" s="29" t="str">
        <f t="shared" si="9"/>
        <v>charcoal - IPCC</v>
      </c>
    </row>
    <row r="56" spans="1:7" ht="16" x14ac:dyDescent="0.2">
      <c r="A56" s="133" t="s">
        <v>285</v>
      </c>
      <c r="B56" s="29">
        <f>B53</f>
        <v>0.92907801418439717</v>
      </c>
      <c r="C56" s="29">
        <f t="shared" ref="C56:F56" si="10">C53</f>
        <v>0.02</v>
      </c>
      <c r="D56" s="29" t="str">
        <f t="shared" si="10"/>
        <v>coal coking - IPCC</v>
      </c>
      <c r="E56" s="130">
        <v>1</v>
      </c>
      <c r="F56" s="29" t="str">
        <f t="shared" si="10"/>
        <v>charcoal - IPCC</v>
      </c>
    </row>
    <row r="57" spans="1:7" ht="16" x14ac:dyDescent="0.2">
      <c r="A57" s="59" t="s">
        <v>286</v>
      </c>
      <c r="B57" s="92">
        <v>0.84</v>
      </c>
      <c r="C57" s="143">
        <v>0.02</v>
      </c>
      <c r="D57" s="86" t="s">
        <v>114</v>
      </c>
      <c r="E57" s="28">
        <v>0</v>
      </c>
      <c r="F57" s="28" t="s">
        <v>275</v>
      </c>
      <c r="G57" s="28" t="s">
        <v>184</v>
      </c>
    </row>
    <row r="58" spans="1:7" ht="16" x14ac:dyDescent="0.2">
      <c r="A58" s="159" t="s">
        <v>288</v>
      </c>
      <c r="B58" s="29">
        <f>B57</f>
        <v>0.84</v>
      </c>
      <c r="C58" s="29">
        <f>C57</f>
        <v>0.02</v>
      </c>
      <c r="D58" s="28" t="str">
        <f>D57</f>
        <v>coal coking - IPCC</v>
      </c>
      <c r="E58" s="130">
        <v>0.05</v>
      </c>
      <c r="F58" s="28" t="s">
        <v>275</v>
      </c>
    </row>
    <row r="59" spans="1:7" ht="16" x14ac:dyDescent="0.2">
      <c r="A59" s="133" t="s">
        <v>287</v>
      </c>
      <c r="B59" s="29">
        <f t="shared" ref="B59:B60" si="11">B58</f>
        <v>0.84</v>
      </c>
      <c r="C59" s="29">
        <f t="shared" ref="C59:C60" si="12">C58</f>
        <v>0.02</v>
      </c>
      <c r="D59" s="28" t="str">
        <f t="shared" ref="D59:D60" si="13">D58</f>
        <v>coal coking - IPCC</v>
      </c>
      <c r="E59" s="28">
        <v>0</v>
      </c>
      <c r="F59" s="28" t="s">
        <v>275</v>
      </c>
    </row>
    <row r="60" spans="1:7" ht="16" x14ac:dyDescent="0.2">
      <c r="A60" s="133" t="s">
        <v>289</v>
      </c>
      <c r="B60" s="29">
        <f t="shared" si="11"/>
        <v>0.84</v>
      </c>
      <c r="C60" s="29">
        <f t="shared" si="12"/>
        <v>0.02</v>
      </c>
      <c r="D60" s="28" t="str">
        <f t="shared" si="13"/>
        <v>coal coking - IPCC</v>
      </c>
      <c r="E60" s="130">
        <v>1</v>
      </c>
      <c r="F60" s="28" t="s">
        <v>275</v>
      </c>
    </row>
    <row r="61" spans="1:7" ht="16" x14ac:dyDescent="0.2">
      <c r="A61" s="133" t="s">
        <v>290</v>
      </c>
      <c r="B61" s="143">
        <f>1/1.22</f>
        <v>0.81967213114754101</v>
      </c>
      <c r="C61" s="143">
        <v>0.02</v>
      </c>
      <c r="D61" s="86" t="s">
        <v>114</v>
      </c>
      <c r="E61" s="28">
        <v>0</v>
      </c>
      <c r="F61" s="28" t="s">
        <v>275</v>
      </c>
      <c r="G61" s="28" t="s">
        <v>183</v>
      </c>
    </row>
    <row r="62" spans="1:7" ht="16" x14ac:dyDescent="0.2">
      <c r="A62" s="133" t="s">
        <v>291</v>
      </c>
      <c r="B62" s="29">
        <f>B61</f>
        <v>0.81967213114754101</v>
      </c>
      <c r="C62" s="29">
        <f>C61</f>
        <v>0.02</v>
      </c>
      <c r="D62" s="29" t="str">
        <f>D61</f>
        <v>coal coking - IPCC</v>
      </c>
      <c r="E62" s="28">
        <v>0</v>
      </c>
      <c r="F62" s="29" t="str">
        <f>F61</f>
        <v>charcoal - IPCC</v>
      </c>
    </row>
    <row r="63" spans="1:7" ht="16" x14ac:dyDescent="0.2">
      <c r="A63" s="133" t="s">
        <v>292</v>
      </c>
      <c r="B63" s="29">
        <f>B61</f>
        <v>0.81967213114754101</v>
      </c>
      <c r="C63" s="29">
        <f>C61</f>
        <v>0.02</v>
      </c>
      <c r="D63" s="29" t="str">
        <f>D61</f>
        <v>coal coking - IPCC</v>
      </c>
      <c r="E63" s="130">
        <v>0.05</v>
      </c>
      <c r="F63" s="29" t="str">
        <f>F61</f>
        <v>charcoal - IPCC</v>
      </c>
    </row>
    <row r="64" spans="1:7" ht="16" x14ac:dyDescent="0.2">
      <c r="A64" s="133" t="s">
        <v>293</v>
      </c>
      <c r="B64" s="29">
        <f>B61</f>
        <v>0.81967213114754101</v>
      </c>
      <c r="C64" s="29">
        <f>C61</f>
        <v>0.02</v>
      </c>
      <c r="D64" s="29" t="str">
        <f>D61</f>
        <v>coal coking - IPCC</v>
      </c>
      <c r="E64" s="130">
        <v>1</v>
      </c>
      <c r="F64" s="29" t="str">
        <f>F61</f>
        <v>charcoal - IPCC</v>
      </c>
    </row>
    <row r="65" spans="1:6" ht="16" x14ac:dyDescent="0.2">
      <c r="A65" s="133" t="s">
        <v>295</v>
      </c>
      <c r="B65" s="92">
        <v>0.84</v>
      </c>
      <c r="C65" s="143">
        <v>0.02</v>
      </c>
      <c r="D65" s="86" t="s">
        <v>114</v>
      </c>
      <c r="E65" s="28">
        <v>0</v>
      </c>
      <c r="F65" s="28" t="s">
        <v>275</v>
      </c>
    </row>
    <row r="66" spans="1:6" ht="16" x14ac:dyDescent="0.2">
      <c r="A66" s="133" t="s">
        <v>296</v>
      </c>
      <c r="B66" s="29">
        <f>B65</f>
        <v>0.84</v>
      </c>
      <c r="C66" s="29">
        <f>C65</f>
        <v>0.02</v>
      </c>
      <c r="D66" s="28" t="str">
        <f>D65</f>
        <v>coal coking - IPCC</v>
      </c>
      <c r="E66" s="130">
        <v>0.05</v>
      </c>
      <c r="F66" s="28" t="s">
        <v>275</v>
      </c>
    </row>
    <row r="67" spans="1:6" ht="16" x14ac:dyDescent="0.2">
      <c r="A67" s="133" t="s">
        <v>297</v>
      </c>
      <c r="B67" s="29">
        <f t="shared" ref="B67:B68" si="14">B66</f>
        <v>0.84</v>
      </c>
      <c r="C67" s="29">
        <f t="shared" ref="C67:C68" si="15">C66</f>
        <v>0.02</v>
      </c>
      <c r="D67" s="28" t="str">
        <f t="shared" ref="D67:D68" si="16">D66</f>
        <v>coal coking - IPCC</v>
      </c>
      <c r="E67" s="28">
        <v>0</v>
      </c>
      <c r="F67" s="28" t="s">
        <v>275</v>
      </c>
    </row>
    <row r="68" spans="1:6" ht="16" x14ac:dyDescent="0.2">
      <c r="A68" s="133" t="s">
        <v>298</v>
      </c>
      <c r="B68" s="29">
        <f t="shared" si="14"/>
        <v>0.84</v>
      </c>
      <c r="C68" s="29">
        <f t="shared" si="15"/>
        <v>0.02</v>
      </c>
      <c r="D68" s="28" t="str">
        <f t="shared" si="16"/>
        <v>coal coking - IPCC</v>
      </c>
      <c r="E68" s="130">
        <v>1</v>
      </c>
      <c r="F68" s="28" t="s">
        <v>275</v>
      </c>
    </row>
  </sheetData>
  <hyperlinks>
    <hyperlink ref="G33" r:id="rId1" location="BIB5" display="https://www.sciencedirect.com/science/article/pii/S0301421501001471 - BIB5" xr:uid="{48A07500-E91C-1E4A-9AC5-1B1D4D5371AD}"/>
  </hyperlinks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3" sqref="D3"/>
    </sheetView>
  </sheetViews>
  <sheetFormatPr baseColWidth="10" defaultColWidth="8.83203125" defaultRowHeight="15" x14ac:dyDescent="0.2"/>
  <cols>
    <col min="1" max="1" width="26.5" customWidth="1"/>
    <col min="2" max="2" width="13.6640625" customWidth="1"/>
  </cols>
  <sheetData>
    <row r="1" spans="1:6" x14ac:dyDescent="0.2">
      <c r="A1" s="35" t="s">
        <v>84</v>
      </c>
      <c r="B1" s="35" t="s">
        <v>85</v>
      </c>
      <c r="C1" s="36" t="s">
        <v>86</v>
      </c>
      <c r="D1" s="36" t="s">
        <v>9</v>
      </c>
      <c r="E1" s="36" t="s">
        <v>87</v>
      </c>
      <c r="F1" s="36" t="s">
        <v>88</v>
      </c>
    </row>
    <row r="2" spans="1:6" x14ac:dyDescent="0.2">
      <c r="A2" s="37" t="s">
        <v>78</v>
      </c>
      <c r="B2" s="38" t="s">
        <v>89</v>
      </c>
      <c r="C2" s="39" t="s">
        <v>90</v>
      </c>
      <c r="D2" s="39" t="s">
        <v>91</v>
      </c>
      <c r="E2" s="39" t="s">
        <v>92</v>
      </c>
      <c r="F2" s="40"/>
    </row>
    <row r="3" spans="1:6" x14ac:dyDescent="0.2">
      <c r="A3" s="37" t="s">
        <v>2</v>
      </c>
      <c r="B3" s="38" t="s">
        <v>93</v>
      </c>
      <c r="C3" s="39" t="s">
        <v>94</v>
      </c>
      <c r="D3" s="40"/>
      <c r="E3" s="40"/>
      <c r="F3" s="40"/>
    </row>
    <row r="4" spans="1:6" x14ac:dyDescent="0.2">
      <c r="A4" s="38" t="s">
        <v>3</v>
      </c>
      <c r="B4" s="38">
        <v>1</v>
      </c>
      <c r="C4" s="40">
        <f>C5</f>
        <v>0.9</v>
      </c>
      <c r="D4" s="40">
        <f>D5</f>
        <v>1.05</v>
      </c>
      <c r="E4" s="40">
        <f>E5</f>
        <v>0</v>
      </c>
      <c r="F4" s="40"/>
    </row>
    <row r="5" spans="1:6" hidden="1" x14ac:dyDescent="0.2">
      <c r="A5" s="39" t="s">
        <v>95</v>
      </c>
      <c r="B5" s="39">
        <v>0.63</v>
      </c>
      <c r="C5" s="40">
        <v>0.9</v>
      </c>
      <c r="D5" s="39">
        <v>1.05</v>
      </c>
      <c r="E5" s="40">
        <v>0</v>
      </c>
      <c r="F5" s="39" t="s">
        <v>96</v>
      </c>
    </row>
    <row r="6" spans="1:6" hidden="1" x14ac:dyDescent="0.2">
      <c r="A6" s="39" t="s">
        <v>97</v>
      </c>
      <c r="B6" s="39">
        <v>0.63</v>
      </c>
      <c r="C6" s="40">
        <v>0.9</v>
      </c>
      <c r="D6" s="39">
        <v>0.61</v>
      </c>
      <c r="E6" s="40">
        <v>3.2</v>
      </c>
      <c r="F6" s="39" t="s">
        <v>98</v>
      </c>
    </row>
    <row r="7" spans="1:6" hidden="1" x14ac:dyDescent="0.2">
      <c r="A7" s="39" t="s">
        <v>99</v>
      </c>
      <c r="B7" s="39">
        <v>0.63</v>
      </c>
      <c r="C7" s="40">
        <v>0.8</v>
      </c>
      <c r="D7" s="40">
        <v>1.1200000000000001</v>
      </c>
      <c r="E7" s="40">
        <v>0</v>
      </c>
      <c r="F7" s="39" t="s">
        <v>100</v>
      </c>
    </row>
    <row r="8" spans="1:6" hidden="1" x14ac:dyDescent="0.2">
      <c r="A8" t="s">
        <v>106</v>
      </c>
      <c r="B8" s="40">
        <v>1</v>
      </c>
      <c r="C8" s="40">
        <v>0.9</v>
      </c>
      <c r="D8" s="40">
        <v>0.5</v>
      </c>
      <c r="E8" s="40">
        <v>3</v>
      </c>
      <c r="F8" s="39" t="s">
        <v>98</v>
      </c>
    </row>
    <row r="9" spans="1:6" hidden="1" x14ac:dyDescent="0.2">
      <c r="A9" t="s">
        <v>107</v>
      </c>
      <c r="B9" s="40">
        <v>1</v>
      </c>
      <c r="C9" s="40">
        <v>0.9</v>
      </c>
      <c r="D9" s="40">
        <v>0.5</v>
      </c>
      <c r="E9" s="40">
        <v>3</v>
      </c>
      <c r="F9" s="39" t="s">
        <v>105</v>
      </c>
    </row>
    <row r="10" spans="1:6" hidden="1" x14ac:dyDescent="0.2">
      <c r="A10" t="s">
        <v>108</v>
      </c>
      <c r="B10" s="40">
        <v>1</v>
      </c>
      <c r="C10" s="40">
        <v>0.9</v>
      </c>
      <c r="D10" s="40">
        <v>0.5</v>
      </c>
      <c r="E10" s="40">
        <v>3</v>
      </c>
      <c r="F10" s="39" t="s">
        <v>105</v>
      </c>
    </row>
    <row r="11" spans="1:6" hidden="1" x14ac:dyDescent="0.2">
      <c r="A11" t="s">
        <v>109</v>
      </c>
      <c r="B11" s="40">
        <v>1</v>
      </c>
      <c r="C11" s="40">
        <v>0.9</v>
      </c>
      <c r="D11" s="40">
        <v>0.5</v>
      </c>
      <c r="E11" s="40">
        <v>3</v>
      </c>
      <c r="F11" s="39" t="s">
        <v>105</v>
      </c>
    </row>
    <row r="12" spans="1:6" hidden="1" x14ac:dyDescent="0.2">
      <c r="A12" t="s">
        <v>110</v>
      </c>
      <c r="B12" s="40">
        <v>1</v>
      </c>
      <c r="C12" s="40">
        <v>0.9</v>
      </c>
      <c r="D12" s="40">
        <v>0.5</v>
      </c>
      <c r="E12" s="40">
        <v>3</v>
      </c>
      <c r="F12" s="39" t="s">
        <v>105</v>
      </c>
    </row>
    <row r="13" spans="1:6" hidden="1" x14ac:dyDescent="0.2">
      <c r="A13" s="39" t="s">
        <v>55</v>
      </c>
      <c r="B13" s="40">
        <v>1</v>
      </c>
      <c r="C13" s="40">
        <v>0.9</v>
      </c>
      <c r="D13" s="40">
        <v>0.5</v>
      </c>
      <c r="E13" s="40">
        <v>3</v>
      </c>
      <c r="F13" s="40"/>
    </row>
    <row r="14" spans="1:6" hidden="1" x14ac:dyDescent="0.2">
      <c r="A14" t="s">
        <v>130</v>
      </c>
      <c r="B14">
        <f>B$9</f>
        <v>1</v>
      </c>
      <c r="C14">
        <f t="shared" ref="C14:F17" si="0">C$9</f>
        <v>0.9</v>
      </c>
      <c r="D14">
        <f t="shared" si="0"/>
        <v>0.5</v>
      </c>
      <c r="E14">
        <f t="shared" si="0"/>
        <v>3</v>
      </c>
      <c r="F14" t="str">
        <f t="shared" si="0"/>
        <v>amine average from Kuromochi et al 2012</v>
      </c>
    </row>
    <row r="15" spans="1:6" hidden="1" x14ac:dyDescent="0.2">
      <c r="A15" t="s">
        <v>131</v>
      </c>
      <c r="B15">
        <f t="shared" ref="B15:B17" si="1">B$9</f>
        <v>1</v>
      </c>
      <c r="C15">
        <f t="shared" si="0"/>
        <v>0.9</v>
      </c>
      <c r="D15">
        <f t="shared" si="0"/>
        <v>0.5</v>
      </c>
      <c r="E15">
        <f t="shared" si="0"/>
        <v>3</v>
      </c>
      <c r="F15" t="str">
        <f t="shared" si="0"/>
        <v>amine average from Kuromochi et al 2012</v>
      </c>
    </row>
    <row r="16" spans="1:6" hidden="1" x14ac:dyDescent="0.2">
      <c r="A16" t="s">
        <v>132</v>
      </c>
      <c r="B16">
        <f t="shared" si="1"/>
        <v>1</v>
      </c>
      <c r="C16">
        <f t="shared" si="0"/>
        <v>0.9</v>
      </c>
      <c r="D16">
        <f t="shared" si="0"/>
        <v>0.5</v>
      </c>
      <c r="E16">
        <f t="shared" si="0"/>
        <v>3</v>
      </c>
      <c r="F16" t="str">
        <f t="shared" si="0"/>
        <v>amine average from Kuromochi et al 2012</v>
      </c>
    </row>
    <row r="17" spans="1:6" hidden="1" x14ac:dyDescent="0.2">
      <c r="A17" t="s">
        <v>133</v>
      </c>
      <c r="B17">
        <f t="shared" si="1"/>
        <v>1</v>
      </c>
      <c r="C17">
        <f t="shared" si="0"/>
        <v>0.9</v>
      </c>
      <c r="D17">
        <f t="shared" si="0"/>
        <v>0.5</v>
      </c>
      <c r="E17">
        <f t="shared" si="0"/>
        <v>3</v>
      </c>
      <c r="F17" t="str">
        <f t="shared" si="0"/>
        <v>amine average from Kuromochi et al 2012</v>
      </c>
    </row>
    <row r="18" spans="1:6" hidden="1" x14ac:dyDescent="0.2">
      <c r="A18" t="s">
        <v>126</v>
      </c>
      <c r="B18" s="40">
        <v>1</v>
      </c>
      <c r="C18" s="40">
        <v>0.9</v>
      </c>
      <c r="D18" s="40">
        <v>0.5</v>
      </c>
      <c r="E18" s="40">
        <v>3</v>
      </c>
    </row>
    <row r="19" spans="1:6" hidden="1" x14ac:dyDescent="0.2">
      <c r="A19" t="s">
        <v>150</v>
      </c>
    </row>
    <row r="20" spans="1:6" hidden="1" x14ac:dyDescent="0.2">
      <c r="A20" t="s">
        <v>157</v>
      </c>
    </row>
    <row r="21" spans="1:6" hidden="1" x14ac:dyDescent="0.2">
      <c r="A21" t="s">
        <v>151</v>
      </c>
    </row>
    <row r="22" spans="1:6" hidden="1" x14ac:dyDescent="0.2">
      <c r="A22" t="s">
        <v>142</v>
      </c>
    </row>
    <row r="23" spans="1:6" hidden="1" x14ac:dyDescent="0.2">
      <c r="A23" t="s">
        <v>152</v>
      </c>
    </row>
    <row r="24" spans="1:6" hidden="1" x14ac:dyDescent="0.2">
      <c r="A24" t="s">
        <v>155</v>
      </c>
    </row>
    <row r="25" spans="1:6" s="77" customFormat="1" ht="16" x14ac:dyDescent="0.2">
      <c r="A25" s="76" t="s">
        <v>197</v>
      </c>
      <c r="B25" s="77">
        <v>1</v>
      </c>
      <c r="C25" s="77">
        <v>0.9</v>
      </c>
      <c r="D25" s="77">
        <v>0.5</v>
      </c>
      <c r="E25" s="77">
        <v>2.5</v>
      </c>
    </row>
    <row r="26" spans="1:6" s="1" customFormat="1" ht="16" x14ac:dyDescent="0.2">
      <c r="A26" s="59" t="s">
        <v>290</v>
      </c>
      <c r="B26" s="1">
        <v>1</v>
      </c>
      <c r="C26" s="65">
        <v>0.92</v>
      </c>
      <c r="D26" s="65">
        <v>0.4</v>
      </c>
      <c r="E26" s="65">
        <v>2.2000000000000002</v>
      </c>
    </row>
    <row r="27" spans="1:6" s="1" customFormat="1" ht="16" x14ac:dyDescent="0.2">
      <c r="A27" s="59" t="s">
        <v>286</v>
      </c>
      <c r="B27" s="1">
        <v>1</v>
      </c>
      <c r="C27" s="65">
        <v>0.95</v>
      </c>
      <c r="D27" s="65">
        <v>0.3</v>
      </c>
      <c r="E27" s="65">
        <v>2</v>
      </c>
    </row>
    <row r="28" spans="1:6" ht="16" x14ac:dyDescent="0.2">
      <c r="A28" s="45" t="s">
        <v>198</v>
      </c>
      <c r="B28">
        <f>B$25</f>
        <v>1</v>
      </c>
      <c r="C28">
        <f t="shared" ref="C28:E28" si="2">C$25</f>
        <v>0.9</v>
      </c>
      <c r="D28">
        <f t="shared" si="2"/>
        <v>0.5</v>
      </c>
      <c r="E28">
        <f t="shared" si="2"/>
        <v>2.5</v>
      </c>
    </row>
    <row r="29" spans="1:6" ht="16" x14ac:dyDescent="0.2">
      <c r="A29" s="45" t="s">
        <v>291</v>
      </c>
      <c r="B29">
        <f>B$26</f>
        <v>1</v>
      </c>
      <c r="C29">
        <f t="shared" ref="C29:E29" si="3">C$26</f>
        <v>0.92</v>
      </c>
      <c r="D29">
        <f t="shared" si="3"/>
        <v>0.4</v>
      </c>
      <c r="E29">
        <f t="shared" si="3"/>
        <v>2.2000000000000002</v>
      </c>
    </row>
    <row r="30" spans="1:6" ht="16" x14ac:dyDescent="0.2">
      <c r="A30" s="45" t="s">
        <v>199</v>
      </c>
      <c r="B30">
        <f t="shared" ref="B30:E30" si="4">B$25</f>
        <v>1</v>
      </c>
      <c r="C30">
        <f t="shared" si="4"/>
        <v>0.9</v>
      </c>
      <c r="D30">
        <f t="shared" si="4"/>
        <v>0.5</v>
      </c>
      <c r="E30">
        <f t="shared" si="4"/>
        <v>2.5</v>
      </c>
    </row>
    <row r="31" spans="1:6" ht="16" x14ac:dyDescent="0.2">
      <c r="A31" s="45" t="s">
        <v>292</v>
      </c>
      <c r="B31" s="43">
        <f t="shared" ref="B31:E31" si="5">B$26</f>
        <v>1</v>
      </c>
      <c r="C31" s="43">
        <f t="shared" si="5"/>
        <v>0.92</v>
      </c>
      <c r="D31" s="43">
        <f t="shared" si="5"/>
        <v>0.4</v>
      </c>
      <c r="E31" s="43">
        <f t="shared" si="5"/>
        <v>2.2000000000000002</v>
      </c>
    </row>
    <row r="32" spans="1:6" ht="16" x14ac:dyDescent="0.2">
      <c r="A32" s="45" t="s">
        <v>288</v>
      </c>
      <c r="B32" s="43">
        <f>B$27</f>
        <v>1</v>
      </c>
      <c r="C32" s="43">
        <f t="shared" ref="C32:E32" si="6">C$27</f>
        <v>0.95</v>
      </c>
      <c r="D32" s="43">
        <f t="shared" si="6"/>
        <v>0.3</v>
      </c>
      <c r="E32" s="43">
        <f t="shared" si="6"/>
        <v>2</v>
      </c>
    </row>
    <row r="33" spans="1:5" ht="16" x14ac:dyDescent="0.2">
      <c r="A33" s="45" t="s">
        <v>200</v>
      </c>
      <c r="B33" s="43">
        <f t="shared" ref="B33:E35" si="7">B$25</f>
        <v>1</v>
      </c>
      <c r="C33" s="43">
        <f t="shared" si="7"/>
        <v>0.9</v>
      </c>
      <c r="D33" s="43">
        <f t="shared" si="7"/>
        <v>0.5</v>
      </c>
      <c r="E33" s="43">
        <f t="shared" si="7"/>
        <v>2.5</v>
      </c>
    </row>
    <row r="34" spans="1:5" ht="16" x14ac:dyDescent="0.2">
      <c r="A34" s="45" t="s">
        <v>201</v>
      </c>
      <c r="B34" s="43">
        <f t="shared" si="7"/>
        <v>1</v>
      </c>
      <c r="C34" s="43">
        <f t="shared" si="7"/>
        <v>0.9</v>
      </c>
      <c r="D34" s="43">
        <f t="shared" si="7"/>
        <v>0.5</v>
      </c>
      <c r="E34" s="43">
        <f t="shared" si="7"/>
        <v>2.5</v>
      </c>
    </row>
    <row r="35" spans="1:5" ht="16" x14ac:dyDescent="0.2">
      <c r="A35" s="45" t="s">
        <v>172</v>
      </c>
      <c r="B35" s="43">
        <f t="shared" si="7"/>
        <v>1</v>
      </c>
      <c r="C35" s="43">
        <f t="shared" si="7"/>
        <v>0.9</v>
      </c>
      <c r="D35" s="43">
        <f t="shared" si="7"/>
        <v>0.5</v>
      </c>
      <c r="E35" s="43">
        <f t="shared" si="7"/>
        <v>2.5</v>
      </c>
    </row>
    <row r="36" spans="1:5" ht="16" x14ac:dyDescent="0.2">
      <c r="A36" s="45" t="s">
        <v>173</v>
      </c>
      <c r="B36" s="43">
        <f t="shared" ref="B36:E37" si="8">B$26</f>
        <v>1</v>
      </c>
      <c r="C36" s="43">
        <f t="shared" si="8"/>
        <v>0.92</v>
      </c>
      <c r="D36" s="43">
        <f t="shared" si="8"/>
        <v>0.4</v>
      </c>
      <c r="E36" s="43">
        <f t="shared" si="8"/>
        <v>2.2000000000000002</v>
      </c>
    </row>
    <row r="37" spans="1:5" ht="16" x14ac:dyDescent="0.2">
      <c r="A37" s="45" t="s">
        <v>174</v>
      </c>
      <c r="B37" s="43">
        <f t="shared" si="8"/>
        <v>1</v>
      </c>
      <c r="C37" s="43">
        <f t="shared" si="8"/>
        <v>0.92</v>
      </c>
      <c r="D37" s="43">
        <f t="shared" si="8"/>
        <v>0.4</v>
      </c>
      <c r="E37" s="43">
        <f>E$26</f>
        <v>2.2000000000000002</v>
      </c>
    </row>
    <row r="38" spans="1:5" ht="16" x14ac:dyDescent="0.2">
      <c r="A38" s="45" t="s">
        <v>175</v>
      </c>
      <c r="B38" s="43">
        <f t="shared" ref="B38:E39" si="9">B$27</f>
        <v>1</v>
      </c>
      <c r="C38" s="43">
        <f t="shared" si="9"/>
        <v>0.95</v>
      </c>
      <c r="D38" s="43">
        <f t="shared" si="9"/>
        <v>0.3</v>
      </c>
      <c r="E38" s="43">
        <f t="shared" si="9"/>
        <v>2</v>
      </c>
    </row>
    <row r="39" spans="1:5" s="55" customFormat="1" ht="17" thickBot="1" x14ac:dyDescent="0.25">
      <c r="A39" s="56" t="s">
        <v>176</v>
      </c>
      <c r="B39" s="72">
        <f t="shared" si="9"/>
        <v>1</v>
      </c>
      <c r="C39" s="72">
        <f t="shared" si="9"/>
        <v>0.95</v>
      </c>
      <c r="D39" s="72">
        <f t="shared" si="9"/>
        <v>0.3</v>
      </c>
      <c r="E39" s="72">
        <f t="shared" si="9"/>
        <v>2</v>
      </c>
    </row>
    <row r="40" spans="1:5" s="1" customFormat="1" ht="16" x14ac:dyDescent="0.2">
      <c r="A40" s="59" t="s">
        <v>202</v>
      </c>
      <c r="B40" s="114">
        <v>1</v>
      </c>
      <c r="C40" s="114">
        <v>0.9</v>
      </c>
      <c r="D40" s="114">
        <v>0.5</v>
      </c>
      <c r="E40" s="114">
        <v>2.5</v>
      </c>
    </row>
    <row r="41" spans="1:5" s="1" customFormat="1" ht="16" x14ac:dyDescent="0.2">
      <c r="A41" s="59" t="s">
        <v>203</v>
      </c>
      <c r="B41" s="104">
        <v>1</v>
      </c>
      <c r="C41" s="103">
        <v>0.92</v>
      </c>
      <c r="D41" s="103">
        <v>0.4</v>
      </c>
      <c r="E41" s="103">
        <v>2.2000000000000002</v>
      </c>
    </row>
    <row r="42" spans="1:5" s="1" customFormat="1" ht="16" x14ac:dyDescent="0.2">
      <c r="A42" s="59" t="s">
        <v>204</v>
      </c>
      <c r="B42" s="104">
        <v>1</v>
      </c>
      <c r="C42" s="103">
        <v>0.95</v>
      </c>
      <c r="D42" s="103">
        <v>0.3</v>
      </c>
      <c r="E42" s="103">
        <v>2</v>
      </c>
    </row>
    <row r="43" spans="1:5" ht="16" x14ac:dyDescent="0.2">
      <c r="A43" s="45" t="s">
        <v>205</v>
      </c>
      <c r="B43" s="43">
        <f>B$40</f>
        <v>1</v>
      </c>
      <c r="C43" s="43">
        <f t="shared" ref="C43:E43" si="10">C$40</f>
        <v>0.9</v>
      </c>
      <c r="D43" s="43">
        <f t="shared" si="10"/>
        <v>0.5</v>
      </c>
      <c r="E43" s="43">
        <f t="shared" si="10"/>
        <v>2.5</v>
      </c>
    </row>
    <row r="44" spans="1:5" ht="16" x14ac:dyDescent="0.2">
      <c r="A44" s="45" t="s">
        <v>206</v>
      </c>
      <c r="B44" s="43">
        <f>B$41</f>
        <v>1</v>
      </c>
      <c r="C44" s="43">
        <f t="shared" ref="C44:E44" si="11">C$41</f>
        <v>0.92</v>
      </c>
      <c r="D44" s="43">
        <f t="shared" si="11"/>
        <v>0.4</v>
      </c>
      <c r="E44" s="43">
        <f t="shared" si="11"/>
        <v>2.2000000000000002</v>
      </c>
    </row>
    <row r="45" spans="1:5" ht="16" x14ac:dyDescent="0.2">
      <c r="A45" s="45" t="s">
        <v>207</v>
      </c>
      <c r="B45" s="43">
        <f t="shared" ref="B45:E45" si="12">B$40</f>
        <v>1</v>
      </c>
      <c r="C45" s="43">
        <f t="shared" si="12"/>
        <v>0.9</v>
      </c>
      <c r="D45" s="43">
        <f t="shared" si="12"/>
        <v>0.5</v>
      </c>
      <c r="E45" s="43">
        <f t="shared" si="12"/>
        <v>2.5</v>
      </c>
    </row>
    <row r="46" spans="1:5" ht="16" x14ac:dyDescent="0.2">
      <c r="A46" s="45" t="s">
        <v>208</v>
      </c>
      <c r="B46" s="43">
        <f t="shared" ref="B46:E46" si="13">B$41</f>
        <v>1</v>
      </c>
      <c r="C46" s="43">
        <f t="shared" si="13"/>
        <v>0.92</v>
      </c>
      <c r="D46" s="43">
        <f t="shared" si="13"/>
        <v>0.4</v>
      </c>
      <c r="E46" s="43">
        <f t="shared" si="13"/>
        <v>2.2000000000000002</v>
      </c>
    </row>
    <row r="47" spans="1:5" ht="16" x14ac:dyDescent="0.2">
      <c r="A47" s="45" t="s">
        <v>209</v>
      </c>
      <c r="B47" s="43">
        <f>B$42</f>
        <v>1</v>
      </c>
      <c r="C47" s="43">
        <f t="shared" ref="C47:E47" si="14">C$42</f>
        <v>0.95</v>
      </c>
      <c r="D47" s="43">
        <f t="shared" si="14"/>
        <v>0.3</v>
      </c>
      <c r="E47" s="43">
        <f t="shared" si="14"/>
        <v>2</v>
      </c>
    </row>
    <row r="48" spans="1:5" ht="16" x14ac:dyDescent="0.2">
      <c r="A48" s="45" t="s">
        <v>210</v>
      </c>
      <c r="B48" s="43">
        <f t="shared" ref="B48:E50" si="15">B$40</f>
        <v>1</v>
      </c>
      <c r="C48" s="43">
        <f t="shared" si="15"/>
        <v>0.9</v>
      </c>
      <c r="D48" s="43">
        <f t="shared" si="15"/>
        <v>0.5</v>
      </c>
      <c r="E48" s="43">
        <f t="shared" si="15"/>
        <v>2.5</v>
      </c>
    </row>
    <row r="49" spans="1:5" ht="16" x14ac:dyDescent="0.2">
      <c r="A49" s="45" t="s">
        <v>211</v>
      </c>
      <c r="B49" s="43">
        <f t="shared" si="15"/>
        <v>1</v>
      </c>
      <c r="C49" s="43">
        <f t="shared" si="15"/>
        <v>0.9</v>
      </c>
      <c r="D49" s="43">
        <f t="shared" si="15"/>
        <v>0.5</v>
      </c>
      <c r="E49" s="43">
        <f t="shared" si="15"/>
        <v>2.5</v>
      </c>
    </row>
    <row r="50" spans="1:5" ht="16" x14ac:dyDescent="0.2">
      <c r="A50" s="45" t="s">
        <v>177</v>
      </c>
      <c r="B50" s="43">
        <f t="shared" si="15"/>
        <v>1</v>
      </c>
      <c r="C50" s="43">
        <f t="shared" si="15"/>
        <v>0.9</v>
      </c>
      <c r="D50" s="43">
        <f t="shared" si="15"/>
        <v>0.5</v>
      </c>
      <c r="E50" s="43">
        <f t="shared" si="15"/>
        <v>2.5</v>
      </c>
    </row>
    <row r="51" spans="1:5" ht="16" x14ac:dyDescent="0.2">
      <c r="A51" s="45" t="s">
        <v>178</v>
      </c>
      <c r="B51" s="43">
        <f t="shared" ref="B51:E52" si="16">B$41</f>
        <v>1</v>
      </c>
      <c r="C51" s="43">
        <f t="shared" si="16"/>
        <v>0.92</v>
      </c>
      <c r="D51" s="43">
        <f t="shared" si="16"/>
        <v>0.4</v>
      </c>
      <c r="E51" s="43">
        <f t="shared" si="16"/>
        <v>2.2000000000000002</v>
      </c>
    </row>
    <row r="52" spans="1:5" ht="16" x14ac:dyDescent="0.2">
      <c r="A52" s="45" t="s">
        <v>179</v>
      </c>
      <c r="B52" s="43">
        <f t="shared" si="16"/>
        <v>1</v>
      </c>
      <c r="C52" s="43">
        <f t="shared" si="16"/>
        <v>0.92</v>
      </c>
      <c r="D52" s="43">
        <f t="shared" si="16"/>
        <v>0.4</v>
      </c>
      <c r="E52" s="43">
        <f t="shared" si="16"/>
        <v>2.2000000000000002</v>
      </c>
    </row>
    <row r="53" spans="1:5" ht="16" x14ac:dyDescent="0.2">
      <c r="A53" s="45" t="s">
        <v>180</v>
      </c>
      <c r="B53" s="43">
        <f t="shared" ref="B53:E54" si="17">B$42</f>
        <v>1</v>
      </c>
      <c r="C53" s="43">
        <f t="shared" si="17"/>
        <v>0.95</v>
      </c>
      <c r="D53" s="43">
        <f t="shared" si="17"/>
        <v>0.3</v>
      </c>
      <c r="E53" s="43">
        <f t="shared" si="17"/>
        <v>2</v>
      </c>
    </row>
    <row r="54" spans="1:5" s="55" customFormat="1" ht="17" thickBot="1" x14ac:dyDescent="0.25">
      <c r="A54" s="56" t="s">
        <v>181</v>
      </c>
      <c r="B54" s="72">
        <f t="shared" si="17"/>
        <v>1</v>
      </c>
      <c r="C54" s="72">
        <f t="shared" si="17"/>
        <v>0.95</v>
      </c>
      <c r="D54" s="72">
        <f t="shared" si="17"/>
        <v>0.3</v>
      </c>
      <c r="E54" s="72">
        <f t="shared" si="17"/>
        <v>2</v>
      </c>
    </row>
    <row r="55" spans="1:5" s="1" customFormat="1" ht="16" x14ac:dyDescent="0.2">
      <c r="A55" s="59" t="s">
        <v>212</v>
      </c>
      <c r="B55" s="114">
        <v>1</v>
      </c>
      <c r="C55" s="114">
        <v>0.9</v>
      </c>
      <c r="D55" s="114">
        <v>0.5</v>
      </c>
      <c r="E55" s="114">
        <v>2.5</v>
      </c>
    </row>
    <row r="56" spans="1:5" ht="16" x14ac:dyDescent="0.2">
      <c r="A56" s="45" t="s">
        <v>213</v>
      </c>
      <c r="B56" s="43">
        <f>B$55</f>
        <v>1</v>
      </c>
      <c r="C56" s="43">
        <f t="shared" ref="C56:E59" si="18">C$55</f>
        <v>0.9</v>
      </c>
      <c r="D56" s="43">
        <f t="shared" si="18"/>
        <v>0.5</v>
      </c>
      <c r="E56" s="43">
        <f t="shared" si="18"/>
        <v>2.5</v>
      </c>
    </row>
    <row r="57" spans="1:5" ht="16" x14ac:dyDescent="0.2">
      <c r="A57" s="45" t="s">
        <v>214</v>
      </c>
      <c r="B57" s="43">
        <f t="shared" ref="B57:B59" si="19">B$55</f>
        <v>1</v>
      </c>
      <c r="C57" s="43">
        <f t="shared" si="18"/>
        <v>0.9</v>
      </c>
      <c r="D57" s="43">
        <f t="shared" si="18"/>
        <v>0.5</v>
      </c>
      <c r="E57" s="43">
        <f t="shared" si="18"/>
        <v>2.5</v>
      </c>
    </row>
    <row r="58" spans="1:5" ht="16" x14ac:dyDescent="0.2">
      <c r="A58" s="45" t="s">
        <v>215</v>
      </c>
      <c r="B58" s="43">
        <f t="shared" si="19"/>
        <v>1</v>
      </c>
      <c r="C58" s="43">
        <f t="shared" si="18"/>
        <v>0.9</v>
      </c>
      <c r="D58" s="43">
        <f t="shared" si="18"/>
        <v>0.5</v>
      </c>
      <c r="E58" s="43">
        <f t="shared" si="18"/>
        <v>2.5</v>
      </c>
    </row>
    <row r="59" spans="1:5" s="55" customFormat="1" ht="17" thickBot="1" x14ac:dyDescent="0.25">
      <c r="A59" s="56" t="s">
        <v>216</v>
      </c>
      <c r="B59" s="72">
        <f t="shared" si="19"/>
        <v>1</v>
      </c>
      <c r="C59" s="72">
        <f t="shared" si="18"/>
        <v>0.9</v>
      </c>
      <c r="D59" s="72">
        <f t="shared" si="18"/>
        <v>0.5</v>
      </c>
      <c r="E59" s="72">
        <f t="shared" si="18"/>
        <v>2.5</v>
      </c>
    </row>
    <row r="60" spans="1:5" s="1" customFormat="1" ht="16" x14ac:dyDescent="0.2">
      <c r="A60" s="59" t="s">
        <v>217</v>
      </c>
      <c r="B60" s="114">
        <v>1</v>
      </c>
      <c r="C60" s="114">
        <v>0.9</v>
      </c>
      <c r="D60" s="114">
        <v>0.5</v>
      </c>
      <c r="E60" s="114">
        <v>2.5</v>
      </c>
    </row>
    <row r="61" spans="1:5" ht="16" x14ac:dyDescent="0.2">
      <c r="A61" s="45" t="s">
        <v>218</v>
      </c>
      <c r="B61" s="43">
        <f>B$60</f>
        <v>1</v>
      </c>
      <c r="C61" s="43">
        <f t="shared" ref="C61:E64" si="20">C$60</f>
        <v>0.9</v>
      </c>
      <c r="D61" s="43">
        <f t="shared" si="20"/>
        <v>0.5</v>
      </c>
      <c r="E61" s="43">
        <f t="shared" si="20"/>
        <v>2.5</v>
      </c>
    </row>
    <row r="62" spans="1:5" ht="16" x14ac:dyDescent="0.2">
      <c r="A62" s="45" t="s">
        <v>219</v>
      </c>
      <c r="B62" s="43">
        <f t="shared" ref="B62:B64" si="21">B$60</f>
        <v>1</v>
      </c>
      <c r="C62" s="43">
        <f t="shared" si="20"/>
        <v>0.9</v>
      </c>
      <c r="D62" s="43">
        <f t="shared" si="20"/>
        <v>0.5</v>
      </c>
      <c r="E62" s="43">
        <f t="shared" si="20"/>
        <v>2.5</v>
      </c>
    </row>
    <row r="63" spans="1:5" ht="16" x14ac:dyDescent="0.2">
      <c r="A63" s="45" t="s">
        <v>220</v>
      </c>
      <c r="B63" s="43">
        <f t="shared" si="21"/>
        <v>1</v>
      </c>
      <c r="C63" s="43">
        <f t="shared" si="20"/>
        <v>0.9</v>
      </c>
      <c r="D63" s="43">
        <f t="shared" si="20"/>
        <v>0.5</v>
      </c>
      <c r="E63" s="43">
        <f t="shared" si="20"/>
        <v>2.5</v>
      </c>
    </row>
    <row r="64" spans="1:5" s="55" customFormat="1" ht="17" thickBot="1" x14ac:dyDescent="0.25">
      <c r="A64" s="56" t="s">
        <v>221</v>
      </c>
      <c r="B64" s="72">
        <f t="shared" si="21"/>
        <v>1</v>
      </c>
      <c r="C64" s="72">
        <f t="shared" si="20"/>
        <v>0.9</v>
      </c>
      <c r="D64" s="72">
        <f t="shared" si="20"/>
        <v>0.5</v>
      </c>
      <c r="E64" s="72">
        <f t="shared" si="20"/>
        <v>2.5</v>
      </c>
    </row>
    <row r="65" spans="1:5" s="1" customFormat="1" ht="16" x14ac:dyDescent="0.2">
      <c r="A65" s="59" t="s">
        <v>222</v>
      </c>
      <c r="B65" s="114">
        <v>1</v>
      </c>
      <c r="C65" s="114">
        <v>0.9</v>
      </c>
      <c r="D65" s="114">
        <v>0.5</v>
      </c>
      <c r="E65" s="114">
        <v>2.5</v>
      </c>
    </row>
    <row r="66" spans="1:5" ht="16" x14ac:dyDescent="0.2">
      <c r="A66" s="45" t="s">
        <v>223</v>
      </c>
      <c r="B66" s="89">
        <f>B$65</f>
        <v>1</v>
      </c>
      <c r="C66" s="89">
        <f t="shared" ref="C66:E69" si="22">C$65</f>
        <v>0.9</v>
      </c>
      <c r="D66" s="89">
        <f t="shared" si="22"/>
        <v>0.5</v>
      </c>
      <c r="E66" s="89">
        <f t="shared" si="22"/>
        <v>2.5</v>
      </c>
    </row>
    <row r="67" spans="1:5" ht="16" x14ac:dyDescent="0.2">
      <c r="A67" s="45" t="s">
        <v>224</v>
      </c>
      <c r="B67" s="89">
        <f t="shared" ref="B67:B69" si="23">B$65</f>
        <v>1</v>
      </c>
      <c r="C67" s="89">
        <f t="shared" si="22"/>
        <v>0.9</v>
      </c>
      <c r="D67" s="89">
        <f t="shared" si="22"/>
        <v>0.5</v>
      </c>
      <c r="E67" s="89">
        <f t="shared" si="22"/>
        <v>2.5</v>
      </c>
    </row>
    <row r="68" spans="1:5" ht="16" x14ac:dyDescent="0.2">
      <c r="A68" s="45" t="s">
        <v>225</v>
      </c>
      <c r="B68" s="89">
        <f t="shared" si="23"/>
        <v>1</v>
      </c>
      <c r="C68" s="89">
        <f t="shared" si="22"/>
        <v>0.9</v>
      </c>
      <c r="D68" s="89">
        <f t="shared" si="22"/>
        <v>0.5</v>
      </c>
      <c r="E68" s="89">
        <f t="shared" si="22"/>
        <v>2.5</v>
      </c>
    </row>
    <row r="69" spans="1:5" s="55" customFormat="1" ht="17" thickBot="1" x14ac:dyDescent="0.25">
      <c r="A69" s="56" t="s">
        <v>226</v>
      </c>
      <c r="B69" s="90">
        <f t="shared" si="23"/>
        <v>1</v>
      </c>
      <c r="C69" s="90">
        <f t="shared" si="22"/>
        <v>0.9</v>
      </c>
      <c r="D69" s="90">
        <f t="shared" si="22"/>
        <v>0.5</v>
      </c>
      <c r="E69" s="90">
        <f t="shared" si="22"/>
        <v>2.5</v>
      </c>
    </row>
    <row r="70" spans="1:5" s="1" customFormat="1" ht="16" x14ac:dyDescent="0.2">
      <c r="A70" s="59" t="s">
        <v>227</v>
      </c>
      <c r="B70" s="114">
        <v>1</v>
      </c>
      <c r="C70" s="114">
        <v>0.9</v>
      </c>
      <c r="D70" s="114">
        <v>0.5</v>
      </c>
      <c r="E70" s="114">
        <v>2.5</v>
      </c>
    </row>
    <row r="71" spans="1:5" ht="16" x14ac:dyDescent="0.2">
      <c r="A71" s="45" t="s">
        <v>228</v>
      </c>
      <c r="B71" s="89">
        <f>B$70</f>
        <v>1</v>
      </c>
      <c r="C71" s="89">
        <f t="shared" ref="C71:E74" si="24">C$70</f>
        <v>0.9</v>
      </c>
      <c r="D71" s="89">
        <f t="shared" si="24"/>
        <v>0.5</v>
      </c>
      <c r="E71" s="89">
        <f t="shared" si="24"/>
        <v>2.5</v>
      </c>
    </row>
    <row r="72" spans="1:5" ht="16" x14ac:dyDescent="0.2">
      <c r="A72" s="45" t="s">
        <v>229</v>
      </c>
      <c r="B72" s="89">
        <f t="shared" ref="B72:B74" si="25">B$70</f>
        <v>1</v>
      </c>
      <c r="C72" s="89">
        <f t="shared" si="24"/>
        <v>0.9</v>
      </c>
      <c r="D72" s="89">
        <f t="shared" si="24"/>
        <v>0.5</v>
      </c>
      <c r="E72" s="89">
        <f t="shared" si="24"/>
        <v>2.5</v>
      </c>
    </row>
    <row r="73" spans="1:5" ht="16" x14ac:dyDescent="0.2">
      <c r="A73" s="45" t="s">
        <v>230</v>
      </c>
      <c r="B73" s="89">
        <f t="shared" si="25"/>
        <v>1</v>
      </c>
      <c r="C73" s="89">
        <f t="shared" si="24"/>
        <v>0.9</v>
      </c>
      <c r="D73" s="89">
        <f t="shared" si="24"/>
        <v>0.5</v>
      </c>
      <c r="E73" s="89">
        <f t="shared" si="24"/>
        <v>2.5</v>
      </c>
    </row>
    <row r="74" spans="1:5" s="55" customFormat="1" ht="17" thickBot="1" x14ac:dyDescent="0.25">
      <c r="A74" s="56" t="s">
        <v>231</v>
      </c>
      <c r="B74" s="90">
        <f t="shared" si="25"/>
        <v>1</v>
      </c>
      <c r="C74" s="90">
        <f t="shared" si="24"/>
        <v>0.9</v>
      </c>
      <c r="D74" s="90">
        <f t="shared" si="24"/>
        <v>0.5</v>
      </c>
      <c r="E74" s="90">
        <f t="shared" si="24"/>
        <v>2.5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71"/>
  <sheetViews>
    <sheetView workbookViewId="0">
      <selection activeCell="D47" sqref="D47"/>
    </sheetView>
  </sheetViews>
  <sheetFormatPr baseColWidth="10" defaultColWidth="8.83203125" defaultRowHeight="15" x14ac:dyDescent="0.2"/>
  <cols>
    <col min="1" max="1" width="19.1640625" customWidth="1"/>
  </cols>
  <sheetData>
    <row r="1" spans="1:3" x14ac:dyDescent="0.2">
      <c r="A1" s="35" t="s">
        <v>84</v>
      </c>
      <c r="B1" t="s">
        <v>101</v>
      </c>
      <c r="C1" t="s">
        <v>102</v>
      </c>
    </row>
    <row r="2" spans="1:3" x14ac:dyDescent="0.2">
      <c r="A2" s="37" t="s">
        <v>78</v>
      </c>
      <c r="B2" t="s">
        <v>103</v>
      </c>
      <c r="C2" t="s">
        <v>104</v>
      </c>
    </row>
    <row r="3" spans="1:3" x14ac:dyDescent="0.2">
      <c r="A3" s="37" t="s">
        <v>2</v>
      </c>
    </row>
    <row r="4" spans="1:3" x14ac:dyDescent="0.2">
      <c r="A4" s="38" t="s">
        <v>3</v>
      </c>
      <c r="B4">
        <v>0.01</v>
      </c>
      <c r="C4">
        <v>0</v>
      </c>
    </row>
    <row r="5" spans="1:3" hidden="1" x14ac:dyDescent="0.2">
      <c r="A5" t="s">
        <v>106</v>
      </c>
      <c r="B5">
        <v>0.01</v>
      </c>
      <c r="C5">
        <v>0</v>
      </c>
    </row>
    <row r="6" spans="1:3" hidden="1" x14ac:dyDescent="0.2">
      <c r="A6" t="s">
        <v>107</v>
      </c>
      <c r="B6">
        <v>0.01</v>
      </c>
      <c r="C6">
        <v>0</v>
      </c>
    </row>
    <row r="7" spans="1:3" hidden="1" x14ac:dyDescent="0.2">
      <c r="A7" t="s">
        <v>108</v>
      </c>
      <c r="B7">
        <v>0.01</v>
      </c>
      <c r="C7">
        <v>0</v>
      </c>
    </row>
    <row r="8" spans="1:3" hidden="1" x14ac:dyDescent="0.2">
      <c r="A8" t="s">
        <v>109</v>
      </c>
      <c r="B8">
        <v>0.01</v>
      </c>
      <c r="C8">
        <v>0</v>
      </c>
    </row>
    <row r="9" spans="1:3" hidden="1" x14ac:dyDescent="0.2">
      <c r="A9" t="s">
        <v>110</v>
      </c>
      <c r="B9">
        <v>0.01</v>
      </c>
      <c r="C9">
        <v>0</v>
      </c>
    </row>
    <row r="10" spans="1:3" hidden="1" x14ac:dyDescent="0.2">
      <c r="A10" t="s">
        <v>55</v>
      </c>
      <c r="B10">
        <v>0.01</v>
      </c>
      <c r="C10">
        <v>0</v>
      </c>
    </row>
    <row r="11" spans="1:3" hidden="1" x14ac:dyDescent="0.2">
      <c r="A11" t="s">
        <v>130</v>
      </c>
      <c r="B11">
        <f>B$6</f>
        <v>0.01</v>
      </c>
      <c r="C11">
        <f t="shared" ref="C11:C15" si="0">C$6</f>
        <v>0</v>
      </c>
    </row>
    <row r="12" spans="1:3" hidden="1" x14ac:dyDescent="0.2">
      <c r="A12" t="s">
        <v>131</v>
      </c>
      <c r="B12">
        <f t="shared" ref="B12:B15" si="1">B$6</f>
        <v>0.01</v>
      </c>
      <c r="C12">
        <f t="shared" si="0"/>
        <v>0</v>
      </c>
    </row>
    <row r="13" spans="1:3" hidden="1" x14ac:dyDescent="0.2">
      <c r="A13" t="s">
        <v>132</v>
      </c>
      <c r="B13">
        <f t="shared" si="1"/>
        <v>0.01</v>
      </c>
      <c r="C13">
        <f t="shared" si="0"/>
        <v>0</v>
      </c>
    </row>
    <row r="14" spans="1:3" hidden="1" x14ac:dyDescent="0.2">
      <c r="A14" t="s">
        <v>133</v>
      </c>
      <c r="B14">
        <f t="shared" si="1"/>
        <v>0.01</v>
      </c>
      <c r="C14">
        <f t="shared" si="0"/>
        <v>0</v>
      </c>
    </row>
    <row r="15" spans="1:3" hidden="1" x14ac:dyDescent="0.2">
      <c r="A15" t="s">
        <v>126</v>
      </c>
      <c r="B15">
        <f t="shared" si="1"/>
        <v>0.01</v>
      </c>
      <c r="C15">
        <f t="shared" si="0"/>
        <v>0</v>
      </c>
    </row>
    <row r="16" spans="1:3" hidden="1" x14ac:dyDescent="0.2">
      <c r="A16" t="s">
        <v>150</v>
      </c>
    </row>
    <row r="17" spans="1:3" hidden="1" x14ac:dyDescent="0.2">
      <c r="A17" t="s">
        <v>157</v>
      </c>
    </row>
    <row r="18" spans="1:3" hidden="1" x14ac:dyDescent="0.2">
      <c r="A18" t="s">
        <v>151</v>
      </c>
    </row>
    <row r="19" spans="1:3" hidden="1" x14ac:dyDescent="0.2">
      <c r="A19" t="s">
        <v>142</v>
      </c>
    </row>
    <row r="20" spans="1:3" hidden="1" x14ac:dyDescent="0.2">
      <c r="A20" t="s">
        <v>152</v>
      </c>
    </row>
    <row r="21" spans="1:3" hidden="1" x14ac:dyDescent="0.2">
      <c r="A21" t="s">
        <v>155</v>
      </c>
    </row>
    <row r="22" spans="1:3" s="77" customFormat="1" ht="16" x14ac:dyDescent="0.2">
      <c r="A22" s="76" t="s">
        <v>197</v>
      </c>
      <c r="B22" s="82">
        <v>0.01</v>
      </c>
      <c r="C22" s="82">
        <v>0</v>
      </c>
    </row>
    <row r="23" spans="1:3" s="1" customFormat="1" ht="16" x14ac:dyDescent="0.2">
      <c r="A23" s="59" t="s">
        <v>290</v>
      </c>
      <c r="B23" s="65">
        <v>0.01</v>
      </c>
      <c r="C23" s="65">
        <v>0</v>
      </c>
    </row>
    <row r="24" spans="1:3" s="1" customFormat="1" ht="16" x14ac:dyDescent="0.2">
      <c r="A24" s="59" t="s">
        <v>286</v>
      </c>
      <c r="B24" s="65">
        <v>0.01</v>
      </c>
      <c r="C24" s="65">
        <v>0</v>
      </c>
    </row>
    <row r="25" spans="1:3" ht="16" x14ac:dyDescent="0.2">
      <c r="A25" s="45" t="s">
        <v>198</v>
      </c>
      <c r="B25">
        <f>B$22</f>
        <v>0.01</v>
      </c>
      <c r="C25">
        <f>C$22</f>
        <v>0</v>
      </c>
    </row>
    <row r="26" spans="1:3" ht="16" x14ac:dyDescent="0.2">
      <c r="A26" s="45" t="s">
        <v>291</v>
      </c>
      <c r="B26">
        <f>B$23</f>
        <v>0.01</v>
      </c>
      <c r="C26">
        <f>C$23</f>
        <v>0</v>
      </c>
    </row>
    <row r="27" spans="1:3" ht="16" x14ac:dyDescent="0.2">
      <c r="A27" s="45" t="s">
        <v>199</v>
      </c>
      <c r="B27">
        <f>B$22</f>
        <v>0.01</v>
      </c>
      <c r="C27">
        <f>C$22</f>
        <v>0</v>
      </c>
    </row>
    <row r="28" spans="1:3" ht="16" x14ac:dyDescent="0.2">
      <c r="A28" s="45" t="s">
        <v>292</v>
      </c>
      <c r="B28">
        <f>B$23</f>
        <v>0.01</v>
      </c>
      <c r="C28">
        <f>C$23</f>
        <v>0</v>
      </c>
    </row>
    <row r="29" spans="1:3" ht="16" x14ac:dyDescent="0.2">
      <c r="A29" s="45" t="s">
        <v>288</v>
      </c>
      <c r="B29">
        <f>B$24</f>
        <v>0.01</v>
      </c>
      <c r="C29">
        <f>C$24</f>
        <v>0</v>
      </c>
    </row>
    <row r="30" spans="1:3" ht="16" x14ac:dyDescent="0.2">
      <c r="A30" s="45" t="s">
        <v>200</v>
      </c>
      <c r="B30">
        <f t="shared" ref="B30:C32" si="2">B$22</f>
        <v>0.01</v>
      </c>
      <c r="C30">
        <f t="shared" si="2"/>
        <v>0</v>
      </c>
    </row>
    <row r="31" spans="1:3" ht="16" x14ac:dyDescent="0.2">
      <c r="A31" s="45" t="s">
        <v>201</v>
      </c>
      <c r="B31">
        <f t="shared" si="2"/>
        <v>0.01</v>
      </c>
      <c r="C31">
        <f t="shared" si="2"/>
        <v>0</v>
      </c>
    </row>
    <row r="32" spans="1:3" ht="16" x14ac:dyDescent="0.2">
      <c r="A32" s="45" t="s">
        <v>172</v>
      </c>
      <c r="B32">
        <f t="shared" si="2"/>
        <v>0.01</v>
      </c>
      <c r="C32">
        <f t="shared" si="2"/>
        <v>0</v>
      </c>
    </row>
    <row r="33" spans="1:3" ht="16" x14ac:dyDescent="0.2">
      <c r="A33" s="45" t="s">
        <v>173</v>
      </c>
      <c r="B33">
        <f t="shared" ref="B33:C34" si="3">B$23</f>
        <v>0.01</v>
      </c>
      <c r="C33">
        <f t="shared" si="3"/>
        <v>0</v>
      </c>
    </row>
    <row r="34" spans="1:3" ht="16" x14ac:dyDescent="0.2">
      <c r="A34" s="45" t="s">
        <v>174</v>
      </c>
      <c r="B34">
        <f t="shared" si="3"/>
        <v>0.01</v>
      </c>
      <c r="C34">
        <f t="shared" si="3"/>
        <v>0</v>
      </c>
    </row>
    <row r="35" spans="1:3" ht="16" x14ac:dyDescent="0.2">
      <c r="A35" s="45" t="s">
        <v>175</v>
      </c>
      <c r="B35">
        <f t="shared" ref="B35:C36" si="4">B$24</f>
        <v>0.01</v>
      </c>
      <c r="C35">
        <f t="shared" si="4"/>
        <v>0</v>
      </c>
    </row>
    <row r="36" spans="1:3" s="55" customFormat="1" ht="17" thickBot="1" x14ac:dyDescent="0.25">
      <c r="A36" s="56" t="s">
        <v>176</v>
      </c>
      <c r="B36" s="55">
        <f t="shared" si="4"/>
        <v>0.01</v>
      </c>
      <c r="C36" s="55">
        <f t="shared" si="4"/>
        <v>0</v>
      </c>
    </row>
    <row r="37" spans="1:3" s="1" customFormat="1" ht="16" x14ac:dyDescent="0.2">
      <c r="A37" s="59" t="s">
        <v>202</v>
      </c>
      <c r="B37" s="84">
        <v>0.01</v>
      </c>
      <c r="C37" s="84">
        <v>0</v>
      </c>
    </row>
    <row r="38" spans="1:3" s="1" customFormat="1" ht="16" x14ac:dyDescent="0.2">
      <c r="A38" s="59" t="s">
        <v>203</v>
      </c>
      <c r="B38" s="65">
        <v>0.01</v>
      </c>
      <c r="C38" s="65">
        <v>0</v>
      </c>
    </row>
    <row r="39" spans="1:3" s="1" customFormat="1" ht="16" x14ac:dyDescent="0.2">
      <c r="A39" s="59" t="s">
        <v>204</v>
      </c>
      <c r="B39" s="65">
        <v>0.01</v>
      </c>
      <c r="C39" s="65">
        <v>0</v>
      </c>
    </row>
    <row r="40" spans="1:3" ht="16" x14ac:dyDescent="0.2">
      <c r="A40" s="45" t="s">
        <v>205</v>
      </c>
      <c r="B40">
        <f>B$37</f>
        <v>0.01</v>
      </c>
      <c r="C40">
        <f>C$37</f>
        <v>0</v>
      </c>
    </row>
    <row r="41" spans="1:3" ht="16" x14ac:dyDescent="0.2">
      <c r="A41" s="45" t="s">
        <v>206</v>
      </c>
      <c r="B41">
        <f>B$38</f>
        <v>0.01</v>
      </c>
      <c r="C41">
        <f>C$38</f>
        <v>0</v>
      </c>
    </row>
    <row r="42" spans="1:3" ht="16" x14ac:dyDescent="0.2">
      <c r="A42" s="45" t="s">
        <v>207</v>
      </c>
      <c r="B42">
        <f>B$37</f>
        <v>0.01</v>
      </c>
      <c r="C42">
        <f>C$37</f>
        <v>0</v>
      </c>
    </row>
    <row r="43" spans="1:3" ht="16" x14ac:dyDescent="0.2">
      <c r="A43" s="45" t="s">
        <v>208</v>
      </c>
      <c r="B43">
        <f>B$38</f>
        <v>0.01</v>
      </c>
      <c r="C43">
        <f>C$38</f>
        <v>0</v>
      </c>
    </row>
    <row r="44" spans="1:3" ht="16" x14ac:dyDescent="0.2">
      <c r="A44" s="45" t="s">
        <v>209</v>
      </c>
      <c r="B44">
        <f>B$39</f>
        <v>0.01</v>
      </c>
      <c r="C44">
        <f>C$39</f>
        <v>0</v>
      </c>
    </row>
    <row r="45" spans="1:3" ht="16" x14ac:dyDescent="0.2">
      <c r="A45" s="45" t="s">
        <v>210</v>
      </c>
      <c r="B45">
        <f t="shared" ref="B45:C47" si="5">B$37</f>
        <v>0.01</v>
      </c>
      <c r="C45">
        <f t="shared" si="5"/>
        <v>0</v>
      </c>
    </row>
    <row r="46" spans="1:3" ht="16" x14ac:dyDescent="0.2">
      <c r="A46" s="45" t="s">
        <v>211</v>
      </c>
      <c r="B46">
        <f t="shared" si="5"/>
        <v>0.01</v>
      </c>
      <c r="C46">
        <f t="shared" si="5"/>
        <v>0</v>
      </c>
    </row>
    <row r="47" spans="1:3" ht="16" x14ac:dyDescent="0.2">
      <c r="A47" s="45" t="s">
        <v>177</v>
      </c>
      <c r="B47">
        <f t="shared" si="5"/>
        <v>0.01</v>
      </c>
      <c r="C47">
        <f t="shared" si="5"/>
        <v>0</v>
      </c>
    </row>
    <row r="48" spans="1:3" ht="16" x14ac:dyDescent="0.2">
      <c r="A48" s="45" t="s">
        <v>178</v>
      </c>
      <c r="B48">
        <f t="shared" ref="B48:C49" si="6">B$38</f>
        <v>0.01</v>
      </c>
      <c r="C48">
        <f t="shared" si="6"/>
        <v>0</v>
      </c>
    </row>
    <row r="49" spans="1:3" ht="16" x14ac:dyDescent="0.2">
      <c r="A49" s="45" t="s">
        <v>179</v>
      </c>
      <c r="B49">
        <f t="shared" si="6"/>
        <v>0.01</v>
      </c>
      <c r="C49">
        <f t="shared" si="6"/>
        <v>0</v>
      </c>
    </row>
    <row r="50" spans="1:3" ht="16" x14ac:dyDescent="0.2">
      <c r="A50" s="45" t="s">
        <v>180</v>
      </c>
      <c r="B50">
        <f t="shared" ref="B50:C51" si="7">B$39</f>
        <v>0.01</v>
      </c>
      <c r="C50">
        <f t="shared" si="7"/>
        <v>0</v>
      </c>
    </row>
    <row r="51" spans="1:3" s="55" customFormat="1" ht="17" thickBot="1" x14ac:dyDescent="0.25">
      <c r="A51" s="56" t="s">
        <v>181</v>
      </c>
      <c r="B51" s="55">
        <f t="shared" si="7"/>
        <v>0.01</v>
      </c>
      <c r="C51" s="55">
        <f t="shared" si="7"/>
        <v>0</v>
      </c>
    </row>
    <row r="52" spans="1:3" s="1" customFormat="1" ht="16" x14ac:dyDescent="0.2">
      <c r="A52" s="59" t="s">
        <v>212</v>
      </c>
      <c r="B52" s="65">
        <v>0.01</v>
      </c>
      <c r="C52" s="65">
        <v>0</v>
      </c>
    </row>
    <row r="53" spans="1:3" ht="16" x14ac:dyDescent="0.2">
      <c r="A53" s="45" t="s">
        <v>213</v>
      </c>
      <c r="B53">
        <f>B$52</f>
        <v>0.01</v>
      </c>
      <c r="C53">
        <f t="shared" ref="C53:C56" si="8">C$52</f>
        <v>0</v>
      </c>
    </row>
    <row r="54" spans="1:3" ht="16" x14ac:dyDescent="0.2">
      <c r="A54" s="45" t="s">
        <v>214</v>
      </c>
      <c r="B54">
        <f t="shared" ref="B54:B56" si="9">B$52</f>
        <v>0.01</v>
      </c>
      <c r="C54">
        <f t="shared" si="8"/>
        <v>0</v>
      </c>
    </row>
    <row r="55" spans="1:3" ht="16" x14ac:dyDescent="0.2">
      <c r="A55" s="45" t="s">
        <v>215</v>
      </c>
      <c r="B55">
        <f t="shared" si="9"/>
        <v>0.01</v>
      </c>
      <c r="C55">
        <f t="shared" si="8"/>
        <v>0</v>
      </c>
    </row>
    <row r="56" spans="1:3" s="55" customFormat="1" ht="17" thickBot="1" x14ac:dyDescent="0.25">
      <c r="A56" s="56" t="s">
        <v>216</v>
      </c>
      <c r="B56" s="55">
        <f t="shared" si="9"/>
        <v>0.01</v>
      </c>
      <c r="C56" s="55">
        <f t="shared" si="8"/>
        <v>0</v>
      </c>
    </row>
    <row r="57" spans="1:3" s="1" customFormat="1" ht="16" x14ac:dyDescent="0.2">
      <c r="A57" s="59" t="s">
        <v>217</v>
      </c>
      <c r="B57" s="65">
        <v>0.01</v>
      </c>
      <c r="C57" s="65">
        <v>0</v>
      </c>
    </row>
    <row r="58" spans="1:3" ht="16" x14ac:dyDescent="0.2">
      <c r="A58" s="45" t="s">
        <v>218</v>
      </c>
      <c r="B58">
        <f>B$57</f>
        <v>0.01</v>
      </c>
      <c r="C58">
        <f t="shared" ref="C58:C61" si="10">C$57</f>
        <v>0</v>
      </c>
    </row>
    <row r="59" spans="1:3" ht="16" x14ac:dyDescent="0.2">
      <c r="A59" s="45" t="s">
        <v>219</v>
      </c>
      <c r="B59">
        <f t="shared" ref="B59:B61" si="11">B$57</f>
        <v>0.01</v>
      </c>
      <c r="C59">
        <f t="shared" si="10"/>
        <v>0</v>
      </c>
    </row>
    <row r="60" spans="1:3" ht="16" x14ac:dyDescent="0.2">
      <c r="A60" s="45" t="s">
        <v>220</v>
      </c>
      <c r="B60">
        <f t="shared" si="11"/>
        <v>0.01</v>
      </c>
      <c r="C60">
        <f t="shared" si="10"/>
        <v>0</v>
      </c>
    </row>
    <row r="61" spans="1:3" s="55" customFormat="1" ht="17" thickBot="1" x14ac:dyDescent="0.25">
      <c r="A61" s="56" t="s">
        <v>221</v>
      </c>
      <c r="B61" s="55">
        <f t="shared" si="11"/>
        <v>0.01</v>
      </c>
      <c r="C61" s="55">
        <f t="shared" si="10"/>
        <v>0</v>
      </c>
    </row>
    <row r="62" spans="1:3" s="1" customFormat="1" ht="16" x14ac:dyDescent="0.2">
      <c r="A62" s="59" t="s">
        <v>222</v>
      </c>
      <c r="B62" s="65">
        <v>0.01</v>
      </c>
      <c r="C62" s="65">
        <v>0</v>
      </c>
    </row>
    <row r="63" spans="1:3" ht="16" x14ac:dyDescent="0.2">
      <c r="A63" s="45" t="s">
        <v>223</v>
      </c>
      <c r="B63">
        <f>B$62</f>
        <v>0.01</v>
      </c>
      <c r="C63">
        <f t="shared" ref="C63:C66" si="12">C$62</f>
        <v>0</v>
      </c>
    </row>
    <row r="64" spans="1:3" ht="16" x14ac:dyDescent="0.2">
      <c r="A64" s="45" t="s">
        <v>224</v>
      </c>
      <c r="B64">
        <f t="shared" ref="B64:B66" si="13">B$62</f>
        <v>0.01</v>
      </c>
      <c r="C64">
        <f t="shared" si="12"/>
        <v>0</v>
      </c>
    </row>
    <row r="65" spans="1:3" ht="16" x14ac:dyDescent="0.2">
      <c r="A65" s="45" t="s">
        <v>225</v>
      </c>
      <c r="B65">
        <f t="shared" si="13"/>
        <v>0.01</v>
      </c>
      <c r="C65">
        <f t="shared" si="12"/>
        <v>0</v>
      </c>
    </row>
    <row r="66" spans="1:3" s="55" customFormat="1" ht="17" thickBot="1" x14ac:dyDescent="0.25">
      <c r="A66" s="56" t="s">
        <v>226</v>
      </c>
      <c r="B66" s="55">
        <f t="shared" si="13"/>
        <v>0.01</v>
      </c>
      <c r="C66" s="55">
        <f t="shared" si="12"/>
        <v>0</v>
      </c>
    </row>
    <row r="67" spans="1:3" s="1" customFormat="1" ht="16" x14ac:dyDescent="0.2">
      <c r="A67" s="59" t="s">
        <v>227</v>
      </c>
      <c r="B67" s="65">
        <v>0.01</v>
      </c>
      <c r="C67" s="65">
        <v>0</v>
      </c>
    </row>
    <row r="68" spans="1:3" ht="16" x14ac:dyDescent="0.2">
      <c r="A68" s="45" t="s">
        <v>228</v>
      </c>
      <c r="B68">
        <f>B$67</f>
        <v>0.01</v>
      </c>
      <c r="C68">
        <f t="shared" ref="C68:C71" si="14">C$67</f>
        <v>0</v>
      </c>
    </row>
    <row r="69" spans="1:3" ht="16" x14ac:dyDescent="0.2">
      <c r="A69" s="45" t="s">
        <v>229</v>
      </c>
      <c r="B69">
        <f t="shared" ref="B69:B71" si="15">B$67</f>
        <v>0.01</v>
      </c>
      <c r="C69">
        <f t="shared" si="14"/>
        <v>0</v>
      </c>
    </row>
    <row r="70" spans="1:3" ht="16" x14ac:dyDescent="0.2">
      <c r="A70" s="45" t="s">
        <v>230</v>
      </c>
      <c r="B70">
        <f t="shared" si="15"/>
        <v>0.01</v>
      </c>
      <c r="C70">
        <f t="shared" si="14"/>
        <v>0</v>
      </c>
    </row>
    <row r="71" spans="1:3" s="55" customFormat="1" ht="17" thickBot="1" x14ac:dyDescent="0.25">
      <c r="A71" s="56" t="s">
        <v>231</v>
      </c>
      <c r="B71" s="55">
        <f t="shared" si="15"/>
        <v>0.01</v>
      </c>
      <c r="C71" s="55">
        <f t="shared" si="14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73"/>
  <sheetViews>
    <sheetView workbookViewId="0">
      <selection activeCell="C1" sqref="C1:C1048576"/>
    </sheetView>
  </sheetViews>
  <sheetFormatPr baseColWidth="10" defaultColWidth="8.83203125" defaultRowHeight="15" x14ac:dyDescent="0.2"/>
  <cols>
    <col min="1" max="1" width="20.6640625" customWidth="1"/>
    <col min="2" max="2" width="10.6640625" bestFit="1" customWidth="1"/>
    <col min="3" max="3" width="12" bestFit="1" customWidth="1"/>
    <col min="4" max="4" width="13.5" bestFit="1" customWidth="1"/>
  </cols>
  <sheetData>
    <row r="1" spans="1:4" ht="16" x14ac:dyDescent="0.2">
      <c r="A1" s="1" t="s">
        <v>0</v>
      </c>
      <c r="B1" s="20" t="s">
        <v>60</v>
      </c>
      <c r="C1" s="20" t="s">
        <v>12</v>
      </c>
      <c r="D1" s="20" t="s">
        <v>61</v>
      </c>
    </row>
    <row r="2" spans="1:4" x14ac:dyDescent="0.2">
      <c r="A2" s="2" t="s">
        <v>1</v>
      </c>
    </row>
    <row r="3" spans="1:4" x14ac:dyDescent="0.2">
      <c r="A3" s="2" t="s">
        <v>2</v>
      </c>
    </row>
    <row r="4" spans="1:4" s="97" customFormat="1" ht="16" x14ac:dyDescent="0.2">
      <c r="A4" s="97" t="s">
        <v>3</v>
      </c>
      <c r="B4" s="98" t="s">
        <v>66</v>
      </c>
      <c r="C4" s="99" t="s">
        <v>275</v>
      </c>
      <c r="D4" s="99" t="s">
        <v>68</v>
      </c>
    </row>
    <row r="5" spans="1:4" ht="16" hidden="1" x14ac:dyDescent="0.2">
      <c r="A5" t="s">
        <v>55</v>
      </c>
      <c r="B5" s="42" t="s">
        <v>66</v>
      </c>
      <c r="C5" s="22" t="s">
        <v>275</v>
      </c>
      <c r="D5" s="22" t="s">
        <v>68</v>
      </c>
    </row>
    <row r="6" spans="1:4" ht="16" hidden="1" x14ac:dyDescent="0.2">
      <c r="A6" t="s">
        <v>106</v>
      </c>
      <c r="B6" s="42" t="s">
        <v>66</v>
      </c>
      <c r="C6" s="22" t="s">
        <v>275</v>
      </c>
      <c r="D6" s="22" t="s">
        <v>68</v>
      </c>
    </row>
    <row r="7" spans="1:4" ht="16" hidden="1" x14ac:dyDescent="0.2">
      <c r="A7" t="s">
        <v>107</v>
      </c>
      <c r="B7" s="42" t="s">
        <v>66</v>
      </c>
      <c r="C7" s="22" t="s">
        <v>275</v>
      </c>
      <c r="D7" s="22" t="s">
        <v>68</v>
      </c>
    </row>
    <row r="8" spans="1:4" ht="16" hidden="1" x14ac:dyDescent="0.2">
      <c r="A8" t="s">
        <v>108</v>
      </c>
      <c r="B8" s="42" t="s">
        <v>66</v>
      </c>
      <c r="C8" s="22" t="s">
        <v>275</v>
      </c>
      <c r="D8" s="22" t="s">
        <v>68</v>
      </c>
    </row>
    <row r="9" spans="1:4" ht="16" hidden="1" x14ac:dyDescent="0.2">
      <c r="A9" t="s">
        <v>109</v>
      </c>
      <c r="B9" s="42" t="s">
        <v>66</v>
      </c>
      <c r="C9" s="22" t="s">
        <v>275</v>
      </c>
      <c r="D9" s="22" t="s">
        <v>68</v>
      </c>
    </row>
    <row r="10" spans="1:4" ht="16" hidden="1" x14ac:dyDescent="0.2">
      <c r="A10" t="s">
        <v>110</v>
      </c>
      <c r="B10" s="42" t="s">
        <v>66</v>
      </c>
      <c r="C10" s="22" t="s">
        <v>275</v>
      </c>
      <c r="D10" s="22" t="s">
        <v>68</v>
      </c>
    </row>
    <row r="11" spans="1:4" ht="32" hidden="1" x14ac:dyDescent="0.2">
      <c r="A11" t="s">
        <v>130</v>
      </c>
      <c r="B11" s="42" t="s">
        <v>114</v>
      </c>
      <c r="C11" s="22" t="s">
        <v>275</v>
      </c>
      <c r="D11" s="22" t="s">
        <v>68</v>
      </c>
    </row>
    <row r="12" spans="1:4" ht="32" hidden="1" x14ac:dyDescent="0.2">
      <c r="A12" t="s">
        <v>131</v>
      </c>
      <c r="B12" s="42" t="s">
        <v>114</v>
      </c>
      <c r="C12" s="22" t="s">
        <v>275</v>
      </c>
      <c r="D12" s="22" t="s">
        <v>68</v>
      </c>
    </row>
    <row r="13" spans="1:4" ht="32" hidden="1" x14ac:dyDescent="0.2">
      <c r="A13" t="s">
        <v>132</v>
      </c>
      <c r="B13" s="42" t="s">
        <v>114</v>
      </c>
      <c r="C13" s="22" t="s">
        <v>275</v>
      </c>
      <c r="D13" s="22" t="s">
        <v>68</v>
      </c>
    </row>
    <row r="14" spans="1:4" ht="32" hidden="1" x14ac:dyDescent="0.2">
      <c r="A14" t="s">
        <v>133</v>
      </c>
      <c r="B14" s="42" t="s">
        <v>114</v>
      </c>
      <c r="C14" s="22" t="s">
        <v>275</v>
      </c>
      <c r="D14" s="22" t="s">
        <v>68</v>
      </c>
    </row>
    <row r="15" spans="1:4" ht="16" hidden="1" x14ac:dyDescent="0.2">
      <c r="A15" t="s">
        <v>150</v>
      </c>
      <c r="B15" s="42" t="s">
        <v>66</v>
      </c>
      <c r="C15" s="22" t="s">
        <v>275</v>
      </c>
      <c r="D15" s="22" t="s">
        <v>68</v>
      </c>
    </row>
    <row r="16" spans="1:4" ht="16" hidden="1" x14ac:dyDescent="0.2">
      <c r="A16" t="s">
        <v>157</v>
      </c>
      <c r="B16" s="42" t="s">
        <v>66</v>
      </c>
      <c r="C16" s="22" t="s">
        <v>275</v>
      </c>
      <c r="D16" s="22" t="s">
        <v>68</v>
      </c>
    </row>
    <row r="17" spans="1:4" ht="16" hidden="1" x14ac:dyDescent="0.2">
      <c r="A17" t="s">
        <v>151</v>
      </c>
      <c r="B17" s="42" t="s">
        <v>66</v>
      </c>
      <c r="C17" s="22" t="s">
        <v>275</v>
      </c>
      <c r="D17" s="22" t="s">
        <v>68</v>
      </c>
    </row>
    <row r="18" spans="1:4" ht="16" hidden="1" x14ac:dyDescent="0.2">
      <c r="A18" t="s">
        <v>142</v>
      </c>
      <c r="B18" s="42" t="s">
        <v>66</v>
      </c>
      <c r="C18" s="22" t="s">
        <v>275</v>
      </c>
      <c r="D18" s="22" t="s">
        <v>68</v>
      </c>
    </row>
    <row r="19" spans="1:4" ht="16" hidden="1" x14ac:dyDescent="0.2">
      <c r="A19" t="s">
        <v>152</v>
      </c>
      <c r="B19" s="42" t="s">
        <v>66</v>
      </c>
      <c r="C19" s="22" t="s">
        <v>275</v>
      </c>
      <c r="D19" s="22" t="s">
        <v>68</v>
      </c>
    </row>
    <row r="20" spans="1:4" ht="16" hidden="1" x14ac:dyDescent="0.2">
      <c r="A20" t="s">
        <v>155</v>
      </c>
      <c r="B20" s="42" t="s">
        <v>66</v>
      </c>
      <c r="C20" s="22" t="s">
        <v>275</v>
      </c>
      <c r="D20" s="22" t="s">
        <v>68</v>
      </c>
    </row>
    <row r="21" spans="1:4" ht="16" hidden="1" x14ac:dyDescent="0.2">
      <c r="A21" t="s">
        <v>167</v>
      </c>
      <c r="B21" s="42" t="s">
        <v>66</v>
      </c>
      <c r="C21" s="22" t="s">
        <v>275</v>
      </c>
      <c r="D21" s="22" t="s">
        <v>68</v>
      </c>
    </row>
    <row r="22" spans="1:4" ht="16" hidden="1" x14ac:dyDescent="0.2">
      <c r="A22" t="s">
        <v>168</v>
      </c>
      <c r="B22" s="42" t="s">
        <v>66</v>
      </c>
      <c r="C22" s="22" t="s">
        <v>275</v>
      </c>
      <c r="D22" s="22" t="s">
        <v>68</v>
      </c>
    </row>
    <row r="23" spans="1:4" s="97" customFormat="1" ht="16" hidden="1" x14ac:dyDescent="0.2">
      <c r="A23" s="97" t="s">
        <v>164</v>
      </c>
      <c r="B23" s="98" t="s">
        <v>66</v>
      </c>
      <c r="C23" s="99" t="s">
        <v>275</v>
      </c>
      <c r="D23" s="99" t="s">
        <v>68</v>
      </c>
    </row>
    <row r="24" spans="1:4" s="1" customFormat="1" ht="16" x14ac:dyDescent="0.2">
      <c r="A24" s="59" t="s">
        <v>197</v>
      </c>
      <c r="B24" s="42" t="s">
        <v>66</v>
      </c>
      <c r="C24" s="22" t="s">
        <v>275</v>
      </c>
      <c r="D24" s="22" t="s">
        <v>68</v>
      </c>
    </row>
    <row r="25" spans="1:4" s="1" customFormat="1" ht="16" x14ac:dyDescent="0.2">
      <c r="A25" s="59" t="s">
        <v>290</v>
      </c>
      <c r="B25" s="42" t="s">
        <v>66</v>
      </c>
      <c r="C25" s="22" t="s">
        <v>275</v>
      </c>
      <c r="D25" s="22" t="s">
        <v>68</v>
      </c>
    </row>
    <row r="26" spans="1:4" s="1" customFormat="1" ht="16" x14ac:dyDescent="0.2">
      <c r="A26" s="59" t="s">
        <v>286</v>
      </c>
      <c r="B26" s="42" t="s">
        <v>66</v>
      </c>
      <c r="C26" s="22" t="s">
        <v>275</v>
      </c>
      <c r="D26" s="22" t="s">
        <v>68</v>
      </c>
    </row>
    <row r="27" spans="1:4" ht="16" x14ac:dyDescent="0.2">
      <c r="A27" s="45" t="s">
        <v>198</v>
      </c>
      <c r="B27" s="42" t="s">
        <v>66</v>
      </c>
      <c r="C27" s="22" t="s">
        <v>275</v>
      </c>
      <c r="D27" s="22" t="s">
        <v>68</v>
      </c>
    </row>
    <row r="28" spans="1:4" ht="16" x14ac:dyDescent="0.2">
      <c r="A28" s="45" t="s">
        <v>291</v>
      </c>
      <c r="B28" s="42" t="s">
        <v>66</v>
      </c>
      <c r="C28" s="22" t="s">
        <v>275</v>
      </c>
      <c r="D28" s="22" t="s">
        <v>68</v>
      </c>
    </row>
    <row r="29" spans="1:4" ht="16" x14ac:dyDescent="0.2">
      <c r="A29" s="45" t="s">
        <v>199</v>
      </c>
      <c r="B29" s="42" t="s">
        <v>66</v>
      </c>
      <c r="C29" s="22" t="s">
        <v>275</v>
      </c>
      <c r="D29" s="22" t="s">
        <v>68</v>
      </c>
    </row>
    <row r="30" spans="1:4" ht="16" x14ac:dyDescent="0.2">
      <c r="A30" s="45" t="s">
        <v>292</v>
      </c>
      <c r="B30" s="42" t="s">
        <v>66</v>
      </c>
      <c r="C30" s="22" t="s">
        <v>275</v>
      </c>
      <c r="D30" s="22" t="s">
        <v>68</v>
      </c>
    </row>
    <row r="31" spans="1:4" ht="16" x14ac:dyDescent="0.2">
      <c r="A31" s="45" t="s">
        <v>288</v>
      </c>
      <c r="B31" s="42" t="s">
        <v>66</v>
      </c>
      <c r="C31" s="22" t="s">
        <v>275</v>
      </c>
      <c r="D31" s="22" t="s">
        <v>68</v>
      </c>
    </row>
    <row r="32" spans="1:4" ht="16" x14ac:dyDescent="0.2">
      <c r="A32" s="45" t="s">
        <v>200</v>
      </c>
      <c r="B32" s="42" t="s">
        <v>66</v>
      </c>
      <c r="C32" s="22" t="s">
        <v>275</v>
      </c>
      <c r="D32" s="22" t="s">
        <v>68</v>
      </c>
    </row>
    <row r="33" spans="1:4" ht="17" thickBot="1" x14ac:dyDescent="0.25">
      <c r="A33" s="45" t="s">
        <v>201</v>
      </c>
      <c r="B33" s="42" t="s">
        <v>66</v>
      </c>
      <c r="C33" s="53" t="s">
        <v>274</v>
      </c>
      <c r="D33" s="22" t="s">
        <v>68</v>
      </c>
    </row>
    <row r="34" spans="1:4" ht="16" x14ac:dyDescent="0.2">
      <c r="A34" s="45" t="s">
        <v>172</v>
      </c>
      <c r="B34" s="42" t="s">
        <v>66</v>
      </c>
      <c r="C34" s="22" t="s">
        <v>275</v>
      </c>
      <c r="D34" s="22" t="s">
        <v>68</v>
      </c>
    </row>
    <row r="35" spans="1:4" ht="16" x14ac:dyDescent="0.2">
      <c r="A35" s="45" t="s">
        <v>173</v>
      </c>
      <c r="B35" s="42" t="s">
        <v>66</v>
      </c>
      <c r="C35" s="22" t="s">
        <v>275</v>
      </c>
      <c r="D35" s="22" t="s">
        <v>68</v>
      </c>
    </row>
    <row r="36" spans="1:4" ht="16" x14ac:dyDescent="0.2">
      <c r="A36" s="45" t="s">
        <v>174</v>
      </c>
      <c r="B36" s="42" t="s">
        <v>66</v>
      </c>
      <c r="C36" s="22" t="s">
        <v>275</v>
      </c>
      <c r="D36" s="22" t="s">
        <v>68</v>
      </c>
    </row>
    <row r="37" spans="1:4" ht="16" x14ac:dyDescent="0.2">
      <c r="A37" s="45" t="s">
        <v>175</v>
      </c>
      <c r="B37" s="42" t="s">
        <v>66</v>
      </c>
      <c r="C37" s="22" t="s">
        <v>275</v>
      </c>
      <c r="D37" s="22" t="s">
        <v>68</v>
      </c>
    </row>
    <row r="38" spans="1:4" s="55" customFormat="1" ht="17" thickBot="1" x14ac:dyDescent="0.25">
      <c r="A38" s="56" t="s">
        <v>176</v>
      </c>
      <c r="B38" s="100" t="s">
        <v>66</v>
      </c>
      <c r="C38" s="73" t="s">
        <v>275</v>
      </c>
      <c r="D38" s="73" t="s">
        <v>68</v>
      </c>
    </row>
    <row r="39" spans="1:4" s="1" customFormat="1" ht="16" x14ac:dyDescent="0.2">
      <c r="A39" s="59" t="s">
        <v>202</v>
      </c>
      <c r="B39" s="42" t="s">
        <v>66</v>
      </c>
      <c r="C39" s="22" t="s">
        <v>275</v>
      </c>
      <c r="D39" s="22" t="s">
        <v>68</v>
      </c>
    </row>
    <row r="40" spans="1:4" s="1" customFormat="1" ht="16" x14ac:dyDescent="0.2">
      <c r="A40" s="59" t="s">
        <v>203</v>
      </c>
      <c r="B40" s="42" t="s">
        <v>66</v>
      </c>
      <c r="C40" s="22" t="s">
        <v>275</v>
      </c>
      <c r="D40" s="22" t="s">
        <v>68</v>
      </c>
    </row>
    <row r="41" spans="1:4" s="1" customFormat="1" ht="16" x14ac:dyDescent="0.2">
      <c r="A41" s="59" t="s">
        <v>204</v>
      </c>
      <c r="B41" s="42" t="s">
        <v>66</v>
      </c>
      <c r="C41" s="22" t="s">
        <v>275</v>
      </c>
      <c r="D41" s="22" t="s">
        <v>68</v>
      </c>
    </row>
    <row r="42" spans="1:4" ht="16" x14ac:dyDescent="0.2">
      <c r="A42" s="45" t="s">
        <v>205</v>
      </c>
      <c r="B42" s="42" t="s">
        <v>66</v>
      </c>
      <c r="C42" s="22" t="s">
        <v>275</v>
      </c>
      <c r="D42" s="22" t="s">
        <v>68</v>
      </c>
    </row>
    <row r="43" spans="1:4" ht="16" x14ac:dyDescent="0.2">
      <c r="A43" s="45" t="s">
        <v>206</v>
      </c>
      <c r="B43" s="42" t="s">
        <v>66</v>
      </c>
      <c r="C43" s="22" t="s">
        <v>275</v>
      </c>
      <c r="D43" s="22" t="s">
        <v>68</v>
      </c>
    </row>
    <row r="44" spans="1:4" ht="16" x14ac:dyDescent="0.2">
      <c r="A44" s="45" t="s">
        <v>207</v>
      </c>
      <c r="B44" s="42" t="s">
        <v>66</v>
      </c>
      <c r="C44" s="22" t="s">
        <v>275</v>
      </c>
      <c r="D44" s="22" t="s">
        <v>68</v>
      </c>
    </row>
    <row r="45" spans="1:4" ht="16" x14ac:dyDescent="0.2">
      <c r="A45" s="45" t="s">
        <v>208</v>
      </c>
      <c r="B45" s="42" t="s">
        <v>66</v>
      </c>
      <c r="C45" s="22" t="s">
        <v>275</v>
      </c>
      <c r="D45" s="22" t="s">
        <v>68</v>
      </c>
    </row>
    <row r="46" spans="1:4" ht="16" x14ac:dyDescent="0.2">
      <c r="A46" s="45" t="s">
        <v>209</v>
      </c>
      <c r="B46" s="42" t="s">
        <v>66</v>
      </c>
      <c r="C46" s="22" t="s">
        <v>275</v>
      </c>
      <c r="D46" s="22" t="s">
        <v>68</v>
      </c>
    </row>
    <row r="47" spans="1:4" ht="16" x14ac:dyDescent="0.2">
      <c r="A47" s="45" t="s">
        <v>210</v>
      </c>
      <c r="B47" s="42" t="s">
        <v>66</v>
      </c>
      <c r="C47" s="22" t="s">
        <v>275</v>
      </c>
      <c r="D47" s="22" t="s">
        <v>68</v>
      </c>
    </row>
    <row r="48" spans="1:4" ht="17" thickBot="1" x14ac:dyDescent="0.25">
      <c r="A48" s="45" t="s">
        <v>211</v>
      </c>
      <c r="B48" s="42" t="s">
        <v>66</v>
      </c>
      <c r="C48" s="53" t="s">
        <v>274</v>
      </c>
      <c r="D48" s="22" t="s">
        <v>68</v>
      </c>
    </row>
    <row r="49" spans="1:4" ht="16" x14ac:dyDescent="0.2">
      <c r="A49" s="45" t="s">
        <v>177</v>
      </c>
      <c r="B49" s="42" t="s">
        <v>66</v>
      </c>
      <c r="C49" s="22" t="s">
        <v>275</v>
      </c>
      <c r="D49" s="22" t="s">
        <v>68</v>
      </c>
    </row>
    <row r="50" spans="1:4" ht="16" x14ac:dyDescent="0.2">
      <c r="A50" s="45" t="s">
        <v>178</v>
      </c>
      <c r="B50" s="42" t="s">
        <v>66</v>
      </c>
      <c r="C50" s="22" t="s">
        <v>275</v>
      </c>
      <c r="D50" s="22" t="s">
        <v>68</v>
      </c>
    </row>
    <row r="51" spans="1:4" ht="16" x14ac:dyDescent="0.2">
      <c r="A51" s="45" t="s">
        <v>179</v>
      </c>
      <c r="B51" s="42" t="s">
        <v>66</v>
      </c>
      <c r="C51" s="22" t="s">
        <v>275</v>
      </c>
      <c r="D51" s="22" t="s">
        <v>68</v>
      </c>
    </row>
    <row r="52" spans="1:4" ht="16" x14ac:dyDescent="0.2">
      <c r="A52" s="45" t="s">
        <v>180</v>
      </c>
      <c r="B52" s="42" t="s">
        <v>66</v>
      </c>
      <c r="C52" s="22" t="s">
        <v>275</v>
      </c>
      <c r="D52" s="22" t="s">
        <v>68</v>
      </c>
    </row>
    <row r="53" spans="1:4" s="55" customFormat="1" ht="17" thickBot="1" x14ac:dyDescent="0.25">
      <c r="A53" s="56" t="s">
        <v>181</v>
      </c>
      <c r="B53" s="100" t="s">
        <v>66</v>
      </c>
      <c r="C53" s="73" t="s">
        <v>275</v>
      </c>
      <c r="D53" s="22" t="s">
        <v>68</v>
      </c>
    </row>
    <row r="54" spans="1:4" s="1" customFormat="1" ht="16" x14ac:dyDescent="0.2">
      <c r="A54" s="59" t="s">
        <v>212</v>
      </c>
      <c r="B54" s="42" t="s">
        <v>66</v>
      </c>
      <c r="C54" s="22" t="s">
        <v>275</v>
      </c>
      <c r="D54" s="22" t="s">
        <v>68</v>
      </c>
    </row>
    <row r="55" spans="1:4" ht="16" x14ac:dyDescent="0.2">
      <c r="A55" s="45" t="s">
        <v>213</v>
      </c>
      <c r="B55" s="42" t="s">
        <v>66</v>
      </c>
      <c r="C55" s="22" t="s">
        <v>275</v>
      </c>
      <c r="D55" s="22" t="s">
        <v>68</v>
      </c>
    </row>
    <row r="56" spans="1:4" ht="16" x14ac:dyDescent="0.2">
      <c r="A56" s="45" t="s">
        <v>214</v>
      </c>
      <c r="B56" s="42" t="s">
        <v>66</v>
      </c>
      <c r="C56" s="22" t="s">
        <v>275</v>
      </c>
      <c r="D56" s="22" t="s">
        <v>68</v>
      </c>
    </row>
    <row r="57" spans="1:4" ht="16" x14ac:dyDescent="0.2">
      <c r="A57" s="45" t="s">
        <v>215</v>
      </c>
      <c r="B57" s="42" t="s">
        <v>66</v>
      </c>
      <c r="C57" s="22" t="s">
        <v>275</v>
      </c>
      <c r="D57" s="22" t="s">
        <v>68</v>
      </c>
    </row>
    <row r="58" spans="1:4" s="55" customFormat="1" ht="17" thickBot="1" x14ac:dyDescent="0.25">
      <c r="A58" s="56" t="s">
        <v>216</v>
      </c>
      <c r="B58" s="100" t="s">
        <v>66</v>
      </c>
      <c r="C58" s="53" t="s">
        <v>274</v>
      </c>
      <c r="D58" s="22" t="s">
        <v>68</v>
      </c>
    </row>
    <row r="59" spans="1:4" s="1" customFormat="1" ht="16" x14ac:dyDescent="0.2">
      <c r="A59" s="59" t="s">
        <v>217</v>
      </c>
      <c r="B59" s="42" t="s">
        <v>66</v>
      </c>
      <c r="C59" s="22" t="s">
        <v>275</v>
      </c>
      <c r="D59" s="22" t="s">
        <v>68</v>
      </c>
    </row>
    <row r="60" spans="1:4" ht="16" x14ac:dyDescent="0.2">
      <c r="A60" s="45" t="s">
        <v>218</v>
      </c>
      <c r="B60" s="42" t="s">
        <v>66</v>
      </c>
      <c r="C60" s="22" t="s">
        <v>275</v>
      </c>
      <c r="D60" s="22" t="s">
        <v>68</v>
      </c>
    </row>
    <row r="61" spans="1:4" ht="16" x14ac:dyDescent="0.2">
      <c r="A61" s="45" t="s">
        <v>219</v>
      </c>
      <c r="B61" s="42" t="s">
        <v>66</v>
      </c>
      <c r="C61" s="22" t="s">
        <v>275</v>
      </c>
      <c r="D61" s="22" t="s">
        <v>68</v>
      </c>
    </row>
    <row r="62" spans="1:4" ht="16" x14ac:dyDescent="0.2">
      <c r="A62" s="45" t="s">
        <v>220</v>
      </c>
      <c r="B62" s="42" t="s">
        <v>66</v>
      </c>
      <c r="C62" s="22" t="s">
        <v>275</v>
      </c>
      <c r="D62" s="22" t="s">
        <v>68</v>
      </c>
    </row>
    <row r="63" spans="1:4" s="55" customFormat="1" ht="17" thickBot="1" x14ac:dyDescent="0.25">
      <c r="A63" s="56" t="s">
        <v>221</v>
      </c>
      <c r="B63" s="100" t="s">
        <v>66</v>
      </c>
      <c r="C63" s="53" t="s">
        <v>274</v>
      </c>
      <c r="D63" s="73" t="s">
        <v>68</v>
      </c>
    </row>
    <row r="64" spans="1:4" s="1" customFormat="1" ht="16" x14ac:dyDescent="0.2">
      <c r="A64" s="59" t="s">
        <v>222</v>
      </c>
      <c r="B64" s="42" t="s">
        <v>66</v>
      </c>
      <c r="C64" s="22" t="s">
        <v>275</v>
      </c>
      <c r="D64" s="22" t="s">
        <v>68</v>
      </c>
    </row>
    <row r="65" spans="1:4" ht="16" x14ac:dyDescent="0.2">
      <c r="A65" s="45" t="s">
        <v>223</v>
      </c>
      <c r="B65" s="42" t="s">
        <v>66</v>
      </c>
      <c r="C65" s="22" t="s">
        <v>275</v>
      </c>
      <c r="D65" s="22" t="s">
        <v>68</v>
      </c>
    </row>
    <row r="66" spans="1:4" ht="16" x14ac:dyDescent="0.2">
      <c r="A66" s="45" t="s">
        <v>224</v>
      </c>
      <c r="B66" s="42" t="s">
        <v>66</v>
      </c>
      <c r="C66" s="22" t="s">
        <v>275</v>
      </c>
      <c r="D66" s="22" t="s">
        <v>68</v>
      </c>
    </row>
    <row r="67" spans="1:4" ht="16" x14ac:dyDescent="0.2">
      <c r="A67" s="45" t="s">
        <v>225</v>
      </c>
      <c r="B67" s="42" t="s">
        <v>66</v>
      </c>
      <c r="C67" s="22" t="s">
        <v>275</v>
      </c>
      <c r="D67" s="22" t="s">
        <v>68</v>
      </c>
    </row>
    <row r="68" spans="1:4" s="55" customFormat="1" ht="17" thickBot="1" x14ac:dyDescent="0.25">
      <c r="A68" s="56" t="s">
        <v>226</v>
      </c>
      <c r="B68" s="100" t="s">
        <v>66</v>
      </c>
      <c r="C68" s="53" t="s">
        <v>274</v>
      </c>
      <c r="D68" s="73" t="s">
        <v>68</v>
      </c>
    </row>
    <row r="69" spans="1:4" s="1" customFormat="1" ht="16" x14ac:dyDescent="0.2">
      <c r="A69" s="59" t="s">
        <v>227</v>
      </c>
      <c r="B69" s="42" t="s">
        <v>66</v>
      </c>
      <c r="C69" s="22" t="s">
        <v>275</v>
      </c>
      <c r="D69" s="22" t="s">
        <v>68</v>
      </c>
    </row>
    <row r="70" spans="1:4" ht="16" x14ac:dyDescent="0.2">
      <c r="A70" s="45" t="s">
        <v>228</v>
      </c>
      <c r="B70" s="42" t="s">
        <v>66</v>
      </c>
      <c r="C70" s="22" t="s">
        <v>275</v>
      </c>
      <c r="D70" s="22" t="s">
        <v>68</v>
      </c>
    </row>
    <row r="71" spans="1:4" ht="16" x14ac:dyDescent="0.2">
      <c r="A71" s="45" t="s">
        <v>229</v>
      </c>
      <c r="B71" s="42" t="s">
        <v>66</v>
      </c>
      <c r="C71" s="22" t="s">
        <v>275</v>
      </c>
      <c r="D71" s="22" t="s">
        <v>68</v>
      </c>
    </row>
    <row r="72" spans="1:4" ht="16" x14ac:dyDescent="0.2">
      <c r="A72" s="45" t="s">
        <v>230</v>
      </c>
      <c r="B72" s="42" t="s">
        <v>66</v>
      </c>
      <c r="C72" s="22" t="s">
        <v>275</v>
      </c>
      <c r="D72" s="22" t="s">
        <v>68</v>
      </c>
    </row>
    <row r="73" spans="1:4" s="55" customFormat="1" ht="17" thickBot="1" x14ac:dyDescent="0.25">
      <c r="A73" s="56" t="s">
        <v>231</v>
      </c>
      <c r="B73" s="100" t="s">
        <v>66</v>
      </c>
      <c r="C73" s="53" t="s">
        <v>274</v>
      </c>
      <c r="D73" s="22" t="s">
        <v>68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7"/>
  <sheetViews>
    <sheetView workbookViewId="0">
      <selection activeCell="J18" sqref="J18"/>
    </sheetView>
  </sheetViews>
  <sheetFormatPr baseColWidth="10" defaultColWidth="8.83203125" defaultRowHeight="15" x14ac:dyDescent="0.2"/>
  <cols>
    <col min="1" max="1" width="14.83203125" bestFit="1" customWidth="1"/>
    <col min="2" max="2" width="11.6640625" bestFit="1" customWidth="1"/>
    <col min="3" max="3" width="19.6640625" customWidth="1"/>
    <col min="4" max="4" width="12.6640625" bestFit="1" customWidth="1"/>
    <col min="5" max="5" width="10.6640625" bestFit="1" customWidth="1"/>
    <col min="6" max="6" width="18" bestFit="1" customWidth="1"/>
    <col min="7" max="7" width="12.1640625" bestFit="1" customWidth="1"/>
    <col min="8" max="8" width="19" bestFit="1" customWidth="1"/>
  </cols>
  <sheetData>
    <row r="1" spans="1:10" x14ac:dyDescent="0.2">
      <c r="A1" s="1" t="s">
        <v>0</v>
      </c>
      <c r="B1" t="s">
        <v>138</v>
      </c>
      <c r="C1" t="s">
        <v>9</v>
      </c>
      <c r="D1" t="s">
        <v>139</v>
      </c>
      <c r="E1" t="s">
        <v>60</v>
      </c>
      <c r="F1" t="s">
        <v>140</v>
      </c>
      <c r="G1" t="s">
        <v>141</v>
      </c>
      <c r="H1" t="s">
        <v>147</v>
      </c>
      <c r="I1" t="s">
        <v>160</v>
      </c>
      <c r="J1" t="s">
        <v>161</v>
      </c>
    </row>
    <row r="2" spans="1:10" x14ac:dyDescent="0.2">
      <c r="A2" s="2" t="s">
        <v>1</v>
      </c>
      <c r="B2" t="s">
        <v>145</v>
      </c>
      <c r="C2" t="s">
        <v>146</v>
      </c>
      <c r="F2" t="s">
        <v>53</v>
      </c>
      <c r="H2" t="s">
        <v>148</v>
      </c>
      <c r="J2" t="s">
        <v>162</v>
      </c>
    </row>
    <row r="3" spans="1:10" x14ac:dyDescent="0.2">
      <c r="A3" s="2" t="s">
        <v>2</v>
      </c>
      <c r="H3" t="s">
        <v>149</v>
      </c>
    </row>
    <row r="4" spans="1:10" x14ac:dyDescent="0.2">
      <c r="A4" t="s">
        <v>3</v>
      </c>
      <c r="B4" s="43">
        <v>0</v>
      </c>
      <c r="C4" s="43">
        <v>1.5</v>
      </c>
      <c r="D4" s="43">
        <v>0.1</v>
      </c>
      <c r="E4" t="s">
        <v>111</v>
      </c>
      <c r="F4">
        <v>0.3</v>
      </c>
      <c r="G4" t="s">
        <v>275</v>
      </c>
      <c r="H4" s="21">
        <v>0.01</v>
      </c>
      <c r="I4" s="21">
        <v>0.02</v>
      </c>
      <c r="J4" s="21">
        <v>7.0000000000000001E-3</v>
      </c>
    </row>
    <row r="5" spans="1:10" hidden="1" x14ac:dyDescent="0.2">
      <c r="A5" t="s">
        <v>55</v>
      </c>
      <c r="B5" s="43">
        <v>0.66700000000000004</v>
      </c>
      <c r="C5" s="43">
        <v>0</v>
      </c>
      <c r="D5" s="43">
        <v>0</v>
      </c>
      <c r="E5" t="s">
        <v>111</v>
      </c>
      <c r="F5">
        <v>0</v>
      </c>
      <c r="G5" t="s">
        <v>275</v>
      </c>
      <c r="H5" s="21">
        <v>0</v>
      </c>
      <c r="I5" s="21"/>
      <c r="J5" s="21"/>
    </row>
    <row r="6" spans="1:10" hidden="1" x14ac:dyDescent="0.2">
      <c r="A6" t="s">
        <v>143</v>
      </c>
      <c r="B6" s="43">
        <v>0.45500000000000002</v>
      </c>
      <c r="C6" s="43">
        <v>0</v>
      </c>
      <c r="D6" s="43">
        <v>0</v>
      </c>
      <c r="E6" t="s">
        <v>111</v>
      </c>
      <c r="F6">
        <v>0</v>
      </c>
      <c r="G6" t="s">
        <v>275</v>
      </c>
      <c r="H6" s="21">
        <v>0</v>
      </c>
      <c r="I6" s="21"/>
      <c r="J6" s="21"/>
    </row>
    <row r="7" spans="1:10" hidden="1" x14ac:dyDescent="0.2">
      <c r="A7" t="s">
        <v>144</v>
      </c>
      <c r="B7" s="43">
        <v>0.66700000000000004</v>
      </c>
      <c r="C7" s="43">
        <v>0</v>
      </c>
      <c r="D7" s="43">
        <v>0</v>
      </c>
      <c r="E7" t="s">
        <v>111</v>
      </c>
      <c r="F7">
        <v>0</v>
      </c>
      <c r="G7" t="s">
        <v>275</v>
      </c>
      <c r="H7" s="21">
        <v>0</v>
      </c>
      <c r="I7" s="21"/>
      <c r="J7" s="21"/>
    </row>
    <row r="8" spans="1:10" hidden="1" x14ac:dyDescent="0.2">
      <c r="A8" t="s">
        <v>167</v>
      </c>
      <c r="B8" s="43">
        <v>0</v>
      </c>
      <c r="C8" s="43">
        <v>1.44</v>
      </c>
      <c r="D8" s="43">
        <v>0</v>
      </c>
      <c r="E8" t="s">
        <v>111</v>
      </c>
      <c r="F8">
        <v>0</v>
      </c>
      <c r="G8" t="s">
        <v>275</v>
      </c>
      <c r="H8" s="21">
        <v>0</v>
      </c>
      <c r="I8" s="21">
        <v>0</v>
      </c>
      <c r="J8" s="21"/>
    </row>
    <row r="9" spans="1:10" hidden="1" x14ac:dyDescent="0.2">
      <c r="A9" t="s">
        <v>168</v>
      </c>
      <c r="B9" s="43">
        <v>0</v>
      </c>
      <c r="C9" s="43">
        <v>1.454</v>
      </c>
      <c r="D9" s="43">
        <v>3.0000000000000001E-3</v>
      </c>
      <c r="E9" t="s">
        <v>111</v>
      </c>
      <c r="F9">
        <v>0</v>
      </c>
      <c r="G9" t="s">
        <v>275</v>
      </c>
      <c r="H9" s="21">
        <v>0</v>
      </c>
      <c r="I9" s="21">
        <v>2.5000000000000001E-2</v>
      </c>
      <c r="J9" s="21"/>
    </row>
    <row r="10" spans="1:10" hidden="1" x14ac:dyDescent="0.2">
      <c r="A10" t="s">
        <v>164</v>
      </c>
      <c r="B10" s="43">
        <v>0</v>
      </c>
      <c r="C10" s="43">
        <v>1.98</v>
      </c>
      <c r="D10" s="43">
        <v>0.01</v>
      </c>
      <c r="E10" t="s">
        <v>111</v>
      </c>
      <c r="F10">
        <v>0</v>
      </c>
      <c r="G10" t="s">
        <v>275</v>
      </c>
      <c r="H10" s="21">
        <v>0</v>
      </c>
      <c r="I10" s="21">
        <v>0.04</v>
      </c>
      <c r="J10" s="21"/>
    </row>
    <row r="11" spans="1:10" hidden="1" x14ac:dyDescent="0.2">
      <c r="A11" t="s">
        <v>151</v>
      </c>
      <c r="B11" s="43"/>
      <c r="C11" s="43">
        <v>2</v>
      </c>
      <c r="D11" s="43">
        <v>0.01</v>
      </c>
      <c r="E11" t="s">
        <v>111</v>
      </c>
      <c r="F11">
        <v>0</v>
      </c>
      <c r="G11" t="s">
        <v>275</v>
      </c>
      <c r="H11" s="21">
        <v>0</v>
      </c>
      <c r="I11" s="21">
        <v>0.65</v>
      </c>
      <c r="J11" s="21">
        <f>30*Ref!C$12</f>
        <v>4.2828767734451677E-2</v>
      </c>
    </row>
    <row r="12" spans="1:10" hidden="1" x14ac:dyDescent="0.2">
      <c r="A12" t="s">
        <v>142</v>
      </c>
      <c r="B12" s="43">
        <v>0</v>
      </c>
      <c r="C12" s="43">
        <v>1.454</v>
      </c>
      <c r="D12" s="43">
        <v>3.0000000000000001E-3</v>
      </c>
      <c r="E12" t="s">
        <v>111</v>
      </c>
      <c r="F12">
        <v>0</v>
      </c>
      <c r="G12" t="s">
        <v>275</v>
      </c>
      <c r="H12" s="21">
        <v>0</v>
      </c>
      <c r="I12" s="21">
        <v>2.5000000000000001E-2</v>
      </c>
      <c r="J12" s="21">
        <f>5*Ref!C$12</f>
        <v>7.1381279557419458E-3</v>
      </c>
    </row>
    <row r="13" spans="1:10" hidden="1" x14ac:dyDescent="0.2">
      <c r="A13" t="s">
        <v>152</v>
      </c>
      <c r="B13" s="43">
        <v>0</v>
      </c>
      <c r="C13" s="43">
        <v>1.33</v>
      </c>
      <c r="D13" s="43">
        <v>0</v>
      </c>
      <c r="E13" t="s">
        <v>119</v>
      </c>
      <c r="F13">
        <v>0</v>
      </c>
      <c r="G13" t="s">
        <v>275</v>
      </c>
      <c r="H13" s="21">
        <v>0</v>
      </c>
      <c r="I13" s="21"/>
      <c r="J13" s="21"/>
    </row>
    <row r="14" spans="1:10" hidden="1" x14ac:dyDescent="0.2">
      <c r="A14" t="s">
        <v>155</v>
      </c>
      <c r="B14" s="43">
        <v>0</v>
      </c>
      <c r="C14" s="43">
        <v>1.71</v>
      </c>
      <c r="D14" s="43">
        <f>0.18/47.1</f>
        <v>3.8216560509554136E-3</v>
      </c>
      <c r="E14" t="s">
        <v>119</v>
      </c>
      <c r="F14">
        <v>0</v>
      </c>
      <c r="G14" t="s">
        <v>275</v>
      </c>
      <c r="H14" s="21">
        <v>0</v>
      </c>
      <c r="I14" s="21"/>
      <c r="J14" s="21"/>
    </row>
    <row r="15" spans="1:10" hidden="1" x14ac:dyDescent="0.2">
      <c r="A15" t="s">
        <v>163</v>
      </c>
      <c r="B15" s="43">
        <v>0</v>
      </c>
      <c r="C15" s="43">
        <v>1.65</v>
      </c>
      <c r="D15" s="43">
        <f>0.51/47.1</f>
        <v>1.0828025477707006E-2</v>
      </c>
      <c r="E15" t="s">
        <v>119</v>
      </c>
      <c r="F15">
        <v>0</v>
      </c>
      <c r="G15" t="s">
        <v>275</v>
      </c>
      <c r="H15" s="21">
        <v>0</v>
      </c>
      <c r="I15" s="21"/>
      <c r="J15" s="21"/>
    </row>
    <row r="16" spans="1:10" hidden="1" x14ac:dyDescent="0.2">
      <c r="A16" t="s">
        <v>165</v>
      </c>
      <c r="B16" s="43">
        <v>0</v>
      </c>
      <c r="C16" s="43">
        <v>1.44</v>
      </c>
      <c r="D16" s="43">
        <v>0</v>
      </c>
      <c r="E16" t="s">
        <v>119</v>
      </c>
      <c r="F16">
        <v>0</v>
      </c>
      <c r="G16" t="s">
        <v>275</v>
      </c>
      <c r="H16" s="21">
        <v>0</v>
      </c>
      <c r="I16" s="21"/>
      <c r="J16" s="21"/>
    </row>
    <row r="17" spans="1:10" s="55" customFormat="1" ht="16" hidden="1" thickBot="1" x14ac:dyDescent="0.25">
      <c r="A17" s="101" t="s">
        <v>235</v>
      </c>
      <c r="B17" s="72"/>
      <c r="C17" s="72"/>
      <c r="D17" s="72">
        <f>0.0008/0.88</f>
        <v>9.0909090909090909E-4</v>
      </c>
      <c r="E17" s="55" t="s">
        <v>240</v>
      </c>
      <c r="H17" s="54"/>
      <c r="I17" s="54">
        <f>0.0038*(56/12)</f>
        <v>1.7733333333333334E-2</v>
      </c>
      <c r="J17" s="54"/>
    </row>
    <row r="18" spans="1:10" s="28" customFormat="1" ht="16" x14ac:dyDescent="0.2">
      <c r="A18" s="45" t="s">
        <v>172</v>
      </c>
      <c r="B18" s="81">
        <v>0</v>
      </c>
      <c r="C18" s="81">
        <v>2</v>
      </c>
      <c r="D18" s="81">
        <v>0.01</v>
      </c>
      <c r="E18" s="28" t="s">
        <v>111</v>
      </c>
      <c r="F18" s="28">
        <v>0</v>
      </c>
      <c r="G18" s="28" t="s">
        <v>275</v>
      </c>
      <c r="H18" s="29">
        <v>0</v>
      </c>
      <c r="I18" s="29">
        <v>0.65</v>
      </c>
      <c r="J18" s="29">
        <f>30*Ref!C$12</f>
        <v>4.2828767734451677E-2</v>
      </c>
    </row>
    <row r="19" spans="1:10" ht="16" x14ac:dyDescent="0.2">
      <c r="A19" s="45" t="s">
        <v>173</v>
      </c>
      <c r="B19" s="43">
        <v>0</v>
      </c>
      <c r="C19" s="43">
        <v>1.454</v>
      </c>
      <c r="D19" s="43">
        <v>3.0000000000000001E-3</v>
      </c>
      <c r="E19" t="s">
        <v>111</v>
      </c>
      <c r="F19">
        <v>0</v>
      </c>
      <c r="G19" t="s">
        <v>275</v>
      </c>
      <c r="H19" s="21">
        <v>0</v>
      </c>
      <c r="I19" s="21">
        <v>2.5000000000000001E-2</v>
      </c>
      <c r="J19" s="21">
        <f>5*Ref!C$12</f>
        <v>7.1381279557419458E-3</v>
      </c>
    </row>
    <row r="20" spans="1:10" ht="16" x14ac:dyDescent="0.2">
      <c r="A20" s="45" t="s">
        <v>174</v>
      </c>
      <c r="B20" s="43">
        <v>0</v>
      </c>
      <c r="C20" s="43">
        <v>1.454</v>
      </c>
      <c r="D20" s="43">
        <v>3.0000000000000001E-3</v>
      </c>
      <c r="E20" t="s">
        <v>111</v>
      </c>
      <c r="F20" s="46">
        <v>1</v>
      </c>
      <c r="G20" t="s">
        <v>275</v>
      </c>
      <c r="H20" s="21">
        <v>0</v>
      </c>
      <c r="I20" s="21">
        <v>2.5000000000000001E-2</v>
      </c>
      <c r="J20" s="21">
        <f>5*Ref!C$12</f>
        <v>7.1381279557419458E-3</v>
      </c>
    </row>
    <row r="21" spans="1:10" ht="16" x14ac:dyDescent="0.2">
      <c r="A21" s="45" t="s">
        <v>175</v>
      </c>
      <c r="B21" s="43">
        <v>0</v>
      </c>
      <c r="C21" s="43">
        <v>1.4</v>
      </c>
      <c r="D21" s="43">
        <v>3.0000000000000001E-3</v>
      </c>
      <c r="E21" t="s">
        <v>111</v>
      </c>
      <c r="F21" s="46">
        <v>0</v>
      </c>
      <c r="G21" t="s">
        <v>275</v>
      </c>
      <c r="H21" s="21">
        <v>0</v>
      </c>
      <c r="I21" s="21">
        <v>2.5000000000000001E-2</v>
      </c>
      <c r="J21" s="21">
        <f>5*Ref!C$12</f>
        <v>7.1381279557419458E-3</v>
      </c>
    </row>
    <row r="22" spans="1:10" s="55" customFormat="1" ht="17" thickBot="1" x14ac:dyDescent="0.25">
      <c r="A22" s="56" t="s">
        <v>176</v>
      </c>
      <c r="B22" s="72">
        <v>0</v>
      </c>
      <c r="C22" s="72">
        <v>1.4</v>
      </c>
      <c r="D22" s="72">
        <v>3.0000000000000001E-3</v>
      </c>
      <c r="E22" s="55" t="s">
        <v>111</v>
      </c>
      <c r="F22" s="57">
        <v>1</v>
      </c>
      <c r="G22" s="55" t="s">
        <v>275</v>
      </c>
      <c r="H22" s="54">
        <v>0</v>
      </c>
      <c r="I22" s="54">
        <v>2.5000000000000001E-2</v>
      </c>
      <c r="J22" s="54">
        <f>5*Ref!C$12</f>
        <v>7.1381279557419458E-3</v>
      </c>
    </row>
    <row r="23" spans="1:10" ht="16" x14ac:dyDescent="0.2">
      <c r="A23" s="45" t="s">
        <v>177</v>
      </c>
      <c r="B23" s="81">
        <v>0</v>
      </c>
      <c r="C23" s="106">
        <v>2</v>
      </c>
      <c r="D23" s="106">
        <v>0.01</v>
      </c>
      <c r="E23" s="28" t="s">
        <v>111</v>
      </c>
      <c r="F23" s="28">
        <v>0</v>
      </c>
      <c r="G23" s="28" t="s">
        <v>275</v>
      </c>
      <c r="H23" s="29">
        <v>0</v>
      </c>
      <c r="I23" s="107">
        <v>0.65</v>
      </c>
      <c r="J23" s="107">
        <f>30*Ref!C$12</f>
        <v>4.2828767734451677E-2</v>
      </c>
    </row>
    <row r="24" spans="1:10" ht="16" x14ac:dyDescent="0.2">
      <c r="A24" s="45" t="s">
        <v>178</v>
      </c>
      <c r="B24" s="43">
        <v>0</v>
      </c>
      <c r="C24" s="105">
        <v>1.454</v>
      </c>
      <c r="D24" s="105">
        <v>3.0000000000000001E-3</v>
      </c>
      <c r="E24" t="s">
        <v>111</v>
      </c>
      <c r="F24">
        <v>0</v>
      </c>
      <c r="G24" t="s">
        <v>275</v>
      </c>
      <c r="H24" s="21">
        <v>0</v>
      </c>
      <c r="I24" s="23">
        <v>2.5000000000000001E-2</v>
      </c>
      <c r="J24" s="23">
        <f>5*Ref!C$12</f>
        <v>7.1381279557419458E-3</v>
      </c>
    </row>
    <row r="25" spans="1:10" ht="16" x14ac:dyDescent="0.2">
      <c r="A25" s="45" t="s">
        <v>179</v>
      </c>
      <c r="B25" s="43">
        <v>0</v>
      </c>
      <c r="C25" s="105">
        <v>1.454</v>
      </c>
      <c r="D25" s="105">
        <v>3.0000000000000001E-3</v>
      </c>
      <c r="E25" t="s">
        <v>111</v>
      </c>
      <c r="F25" s="46">
        <v>1</v>
      </c>
      <c r="G25" t="s">
        <v>275</v>
      </c>
      <c r="H25" s="21">
        <v>0</v>
      </c>
      <c r="I25" s="23">
        <v>2.5000000000000001E-2</v>
      </c>
      <c r="J25" s="23">
        <f>5*Ref!C$12</f>
        <v>7.1381279557419458E-3</v>
      </c>
    </row>
    <row r="26" spans="1:10" ht="16" x14ac:dyDescent="0.2">
      <c r="A26" s="45" t="s">
        <v>180</v>
      </c>
      <c r="B26" s="43">
        <v>0</v>
      </c>
      <c r="C26" s="105">
        <v>1.4</v>
      </c>
      <c r="D26" s="105">
        <v>3.0000000000000001E-3</v>
      </c>
      <c r="E26" t="s">
        <v>111</v>
      </c>
      <c r="F26" s="46">
        <v>0</v>
      </c>
      <c r="G26" t="s">
        <v>275</v>
      </c>
      <c r="H26" s="21">
        <v>0</v>
      </c>
      <c r="I26" s="23">
        <v>2.5000000000000001E-2</v>
      </c>
      <c r="J26" s="23">
        <f>5*Ref!C$12</f>
        <v>7.1381279557419458E-3</v>
      </c>
    </row>
    <row r="27" spans="1:10" s="55" customFormat="1" ht="17" thickBot="1" x14ac:dyDescent="0.25">
      <c r="A27" s="56" t="s">
        <v>181</v>
      </c>
      <c r="B27" s="72">
        <v>0</v>
      </c>
      <c r="C27" s="110">
        <v>1.4</v>
      </c>
      <c r="D27" s="110">
        <v>3.0000000000000001E-3</v>
      </c>
      <c r="E27" s="55" t="s">
        <v>111</v>
      </c>
      <c r="F27" s="57">
        <v>1</v>
      </c>
      <c r="G27" s="55" t="s">
        <v>275</v>
      </c>
      <c r="H27" s="54">
        <v>0</v>
      </c>
      <c r="I27" s="111">
        <v>2.5000000000000001E-2</v>
      </c>
      <c r="J27" s="111">
        <f>5*Ref!C$12</f>
        <v>7.1381279557419458E-3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1"/>
  <sheetViews>
    <sheetView workbookViewId="0">
      <selection activeCell="B19" sqref="B19"/>
    </sheetView>
  </sheetViews>
  <sheetFormatPr baseColWidth="10" defaultColWidth="8.83203125" defaultRowHeight="15" x14ac:dyDescent="0.2"/>
  <cols>
    <col min="1" max="1" width="24.33203125" bestFit="1" customWidth="1"/>
  </cols>
  <sheetData>
    <row r="1" spans="1:3" x14ac:dyDescent="0.2">
      <c r="A1" s="4" t="s">
        <v>27</v>
      </c>
      <c r="B1" s="5"/>
      <c r="C1" s="5"/>
    </row>
    <row r="2" spans="1:3" x14ac:dyDescent="0.2">
      <c r="A2" s="4" t="s">
        <v>28</v>
      </c>
      <c r="B2" s="5"/>
      <c r="C2" s="5"/>
    </row>
    <row r="3" spans="1:3" x14ac:dyDescent="0.2">
      <c r="A3" s="6"/>
      <c r="B3" s="7" t="s">
        <v>29</v>
      </c>
      <c r="C3" s="8" t="s">
        <v>30</v>
      </c>
    </row>
    <row r="4" spans="1:3" x14ac:dyDescent="0.2">
      <c r="A4" s="9" t="s">
        <v>31</v>
      </c>
      <c r="B4" s="10">
        <v>12</v>
      </c>
      <c r="C4" s="11">
        <f>(B4*$B$19)/1000/1000</f>
        <v>5.3537967341839917E-4</v>
      </c>
    </row>
    <row r="5" spans="1:3" x14ac:dyDescent="0.2">
      <c r="A5" s="9" t="s">
        <v>32</v>
      </c>
      <c r="B5" s="10">
        <v>16.042459999999998</v>
      </c>
      <c r="C5" s="11">
        <f t="shared" ref="C5:C12" si="0">(B5*$B$19)/1000/1000</f>
        <v>7.1573391630231102E-4</v>
      </c>
    </row>
    <row r="6" spans="1:3" x14ac:dyDescent="0.2">
      <c r="A6" s="9" t="s">
        <v>33</v>
      </c>
      <c r="B6" s="10">
        <v>28.010100000000001</v>
      </c>
      <c r="C6" s="11">
        <f t="shared" si="0"/>
        <v>1.2496698492013921E-3</v>
      </c>
    </row>
    <row r="7" spans="1:3" x14ac:dyDescent="0.2">
      <c r="A7" s="9" t="s">
        <v>34</v>
      </c>
      <c r="B7" s="10">
        <v>44.009500000000003</v>
      </c>
      <c r="C7" s="11">
        <f t="shared" si="0"/>
        <v>1.963482644775587E-3</v>
      </c>
    </row>
    <row r="8" spans="1:3" x14ac:dyDescent="0.2">
      <c r="A8" s="9" t="s">
        <v>35</v>
      </c>
      <c r="B8" s="10">
        <v>2.0158800000000001</v>
      </c>
      <c r="C8" s="11">
        <f t="shared" si="0"/>
        <v>8.9938431337556905E-5</v>
      </c>
    </row>
    <row r="9" spans="1:3" x14ac:dyDescent="0.2">
      <c r="A9" s="9" t="s">
        <v>36</v>
      </c>
      <c r="B9" s="10">
        <v>18.015280000000001</v>
      </c>
      <c r="C9" s="11">
        <f t="shared" si="0"/>
        <v>8.0375122691175155E-4</v>
      </c>
    </row>
    <row r="10" spans="1:3" x14ac:dyDescent="0.2">
      <c r="A10" s="9" t="s">
        <v>37</v>
      </c>
      <c r="B10" s="10">
        <f>(78.12+92.15+106.7)/3</f>
        <v>92.323333333333338</v>
      </c>
      <c r="C10" s="11">
        <f t="shared" si="0"/>
        <v>4.1190030040748338E-3</v>
      </c>
    </row>
    <row r="11" spans="1:3" x14ac:dyDescent="0.2">
      <c r="A11" s="9" t="s">
        <v>38</v>
      </c>
      <c r="B11" s="10">
        <v>28.013400000000001</v>
      </c>
      <c r="C11" s="11">
        <f t="shared" si="0"/>
        <v>1.2498170786115822E-3</v>
      </c>
    </row>
    <row r="12" spans="1:3" x14ac:dyDescent="0.2">
      <c r="A12" s="9" t="s">
        <v>39</v>
      </c>
      <c r="B12" s="10">
        <v>31.998799999999999</v>
      </c>
      <c r="C12" s="11">
        <f t="shared" si="0"/>
        <v>1.4276255911483892E-3</v>
      </c>
    </row>
    <row r="13" spans="1:3" x14ac:dyDescent="0.2">
      <c r="A13" s="12"/>
      <c r="B13" s="13"/>
      <c r="C13" s="14"/>
    </row>
    <row r="14" spans="1:3" x14ac:dyDescent="0.2">
      <c r="A14" s="5"/>
      <c r="B14" s="15"/>
      <c r="C14" s="15"/>
    </row>
    <row r="15" spans="1:3" x14ac:dyDescent="0.2">
      <c r="A15" s="4" t="s">
        <v>40</v>
      </c>
      <c r="B15" s="15"/>
      <c r="C15" s="15"/>
    </row>
    <row r="16" spans="1:3" x14ac:dyDescent="0.2">
      <c r="A16" s="27"/>
      <c r="B16" s="16" t="s">
        <v>41</v>
      </c>
      <c r="C16" s="16"/>
    </row>
    <row r="17" spans="1:3" x14ac:dyDescent="0.2">
      <c r="A17" s="27" t="s">
        <v>42</v>
      </c>
      <c r="B17" s="30">
        <v>3.6</v>
      </c>
      <c r="C17" s="10"/>
    </row>
    <row r="18" spans="1:3" x14ac:dyDescent="0.2">
      <c r="A18" s="27" t="s">
        <v>43</v>
      </c>
      <c r="B18" s="115">
        <f>B17/1000</f>
        <v>3.5999999999999999E-3</v>
      </c>
      <c r="C18" s="10"/>
    </row>
    <row r="19" spans="1:3" x14ac:dyDescent="0.2">
      <c r="A19" s="27" t="s">
        <v>44</v>
      </c>
      <c r="B19" s="10">
        <f>1/0.022414</f>
        <v>44.614972784866602</v>
      </c>
      <c r="C19" s="10"/>
    </row>
    <row r="20" spans="1:3" x14ac:dyDescent="0.2">
      <c r="A20" s="26" t="s">
        <v>77</v>
      </c>
      <c r="B20" s="28">
        <f>1.163</f>
        <v>1.163</v>
      </c>
    </row>
    <row r="21" spans="1:3" x14ac:dyDescent="0.2">
      <c r="A21" s="26" t="s">
        <v>79</v>
      </c>
      <c r="B21" s="29">
        <f>2000/2204.62</f>
        <v>0.90718581887127947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5"/>
  <sheetViews>
    <sheetView zoomScale="130" zoomScaleNormal="130" workbookViewId="0">
      <pane xSplit="1" ySplit="2" topLeftCell="B39" activePane="bottomRight" state="frozen"/>
      <selection pane="topRight" activeCell="B1" sqref="B1"/>
      <selection pane="bottomLeft" activeCell="A3" sqref="A3"/>
      <selection pane="bottomRight" activeCell="A50" sqref="A50:A65"/>
    </sheetView>
  </sheetViews>
  <sheetFormatPr baseColWidth="10" defaultColWidth="8.83203125" defaultRowHeight="15" x14ac:dyDescent="0.2"/>
  <cols>
    <col min="1" max="1" width="19.5" customWidth="1"/>
    <col min="2" max="2" width="26.1640625" bestFit="1" customWidth="1"/>
    <col min="3" max="3" width="17.83203125" bestFit="1" customWidth="1"/>
    <col min="4" max="5" width="17.83203125" style="66" customWidth="1"/>
    <col min="6" max="6" width="63.33203125" bestFit="1" customWidth="1"/>
  </cols>
  <sheetData>
    <row r="1" spans="1:6" x14ac:dyDescent="0.2">
      <c r="A1" s="1" t="s">
        <v>0</v>
      </c>
      <c r="B1" t="s">
        <v>8</v>
      </c>
      <c r="C1" t="s">
        <v>9</v>
      </c>
      <c r="D1" s="66" t="s">
        <v>139</v>
      </c>
      <c r="E1" s="66" t="s">
        <v>60</v>
      </c>
      <c r="F1" t="s">
        <v>80</v>
      </c>
    </row>
    <row r="2" spans="1:6" x14ac:dyDescent="0.2">
      <c r="A2" s="2" t="s">
        <v>1</v>
      </c>
      <c r="B2" t="s">
        <v>64</v>
      </c>
      <c r="C2" t="s">
        <v>65</v>
      </c>
    </row>
    <row r="3" spans="1:6" x14ac:dyDescent="0.2">
      <c r="A3" s="2" t="s">
        <v>2</v>
      </c>
    </row>
    <row r="4" spans="1:6" x14ac:dyDescent="0.2">
      <c r="A4" t="s">
        <v>3</v>
      </c>
      <c r="B4" s="21">
        <v>0</v>
      </c>
      <c r="C4" s="21">
        <v>0</v>
      </c>
    </row>
    <row r="5" spans="1:6" hidden="1" x14ac:dyDescent="0.2">
      <c r="A5" t="s">
        <v>55</v>
      </c>
      <c r="B5" s="21">
        <v>0.1</v>
      </c>
      <c r="C5" s="21">
        <v>0.1</v>
      </c>
    </row>
    <row r="6" spans="1:6" hidden="1" x14ac:dyDescent="0.2">
      <c r="A6" t="s">
        <v>106</v>
      </c>
      <c r="B6" s="23">
        <v>7.0000000000000007E-2</v>
      </c>
      <c r="C6" s="23">
        <v>0.108</v>
      </c>
    </row>
    <row r="7" spans="1:6" hidden="1" x14ac:dyDescent="0.2">
      <c r="A7" t="s">
        <v>107</v>
      </c>
      <c r="B7" s="21">
        <v>7.0000000000000007E-2</v>
      </c>
      <c r="C7" s="21">
        <v>0.108</v>
      </c>
    </row>
    <row r="8" spans="1:6" hidden="1" x14ac:dyDescent="0.2">
      <c r="A8" t="s">
        <v>108</v>
      </c>
      <c r="B8" s="23">
        <v>7.0000000000000007E-2</v>
      </c>
      <c r="C8" s="23">
        <v>0.108</v>
      </c>
    </row>
    <row r="9" spans="1:6" hidden="1" x14ac:dyDescent="0.2">
      <c r="A9" t="s">
        <v>109</v>
      </c>
      <c r="B9" s="23">
        <v>7.0000000000000007E-2</v>
      </c>
      <c r="C9" s="21">
        <f>17*Ref!B18</f>
        <v>6.1199999999999997E-2</v>
      </c>
      <c r="F9" s="33" t="s">
        <v>81</v>
      </c>
    </row>
    <row r="10" spans="1:6" hidden="1" x14ac:dyDescent="0.2">
      <c r="A10" t="s">
        <v>110</v>
      </c>
      <c r="B10" s="23">
        <v>7.0000000000000007E-2</v>
      </c>
      <c r="C10" s="23">
        <v>0.108</v>
      </c>
    </row>
    <row r="11" spans="1:6" hidden="1" x14ac:dyDescent="0.2">
      <c r="A11" t="s">
        <v>125</v>
      </c>
      <c r="B11" s="21">
        <f>AVERAGE(B6:B10)</f>
        <v>7.0000000000000007E-2</v>
      </c>
      <c r="C11" s="21">
        <f>AVERAGE(C6:C10)</f>
        <v>9.8639999999999992E-2</v>
      </c>
    </row>
    <row r="12" spans="1:6" hidden="1" x14ac:dyDescent="0.2">
      <c r="A12" t="s">
        <v>130</v>
      </c>
      <c r="B12" s="21">
        <f>B$7</f>
        <v>7.0000000000000007E-2</v>
      </c>
      <c r="C12" s="21">
        <f t="shared" ref="C12:C15" si="0">C$7</f>
        <v>0.108</v>
      </c>
    </row>
    <row r="13" spans="1:6" hidden="1" x14ac:dyDescent="0.2">
      <c r="A13" t="s">
        <v>131</v>
      </c>
      <c r="B13" s="21">
        <f t="shared" ref="B13:B15" si="1">B$7</f>
        <v>7.0000000000000007E-2</v>
      </c>
      <c r="C13" s="21">
        <f t="shared" si="0"/>
        <v>0.108</v>
      </c>
    </row>
    <row r="14" spans="1:6" hidden="1" x14ac:dyDescent="0.2">
      <c r="A14" t="s">
        <v>132</v>
      </c>
      <c r="B14" s="21">
        <f t="shared" si="1"/>
        <v>7.0000000000000007E-2</v>
      </c>
      <c r="C14" s="21">
        <f t="shared" si="0"/>
        <v>0.108</v>
      </c>
    </row>
    <row r="15" spans="1:6" hidden="1" x14ac:dyDescent="0.2">
      <c r="A15" t="s">
        <v>133</v>
      </c>
      <c r="B15" s="21">
        <f t="shared" si="1"/>
        <v>7.0000000000000007E-2</v>
      </c>
      <c r="C15" s="21">
        <f t="shared" si="0"/>
        <v>0.108</v>
      </c>
    </row>
    <row r="16" spans="1:6" hidden="1" x14ac:dyDescent="0.2">
      <c r="A16" t="s">
        <v>135</v>
      </c>
      <c r="B16" s="21">
        <f>0.07</f>
        <v>7.0000000000000007E-2</v>
      </c>
      <c r="C16" s="21">
        <v>0.108</v>
      </c>
    </row>
    <row r="17" spans="1:6" hidden="1" x14ac:dyDescent="0.2">
      <c r="A17" t="s">
        <v>187</v>
      </c>
      <c r="B17" s="21">
        <v>5.0000000000000001E-3</v>
      </c>
      <c r="C17" s="21">
        <f>5*Ref!B18</f>
        <v>1.7999999999999999E-2</v>
      </c>
      <c r="D17" s="66" t="s">
        <v>190</v>
      </c>
      <c r="F17" t="s">
        <v>192</v>
      </c>
    </row>
    <row r="18" spans="1:6" hidden="1" x14ac:dyDescent="0.2">
      <c r="A18" t="s">
        <v>188</v>
      </c>
      <c r="B18" s="21">
        <v>0.05</v>
      </c>
      <c r="C18" s="21">
        <f>25*Ref!B18</f>
        <v>0.09</v>
      </c>
      <c r="D18" s="66" t="s">
        <v>189</v>
      </c>
      <c r="F18" t="s">
        <v>191</v>
      </c>
    </row>
    <row r="19" spans="1:6" hidden="1" x14ac:dyDescent="0.2">
      <c r="A19" t="s">
        <v>193</v>
      </c>
      <c r="B19" s="21">
        <v>0.05</v>
      </c>
      <c r="C19" s="21">
        <f>40*Ref!B18</f>
        <v>0.14399999999999999</v>
      </c>
      <c r="F19" t="s">
        <v>191</v>
      </c>
    </row>
    <row r="20" spans="1:6" hidden="1" x14ac:dyDescent="0.2">
      <c r="A20" t="s">
        <v>126</v>
      </c>
      <c r="B20" s="21">
        <f>0.07</f>
        <v>7.0000000000000007E-2</v>
      </c>
      <c r="C20" s="21">
        <v>0.108</v>
      </c>
    </row>
    <row r="21" spans="1:6" hidden="1" x14ac:dyDescent="0.2">
      <c r="A21" t="s">
        <v>150</v>
      </c>
      <c r="B21" s="21">
        <v>7.0000000000000007E-2</v>
      </c>
      <c r="C21" s="21">
        <v>0.108</v>
      </c>
    </row>
    <row r="22" spans="1:6" hidden="1" x14ac:dyDescent="0.2">
      <c r="A22" t="s">
        <v>167</v>
      </c>
      <c r="B22" s="21">
        <v>7.0000000000000007E-2</v>
      </c>
      <c r="C22" s="21">
        <v>0.108</v>
      </c>
    </row>
    <row r="23" spans="1:6" hidden="1" x14ac:dyDescent="0.2">
      <c r="A23" t="s">
        <v>168</v>
      </c>
      <c r="B23" s="21">
        <v>7.0000000000000007E-2</v>
      </c>
      <c r="C23" s="21">
        <v>0.108</v>
      </c>
    </row>
    <row r="24" spans="1:6" hidden="1" x14ac:dyDescent="0.2">
      <c r="A24" t="s">
        <v>164</v>
      </c>
      <c r="B24" s="21">
        <v>7.0000000000000007E-2</v>
      </c>
      <c r="C24" s="21">
        <v>0.108</v>
      </c>
    </row>
    <row r="25" spans="1:6" s="28" customFormat="1" hidden="1" x14ac:dyDescent="0.2">
      <c r="A25" s="28" t="s">
        <v>157</v>
      </c>
      <c r="B25" s="29">
        <v>7.0000000000000007E-2</v>
      </c>
      <c r="C25" s="29">
        <v>0.108</v>
      </c>
      <c r="D25" s="79"/>
      <c r="E25" s="79"/>
    </row>
    <row r="26" spans="1:6" s="78" customFormat="1" ht="16" x14ac:dyDescent="0.2">
      <c r="A26" s="76" t="s">
        <v>202</v>
      </c>
      <c r="B26" s="85">
        <v>0.05</v>
      </c>
      <c r="C26" s="85">
        <f>45*Ref!B18</f>
        <v>0.16200000000000001</v>
      </c>
      <c r="D26" s="80">
        <v>150</v>
      </c>
      <c r="E26" s="80" t="s">
        <v>66</v>
      </c>
      <c r="F26" s="147" t="s">
        <v>194</v>
      </c>
    </row>
    <row r="27" spans="1:6" ht="16" x14ac:dyDescent="0.2">
      <c r="A27" s="45" t="s">
        <v>207</v>
      </c>
      <c r="B27" s="21">
        <f>B$30</f>
        <v>0.05</v>
      </c>
      <c r="C27" s="21">
        <f>C$30</f>
        <v>0.09</v>
      </c>
    </row>
    <row r="28" spans="1:6" ht="16" x14ac:dyDescent="0.2">
      <c r="A28" s="45" t="s">
        <v>205</v>
      </c>
      <c r="B28" s="21">
        <f>B$30</f>
        <v>0.05</v>
      </c>
      <c r="C28" s="21">
        <f>C$30</f>
        <v>0.09</v>
      </c>
    </row>
    <row r="29" spans="1:6" s="55" customFormat="1" ht="17" thickBot="1" x14ac:dyDescent="0.25">
      <c r="A29" s="56" t="s">
        <v>210</v>
      </c>
      <c r="B29" s="54">
        <f>B$30</f>
        <v>0.05</v>
      </c>
      <c r="C29" s="54">
        <f>C$30</f>
        <v>0.09</v>
      </c>
      <c r="D29" s="68"/>
      <c r="E29" s="68"/>
    </row>
    <row r="30" spans="1:6" s="1" customFormat="1" ht="16" x14ac:dyDescent="0.2">
      <c r="A30" s="59" t="s">
        <v>197</v>
      </c>
      <c r="B30" s="143">
        <v>0.05</v>
      </c>
      <c r="C30" s="143">
        <v>0.09</v>
      </c>
      <c r="D30" s="146"/>
      <c r="E30" s="146"/>
      <c r="F30" s="28"/>
    </row>
    <row r="31" spans="1:6" ht="16" x14ac:dyDescent="0.2">
      <c r="A31" s="45" t="s">
        <v>199</v>
      </c>
      <c r="B31" s="21">
        <f>B$26</f>
        <v>0.05</v>
      </c>
      <c r="C31" s="21">
        <f>C$26</f>
        <v>0.16200000000000001</v>
      </c>
    </row>
    <row r="32" spans="1:6" ht="16" x14ac:dyDescent="0.2">
      <c r="A32" s="45" t="s">
        <v>198</v>
      </c>
      <c r="B32" s="21">
        <f>B$26</f>
        <v>0.05</v>
      </c>
      <c r="C32" s="21">
        <f>C$26</f>
        <v>0.16200000000000001</v>
      </c>
    </row>
    <row r="33" spans="1:6" ht="16" x14ac:dyDescent="0.2">
      <c r="A33" s="45" t="s">
        <v>200</v>
      </c>
      <c r="B33" s="21">
        <f>B$26</f>
        <v>0.05</v>
      </c>
      <c r="C33" s="21">
        <f>C$26</f>
        <v>0.16200000000000001</v>
      </c>
    </row>
    <row r="34" spans="1:6" x14ac:dyDescent="0.2">
      <c r="A34" s="60" t="s">
        <v>227</v>
      </c>
      <c r="B34" s="88">
        <v>0.05</v>
      </c>
      <c r="C34" s="88">
        <v>6.1199999999999997E-2</v>
      </c>
    </row>
    <row r="35" spans="1:6" x14ac:dyDescent="0.2">
      <c r="A35" s="44" t="s">
        <v>229</v>
      </c>
      <c r="B35" s="51">
        <f>B$46</f>
        <v>0.05</v>
      </c>
      <c r="C35" s="51">
        <f>C$46</f>
        <v>7.1999999999999995E-2</v>
      </c>
    </row>
    <row r="36" spans="1:6" x14ac:dyDescent="0.2">
      <c r="A36" s="44" t="s">
        <v>228</v>
      </c>
      <c r="B36" s="51">
        <f>B$46</f>
        <v>0.05</v>
      </c>
      <c r="C36" s="51">
        <f>C$46</f>
        <v>7.1999999999999995E-2</v>
      </c>
    </row>
    <row r="37" spans="1:6" s="55" customFormat="1" ht="16" thickBot="1" x14ac:dyDescent="0.25">
      <c r="A37" s="58" t="s">
        <v>230</v>
      </c>
      <c r="B37" s="71">
        <f>B$46</f>
        <v>0.05</v>
      </c>
      <c r="C37" s="71">
        <f>C$46</f>
        <v>7.1999999999999995E-2</v>
      </c>
      <c r="D37" s="68"/>
      <c r="E37" s="68"/>
    </row>
    <row r="38" spans="1:6" x14ac:dyDescent="0.2">
      <c r="A38" s="60" t="s">
        <v>212</v>
      </c>
      <c r="B38" s="88">
        <v>0.05</v>
      </c>
      <c r="C38" s="88">
        <v>0.09</v>
      </c>
    </row>
    <row r="39" spans="1:6" x14ac:dyDescent="0.2">
      <c r="A39" s="44" t="s">
        <v>214</v>
      </c>
      <c r="B39" s="21">
        <f>B$38</f>
        <v>0.05</v>
      </c>
      <c r="C39" s="21">
        <f>C$38</f>
        <v>0.09</v>
      </c>
    </row>
    <row r="40" spans="1:6" x14ac:dyDescent="0.2">
      <c r="A40" s="44" t="s">
        <v>213</v>
      </c>
      <c r="B40" s="21">
        <f>B$38</f>
        <v>0.05</v>
      </c>
      <c r="C40" s="21">
        <f>C$38</f>
        <v>0.09</v>
      </c>
    </row>
    <row r="41" spans="1:6" s="55" customFormat="1" ht="16" thickBot="1" x14ac:dyDescent="0.25">
      <c r="A41" s="58" t="s">
        <v>215</v>
      </c>
      <c r="B41" s="54">
        <f>B$38</f>
        <v>0.05</v>
      </c>
      <c r="C41" s="54">
        <f>C$38</f>
        <v>0.09</v>
      </c>
      <c r="D41" s="68"/>
      <c r="E41" s="68"/>
    </row>
    <row r="42" spans="1:6" x14ac:dyDescent="0.2">
      <c r="A42" s="60" t="s">
        <v>217</v>
      </c>
      <c r="B42" s="21">
        <v>0.05</v>
      </c>
      <c r="C42" s="21">
        <f>17*Ref!B18</f>
        <v>6.1199999999999997E-2</v>
      </c>
      <c r="F42" t="s">
        <v>195</v>
      </c>
    </row>
    <row r="43" spans="1:6" x14ac:dyDescent="0.2">
      <c r="A43" s="44" t="s">
        <v>219</v>
      </c>
      <c r="B43" s="21">
        <f>B$42</f>
        <v>0.05</v>
      </c>
      <c r="C43" s="21">
        <f>C$42</f>
        <v>6.1199999999999997E-2</v>
      </c>
    </row>
    <row r="44" spans="1:6" x14ac:dyDescent="0.2">
      <c r="A44" s="44" t="s">
        <v>218</v>
      </c>
      <c r="B44" s="21">
        <f>B$42</f>
        <v>0.05</v>
      </c>
      <c r="C44" s="21">
        <f>C$42</f>
        <v>6.1199999999999997E-2</v>
      </c>
    </row>
    <row r="45" spans="1:6" s="55" customFormat="1" ht="16" thickBot="1" x14ac:dyDescent="0.25">
      <c r="A45" s="58" t="s">
        <v>220</v>
      </c>
      <c r="B45" s="54">
        <f>B$42</f>
        <v>0.05</v>
      </c>
      <c r="C45" s="54">
        <f>C$42</f>
        <v>6.1199999999999997E-2</v>
      </c>
      <c r="D45" s="68"/>
      <c r="E45" s="68"/>
    </row>
    <row r="46" spans="1:6" x14ac:dyDescent="0.2">
      <c r="A46" s="60" t="s">
        <v>222</v>
      </c>
      <c r="B46" s="61">
        <v>0.05</v>
      </c>
      <c r="C46" s="62">
        <f>20*Ref!B18</f>
        <v>7.1999999999999995E-2</v>
      </c>
      <c r="D46" s="67"/>
      <c r="E46" s="67"/>
      <c r="F46" s="1"/>
    </row>
    <row r="47" spans="1:6" x14ac:dyDescent="0.2">
      <c r="A47" s="44" t="s">
        <v>224</v>
      </c>
      <c r="B47" s="51">
        <f>B$62</f>
        <v>0.05</v>
      </c>
      <c r="C47" s="51">
        <f>C$62</f>
        <v>1.7999999999999999E-2</v>
      </c>
    </row>
    <row r="48" spans="1:6" x14ac:dyDescent="0.2">
      <c r="A48" s="44" t="s">
        <v>223</v>
      </c>
      <c r="B48" s="51">
        <f>B$62</f>
        <v>0.05</v>
      </c>
      <c r="C48" s="51">
        <f>C$62</f>
        <v>1.7999999999999999E-2</v>
      </c>
    </row>
    <row r="49" spans="1:5" s="55" customFormat="1" ht="16" thickBot="1" x14ac:dyDescent="0.25">
      <c r="A49" s="58" t="s">
        <v>225</v>
      </c>
      <c r="B49" s="71">
        <f>B$62</f>
        <v>0.05</v>
      </c>
      <c r="C49" s="71">
        <f>C$62</f>
        <v>1.7999999999999999E-2</v>
      </c>
      <c r="D49" s="68"/>
      <c r="E49" s="68"/>
    </row>
    <row r="50" spans="1:5" x14ac:dyDescent="0.2">
      <c r="A50" s="44" t="s">
        <v>282</v>
      </c>
      <c r="B50">
        <v>0</v>
      </c>
      <c r="C50">
        <v>0</v>
      </c>
    </row>
    <row r="51" spans="1:5" ht="16" x14ac:dyDescent="0.2">
      <c r="A51" s="133" t="s">
        <v>283</v>
      </c>
      <c r="B51">
        <f>B50</f>
        <v>0</v>
      </c>
      <c r="C51">
        <f>C50</f>
        <v>0</v>
      </c>
    </row>
    <row r="52" spans="1:5" ht="16" x14ac:dyDescent="0.2">
      <c r="A52" s="133" t="s">
        <v>284</v>
      </c>
      <c r="B52">
        <f>B50</f>
        <v>0</v>
      </c>
      <c r="C52">
        <f>C50</f>
        <v>0</v>
      </c>
    </row>
    <row r="53" spans="1:5" ht="16" x14ac:dyDescent="0.2">
      <c r="A53" s="133" t="s">
        <v>285</v>
      </c>
      <c r="B53">
        <f>B50</f>
        <v>0</v>
      </c>
      <c r="C53">
        <f>C50</f>
        <v>0</v>
      </c>
    </row>
    <row r="54" spans="1:5" ht="16" x14ac:dyDescent="0.2">
      <c r="A54" s="59" t="s">
        <v>286</v>
      </c>
      <c r="B54" s="88">
        <v>0.05</v>
      </c>
      <c r="C54" s="88">
        <v>1.7999999999999999E-2</v>
      </c>
    </row>
    <row r="55" spans="1:5" ht="16" x14ac:dyDescent="0.2">
      <c r="A55" s="159" t="s">
        <v>288</v>
      </c>
      <c r="B55">
        <f>B54</f>
        <v>0.05</v>
      </c>
      <c r="C55">
        <f>C54</f>
        <v>1.7999999999999999E-2</v>
      </c>
    </row>
    <row r="56" spans="1:5" ht="16" x14ac:dyDescent="0.2">
      <c r="A56" s="133" t="s">
        <v>287</v>
      </c>
      <c r="B56">
        <f>B54</f>
        <v>0.05</v>
      </c>
      <c r="C56">
        <f>C54</f>
        <v>1.7999999999999999E-2</v>
      </c>
    </row>
    <row r="57" spans="1:5" ht="16" x14ac:dyDescent="0.2">
      <c r="A57" s="133" t="s">
        <v>289</v>
      </c>
      <c r="B57">
        <f>B54</f>
        <v>0.05</v>
      </c>
      <c r="C57">
        <f>C54</f>
        <v>1.7999999999999999E-2</v>
      </c>
    </row>
    <row r="58" spans="1:5" ht="16" x14ac:dyDescent="0.2">
      <c r="A58" s="133" t="s">
        <v>290</v>
      </c>
      <c r="B58" s="61">
        <v>0.05</v>
      </c>
      <c r="C58" s="61">
        <v>1.7999999999999999E-2</v>
      </c>
    </row>
    <row r="59" spans="1:5" ht="16" x14ac:dyDescent="0.2">
      <c r="A59" s="133" t="s">
        <v>291</v>
      </c>
      <c r="B59">
        <f>B58</f>
        <v>0.05</v>
      </c>
      <c r="C59">
        <f>C58</f>
        <v>1.7999999999999999E-2</v>
      </c>
    </row>
    <row r="60" spans="1:5" ht="16" x14ac:dyDescent="0.2">
      <c r="A60" s="133" t="s">
        <v>292</v>
      </c>
      <c r="B60">
        <f>B58</f>
        <v>0.05</v>
      </c>
      <c r="C60">
        <f>C58</f>
        <v>1.7999999999999999E-2</v>
      </c>
    </row>
    <row r="61" spans="1:5" ht="16" x14ac:dyDescent="0.2">
      <c r="A61" s="133" t="s">
        <v>293</v>
      </c>
      <c r="B61">
        <f>B58</f>
        <v>0.05</v>
      </c>
      <c r="C61">
        <f>C58</f>
        <v>1.7999999999999999E-2</v>
      </c>
    </row>
    <row r="62" spans="1:5" ht="16" x14ac:dyDescent="0.2">
      <c r="A62" s="133" t="s">
        <v>295</v>
      </c>
      <c r="B62" s="61">
        <v>0.05</v>
      </c>
      <c r="C62" s="61">
        <v>1.7999999999999999E-2</v>
      </c>
    </row>
    <row r="63" spans="1:5" ht="16" x14ac:dyDescent="0.2">
      <c r="A63" s="133" t="s">
        <v>296</v>
      </c>
      <c r="B63">
        <f>B62</f>
        <v>0.05</v>
      </c>
      <c r="C63">
        <f>C62</f>
        <v>1.7999999999999999E-2</v>
      </c>
    </row>
    <row r="64" spans="1:5" ht="16" x14ac:dyDescent="0.2">
      <c r="A64" s="133" t="s">
        <v>297</v>
      </c>
      <c r="B64">
        <f>B62</f>
        <v>0.05</v>
      </c>
      <c r="C64">
        <f>C62</f>
        <v>1.7999999999999999E-2</v>
      </c>
    </row>
    <row r="65" spans="1:3" ht="16" x14ac:dyDescent="0.2">
      <c r="A65" s="133" t="s">
        <v>298</v>
      </c>
      <c r="B65">
        <f>B62</f>
        <v>0.05</v>
      </c>
      <c r="C65">
        <f>C62</f>
        <v>1.7999999999999999E-2</v>
      </c>
    </row>
  </sheetData>
  <sortState xmlns:xlrd2="http://schemas.microsoft.com/office/spreadsheetml/2017/richdata2" ref="A26:F49">
    <sortCondition ref="A26"/>
  </sortState>
  <hyperlinks>
    <hyperlink ref="F9" r:id="rId1" xr:uid="{00000000-0004-0000-0100-000000000000}"/>
    <hyperlink ref="F26" r:id="rId2" tooltip="Persistent link using digital object identifier" xr:uid="{00000000-0004-0000-0100-000001000000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49" sqref="A49"/>
    </sheetView>
  </sheetViews>
  <sheetFormatPr baseColWidth="10" defaultColWidth="8.83203125" defaultRowHeight="15" x14ac:dyDescent="0.2"/>
  <cols>
    <col min="1" max="1" width="20.1640625" customWidth="1"/>
    <col min="2" max="2" width="12.33203125" bestFit="1" customWidth="1"/>
    <col min="3" max="3" width="15.5" customWidth="1"/>
    <col min="4" max="4" width="17.33203125" bestFit="1" customWidth="1"/>
    <col min="5" max="5" width="11.83203125" bestFit="1" customWidth="1"/>
    <col min="6" max="6" width="13.5" bestFit="1" customWidth="1"/>
  </cols>
  <sheetData>
    <row r="1" spans="1:8" x14ac:dyDescent="0.2">
      <c r="A1" s="1" t="s">
        <v>0</v>
      </c>
      <c r="B1" t="s">
        <v>10</v>
      </c>
      <c r="C1" t="s">
        <v>21</v>
      </c>
      <c r="D1" t="s">
        <v>11</v>
      </c>
      <c r="E1" t="s">
        <v>12</v>
      </c>
      <c r="F1" t="s">
        <v>13</v>
      </c>
      <c r="G1" t="s">
        <v>7</v>
      </c>
      <c r="H1" t="s">
        <v>2</v>
      </c>
    </row>
    <row r="2" spans="1:8" x14ac:dyDescent="0.2">
      <c r="A2" s="2" t="s">
        <v>1</v>
      </c>
      <c r="G2" t="s">
        <v>196</v>
      </c>
    </row>
    <row r="3" spans="1:8" x14ac:dyDescent="0.2">
      <c r="A3" s="2" t="s">
        <v>2</v>
      </c>
    </row>
    <row r="4" spans="1:8" x14ac:dyDescent="0.2">
      <c r="A4" t="s">
        <v>3</v>
      </c>
      <c r="B4">
        <f>0.02</f>
        <v>0.02</v>
      </c>
      <c r="C4" t="s">
        <v>111</v>
      </c>
      <c r="D4">
        <v>0</v>
      </c>
      <c r="E4" t="s">
        <v>275</v>
      </c>
      <c r="F4">
        <v>0</v>
      </c>
      <c r="G4">
        <v>0</v>
      </c>
    </row>
    <row r="5" spans="1:8" hidden="1" x14ac:dyDescent="0.2">
      <c r="A5" t="s">
        <v>55</v>
      </c>
      <c r="B5">
        <v>0.01</v>
      </c>
      <c r="C5" t="s">
        <v>111</v>
      </c>
      <c r="D5">
        <v>0</v>
      </c>
      <c r="E5" t="s">
        <v>275</v>
      </c>
      <c r="F5">
        <v>0</v>
      </c>
      <c r="G5">
        <v>0.1</v>
      </c>
    </row>
    <row r="6" spans="1:8" hidden="1" x14ac:dyDescent="0.2">
      <c r="A6" t="s">
        <v>106</v>
      </c>
      <c r="B6">
        <v>0</v>
      </c>
      <c r="C6" t="s">
        <v>112</v>
      </c>
      <c r="D6">
        <v>0</v>
      </c>
      <c r="E6" t="s">
        <v>275</v>
      </c>
      <c r="F6">
        <v>0</v>
      </c>
      <c r="G6">
        <v>0</v>
      </c>
    </row>
    <row r="7" spans="1:8" hidden="1" x14ac:dyDescent="0.2">
      <c r="A7" t="s">
        <v>107</v>
      </c>
      <c r="B7">
        <f>0.6/28.2</f>
        <v>2.1276595744680851E-2</v>
      </c>
      <c r="C7" t="s">
        <v>111</v>
      </c>
      <c r="D7">
        <v>0</v>
      </c>
      <c r="E7" t="s">
        <v>275</v>
      </c>
      <c r="F7">
        <f>0.018*0.56</f>
        <v>1.008E-2</v>
      </c>
      <c r="G7">
        <v>7.4999999999999997E-2</v>
      </c>
    </row>
    <row r="8" spans="1:8" hidden="1" x14ac:dyDescent="0.2">
      <c r="A8" t="s">
        <v>108</v>
      </c>
      <c r="B8">
        <v>0.01</v>
      </c>
      <c r="C8" t="s">
        <v>115</v>
      </c>
      <c r="D8">
        <v>0</v>
      </c>
      <c r="E8" t="s">
        <v>275</v>
      </c>
      <c r="F8" s="31">
        <v>0.3</v>
      </c>
      <c r="G8">
        <v>0.14000000000000001</v>
      </c>
    </row>
    <row r="9" spans="1:8" hidden="1" x14ac:dyDescent="0.2">
      <c r="A9" t="s">
        <v>109</v>
      </c>
      <c r="B9" s="22">
        <v>0.01</v>
      </c>
      <c r="C9" t="s">
        <v>111</v>
      </c>
      <c r="D9">
        <v>0</v>
      </c>
      <c r="E9" t="s">
        <v>275</v>
      </c>
      <c r="F9" s="22">
        <v>0</v>
      </c>
      <c r="G9" s="22">
        <v>0</v>
      </c>
    </row>
    <row r="10" spans="1:8" hidden="1" x14ac:dyDescent="0.2">
      <c r="A10" t="s">
        <v>110</v>
      </c>
      <c r="B10" s="32">
        <f>0.37/30.23</f>
        <v>1.2239497188223619E-2</v>
      </c>
      <c r="C10" t="s">
        <v>118</v>
      </c>
      <c r="D10">
        <v>0</v>
      </c>
      <c r="E10" t="s">
        <v>275</v>
      </c>
      <c r="F10" s="22">
        <v>0</v>
      </c>
      <c r="G10" s="32">
        <v>0.1</v>
      </c>
      <c r="H10" t="s">
        <v>154</v>
      </c>
    </row>
    <row r="11" spans="1:8" hidden="1" x14ac:dyDescent="0.2">
      <c r="A11" t="s">
        <v>125</v>
      </c>
      <c r="B11">
        <f>AVERAGE(B6:B10)</f>
        <v>1.0703218586580894E-2</v>
      </c>
      <c r="D11">
        <f>AVERAGE(D6:D10)</f>
        <v>0</v>
      </c>
      <c r="F11">
        <f>AVERAGE(F6:F10)</f>
        <v>6.2015999999999995E-2</v>
      </c>
      <c r="G11">
        <f>AVERAGE(G6:G10)</f>
        <v>6.3000000000000014E-2</v>
      </c>
    </row>
    <row r="12" spans="1:8" hidden="1" x14ac:dyDescent="0.2">
      <c r="A12" t="s">
        <v>130</v>
      </c>
      <c r="B12">
        <f t="shared" ref="B12:G12" si="0">B$7</f>
        <v>2.1276595744680851E-2</v>
      </c>
      <c r="C12" t="str">
        <f t="shared" si="0"/>
        <v>coke - IPCC</v>
      </c>
      <c r="D12">
        <f t="shared" si="0"/>
        <v>0</v>
      </c>
      <c r="E12" t="str">
        <f t="shared" si="0"/>
        <v>charcoal - IPCC</v>
      </c>
      <c r="F12">
        <f t="shared" si="0"/>
        <v>1.008E-2</v>
      </c>
      <c r="G12">
        <f t="shared" si="0"/>
        <v>7.4999999999999997E-2</v>
      </c>
    </row>
    <row r="13" spans="1:8" hidden="1" x14ac:dyDescent="0.2">
      <c r="A13" t="s">
        <v>131</v>
      </c>
      <c r="B13">
        <f t="shared" ref="B13:C15" si="1">B$7</f>
        <v>2.1276595744680851E-2</v>
      </c>
      <c r="C13" t="str">
        <f t="shared" si="1"/>
        <v>coke - IPCC</v>
      </c>
      <c r="D13">
        <v>0.5</v>
      </c>
      <c r="E13" t="str">
        <f t="shared" ref="E13:G15" si="2">E$7</f>
        <v>charcoal - IPCC</v>
      </c>
      <c r="F13">
        <f t="shared" si="2"/>
        <v>1.008E-2</v>
      </c>
      <c r="G13">
        <f t="shared" si="2"/>
        <v>7.4999999999999997E-2</v>
      </c>
    </row>
    <row r="14" spans="1:8" hidden="1" x14ac:dyDescent="0.2">
      <c r="A14" t="s">
        <v>132</v>
      </c>
      <c r="B14">
        <f t="shared" si="1"/>
        <v>2.1276595744680851E-2</v>
      </c>
      <c r="C14" t="str">
        <f t="shared" si="1"/>
        <v>coke - IPCC</v>
      </c>
      <c r="D14">
        <v>1</v>
      </c>
      <c r="E14" t="str">
        <f t="shared" si="2"/>
        <v>charcoal - IPCC</v>
      </c>
      <c r="F14">
        <f t="shared" si="2"/>
        <v>1.008E-2</v>
      </c>
      <c r="G14">
        <f t="shared" si="2"/>
        <v>7.4999999999999997E-2</v>
      </c>
    </row>
    <row r="15" spans="1:8" hidden="1" x14ac:dyDescent="0.2">
      <c r="A15" t="s">
        <v>133</v>
      </c>
      <c r="B15">
        <f t="shared" si="1"/>
        <v>2.1276595744680851E-2</v>
      </c>
      <c r="C15" t="str">
        <f t="shared" si="1"/>
        <v>coke - IPCC</v>
      </c>
      <c r="D15">
        <v>0.2</v>
      </c>
      <c r="E15" t="str">
        <f t="shared" si="2"/>
        <v>charcoal - IPCC</v>
      </c>
      <c r="F15">
        <f t="shared" si="2"/>
        <v>1.008E-2</v>
      </c>
      <c r="G15">
        <f t="shared" si="2"/>
        <v>7.4999999999999997E-2</v>
      </c>
    </row>
    <row r="16" spans="1:8" hidden="1" x14ac:dyDescent="0.2">
      <c r="A16" t="s">
        <v>135</v>
      </c>
      <c r="B16">
        <v>0</v>
      </c>
      <c r="C16" t="s">
        <v>136</v>
      </c>
      <c r="D16">
        <v>0</v>
      </c>
      <c r="E16" t="s">
        <v>275</v>
      </c>
      <c r="F16">
        <v>0</v>
      </c>
      <c r="G16">
        <v>0</v>
      </c>
    </row>
    <row r="17" spans="1:7" hidden="1" x14ac:dyDescent="0.2">
      <c r="A17" t="s">
        <v>126</v>
      </c>
      <c r="B17">
        <v>0.01</v>
      </c>
      <c r="C17" t="s">
        <v>111</v>
      </c>
      <c r="D17">
        <v>0</v>
      </c>
      <c r="E17" t="s">
        <v>275</v>
      </c>
      <c r="F17">
        <v>0</v>
      </c>
      <c r="G17">
        <v>0</v>
      </c>
    </row>
    <row r="18" spans="1:7" hidden="1" x14ac:dyDescent="0.2">
      <c r="A18" t="s">
        <v>157</v>
      </c>
      <c r="B18">
        <f>0.6/28.2</f>
        <v>2.1276595744680851E-2</v>
      </c>
      <c r="C18" t="s">
        <v>111</v>
      </c>
      <c r="D18">
        <v>0</v>
      </c>
      <c r="E18" t="s">
        <v>275</v>
      </c>
      <c r="F18">
        <f>0.018*0.56</f>
        <v>1.008E-2</v>
      </c>
      <c r="G18">
        <f>0.075</f>
        <v>7.4999999999999997E-2</v>
      </c>
    </row>
    <row r="19" spans="1:7" hidden="1" x14ac:dyDescent="0.2">
      <c r="A19" t="s">
        <v>150</v>
      </c>
      <c r="B19">
        <f>0.6/28.2</f>
        <v>2.1276595744680851E-2</v>
      </c>
      <c r="C19" t="s">
        <v>111</v>
      </c>
      <c r="D19">
        <v>0</v>
      </c>
      <c r="E19" t="s">
        <v>275</v>
      </c>
      <c r="F19">
        <f>0.018*0.56</f>
        <v>1.008E-2</v>
      </c>
      <c r="G19">
        <f>0.075</f>
        <v>7.4999999999999997E-2</v>
      </c>
    </row>
    <row r="20" spans="1:7" hidden="1" x14ac:dyDescent="0.2">
      <c r="A20" t="s">
        <v>151</v>
      </c>
      <c r="B20">
        <f>0.563/28.2</f>
        <v>1.9964539007092198E-2</v>
      </c>
      <c r="C20" t="s">
        <v>111</v>
      </c>
      <c r="D20">
        <v>0</v>
      </c>
      <c r="E20" t="s">
        <v>275</v>
      </c>
      <c r="F20">
        <f>0.018*0.56</f>
        <v>1.008E-2</v>
      </c>
      <c r="G20">
        <f>0.075</f>
        <v>7.4999999999999997E-2</v>
      </c>
    </row>
    <row r="21" spans="1:7" hidden="1" x14ac:dyDescent="0.2">
      <c r="A21" t="s">
        <v>142</v>
      </c>
      <c r="B21">
        <f>0.563/28.2</f>
        <v>1.9964539007092198E-2</v>
      </c>
      <c r="C21" t="s">
        <v>111</v>
      </c>
      <c r="D21">
        <v>0</v>
      </c>
      <c r="E21" t="s">
        <v>275</v>
      </c>
      <c r="F21" s="22">
        <v>0.01</v>
      </c>
      <c r="G21">
        <v>5.3999999999999999E-2</v>
      </c>
    </row>
    <row r="22" spans="1:7" hidden="1" x14ac:dyDescent="0.2">
      <c r="A22" t="s">
        <v>152</v>
      </c>
    </row>
    <row r="23" spans="1:7" s="28" customFormat="1" hidden="1" x14ac:dyDescent="0.2">
      <c r="A23" s="28" t="s">
        <v>155</v>
      </c>
    </row>
    <row r="24" spans="1:7" s="28" customFormat="1" hidden="1" x14ac:dyDescent="0.2">
      <c r="A24" s="48" t="s">
        <v>235</v>
      </c>
      <c r="B24" s="28">
        <f>0.0509/0.75</f>
        <v>6.7866666666666672E-2</v>
      </c>
      <c r="C24" s="28" t="s">
        <v>236</v>
      </c>
    </row>
    <row r="25" spans="1:7" s="77" customFormat="1" ht="16" x14ac:dyDescent="0.2">
      <c r="A25" s="76" t="s">
        <v>197</v>
      </c>
      <c r="B25" s="77">
        <f>0.563/28.2</f>
        <v>1.9964539007092198E-2</v>
      </c>
      <c r="C25" s="77" t="s">
        <v>111</v>
      </c>
      <c r="D25" s="77">
        <v>0</v>
      </c>
      <c r="E25" s="77" t="s">
        <v>275</v>
      </c>
      <c r="F25" s="85">
        <f>0.018*0.56</f>
        <v>1.008E-2</v>
      </c>
      <c r="G25" s="77">
        <f>0.075</f>
        <v>7.4999999999999997E-2</v>
      </c>
    </row>
    <row r="26" spans="1:7" ht="17" customHeight="1" x14ac:dyDescent="0.2">
      <c r="A26" s="45" t="s">
        <v>198</v>
      </c>
      <c r="B26">
        <f>B$25</f>
        <v>1.9964539007092198E-2</v>
      </c>
      <c r="C26" t="str">
        <f t="shared" ref="C26:G26" si="3">C$25</f>
        <v>coke - IPCC</v>
      </c>
      <c r="D26">
        <f t="shared" si="3"/>
        <v>0</v>
      </c>
      <c r="E26" t="str">
        <f t="shared" si="3"/>
        <v>charcoal - IPCC</v>
      </c>
      <c r="F26" s="21">
        <f t="shared" si="3"/>
        <v>1.008E-2</v>
      </c>
      <c r="G26">
        <f t="shared" si="3"/>
        <v>7.4999999999999997E-2</v>
      </c>
    </row>
    <row r="27" spans="1:7" ht="16" x14ac:dyDescent="0.2">
      <c r="A27" s="45" t="s">
        <v>199</v>
      </c>
      <c r="B27">
        <f>B$25</f>
        <v>1.9964539007092198E-2</v>
      </c>
      <c r="C27" t="str">
        <f>C$25</f>
        <v>coke - IPCC</v>
      </c>
      <c r="D27" s="46">
        <v>0.5</v>
      </c>
      <c r="E27" t="str">
        <f>E$25</f>
        <v>charcoal - IPCC</v>
      </c>
      <c r="F27" s="21">
        <f>F$25</f>
        <v>1.008E-2</v>
      </c>
      <c r="G27">
        <f>G$25</f>
        <v>7.4999999999999997E-2</v>
      </c>
    </row>
    <row r="28" spans="1:7" ht="16" x14ac:dyDescent="0.2">
      <c r="A28" s="45" t="s">
        <v>200</v>
      </c>
      <c r="B28">
        <f t="shared" ref="B28:C28" si="4">B$25</f>
        <v>1.9964539007092198E-2</v>
      </c>
      <c r="C28" t="str">
        <f t="shared" si="4"/>
        <v>coke - IPCC</v>
      </c>
      <c r="D28" s="46">
        <v>1</v>
      </c>
      <c r="E28" t="str">
        <f>E$25</f>
        <v>charcoal - IPCC</v>
      </c>
      <c r="F28" s="21">
        <f>F$25</f>
        <v>1.008E-2</v>
      </c>
      <c r="G28">
        <f>G$25</f>
        <v>7.4999999999999997E-2</v>
      </c>
    </row>
    <row r="29" spans="1:7" s="1" customFormat="1" ht="16" x14ac:dyDescent="0.2">
      <c r="A29" s="59" t="s">
        <v>202</v>
      </c>
      <c r="B29" s="88">
        <v>0.02</v>
      </c>
      <c r="C29" s="28" t="s">
        <v>111</v>
      </c>
      <c r="D29" s="1">
        <v>0</v>
      </c>
      <c r="E29" s="1" t="s">
        <v>275</v>
      </c>
      <c r="F29" s="88">
        <v>0.01</v>
      </c>
      <c r="G29" s="88">
        <v>0.1</v>
      </c>
    </row>
    <row r="30" spans="1:7" ht="16" x14ac:dyDescent="0.2">
      <c r="A30" s="45" t="s">
        <v>205</v>
      </c>
      <c r="B30" s="21">
        <f>B29</f>
        <v>0.02</v>
      </c>
      <c r="C30" s="21" t="str">
        <f t="shared" ref="C30:D30" si="5">C29</f>
        <v>coke - IPCC</v>
      </c>
      <c r="D30" s="21">
        <f t="shared" si="5"/>
        <v>0</v>
      </c>
      <c r="E30" t="str">
        <f>E$25</f>
        <v>charcoal - IPCC</v>
      </c>
      <c r="F30" s="21">
        <f t="shared" ref="F30:G30" si="6">F29</f>
        <v>0.01</v>
      </c>
      <c r="G30" s="21">
        <f t="shared" si="6"/>
        <v>0.1</v>
      </c>
    </row>
    <row r="31" spans="1:7" ht="16" x14ac:dyDescent="0.2">
      <c r="A31" s="45" t="s">
        <v>207</v>
      </c>
      <c r="B31" s="21">
        <f>B$29</f>
        <v>0.02</v>
      </c>
      <c r="C31" t="str">
        <f>C$29</f>
        <v>coke - IPCC</v>
      </c>
      <c r="D31" s="46">
        <v>0.5</v>
      </c>
      <c r="E31" t="str">
        <f>E$25</f>
        <v>charcoal - IPCC</v>
      </c>
      <c r="F31" s="21">
        <f>F$29</f>
        <v>0.01</v>
      </c>
      <c r="G31" s="21">
        <f>G$29</f>
        <v>0.1</v>
      </c>
    </row>
    <row r="32" spans="1:7" ht="16" x14ac:dyDescent="0.2">
      <c r="A32" s="45" t="s">
        <v>210</v>
      </c>
      <c r="B32" s="21">
        <f>B$29</f>
        <v>0.02</v>
      </c>
      <c r="C32" t="str">
        <f>C$29</f>
        <v>coke - IPCC</v>
      </c>
      <c r="D32" s="46">
        <v>1</v>
      </c>
      <c r="E32" t="str">
        <f>E$25</f>
        <v>charcoal - IPCC</v>
      </c>
      <c r="F32" s="21">
        <f>F$29</f>
        <v>0.01</v>
      </c>
      <c r="G32" s="21">
        <f>G$29</f>
        <v>0.1</v>
      </c>
    </row>
    <row r="33" spans="1:8" s="1" customFormat="1" x14ac:dyDescent="0.2">
      <c r="A33" s="60" t="s">
        <v>212</v>
      </c>
      <c r="B33" s="61">
        <v>0.01</v>
      </c>
      <c r="C33" s="78" t="s">
        <v>111</v>
      </c>
      <c r="D33" s="1">
        <v>0</v>
      </c>
      <c r="E33" s="1" t="s">
        <v>275</v>
      </c>
      <c r="F33" s="88">
        <v>0.01</v>
      </c>
      <c r="G33" s="61">
        <v>0.14000000000000001</v>
      </c>
    </row>
    <row r="34" spans="1:8" x14ac:dyDescent="0.2">
      <c r="A34" s="44" t="s">
        <v>213</v>
      </c>
      <c r="B34" s="21">
        <f>B$33</f>
        <v>0.01</v>
      </c>
      <c r="C34" t="str">
        <f>C$33</f>
        <v>coke - IPCC</v>
      </c>
      <c r="D34">
        <f t="shared" ref="D34:E36" si="7">D$25</f>
        <v>0</v>
      </c>
      <c r="E34" t="str">
        <f>E$25</f>
        <v>charcoal - IPCC</v>
      </c>
      <c r="F34" s="21">
        <f>F$33</f>
        <v>0.01</v>
      </c>
      <c r="G34" s="21">
        <f>G$33</f>
        <v>0.14000000000000001</v>
      </c>
    </row>
    <row r="35" spans="1:8" x14ac:dyDescent="0.2">
      <c r="A35" s="44" t="s">
        <v>214</v>
      </c>
      <c r="B35" s="21">
        <f>B$33</f>
        <v>0.01</v>
      </c>
      <c r="C35" t="str">
        <f>C$33</f>
        <v>coke - IPCC</v>
      </c>
      <c r="D35" s="46">
        <v>0.5</v>
      </c>
      <c r="E35" t="str">
        <f t="shared" si="7"/>
        <v>charcoal - IPCC</v>
      </c>
      <c r="F35" s="21">
        <f>F$33</f>
        <v>0.01</v>
      </c>
      <c r="G35" s="21">
        <f>G$33</f>
        <v>0.14000000000000001</v>
      </c>
    </row>
    <row r="36" spans="1:8" x14ac:dyDescent="0.2">
      <c r="A36" s="44" t="s">
        <v>215</v>
      </c>
      <c r="B36" s="21">
        <f>B$33</f>
        <v>0.01</v>
      </c>
      <c r="C36" t="str">
        <f>C$33</f>
        <v>coke - IPCC</v>
      </c>
      <c r="D36" s="46">
        <v>1</v>
      </c>
      <c r="E36" t="str">
        <f t="shared" si="7"/>
        <v>charcoal - IPCC</v>
      </c>
      <c r="F36" s="21">
        <f>F$33</f>
        <v>0.01</v>
      </c>
      <c r="G36" s="21">
        <f>G$33</f>
        <v>0.14000000000000001</v>
      </c>
    </row>
    <row r="37" spans="1:8" s="1" customFormat="1" x14ac:dyDescent="0.2">
      <c r="A37" s="60" t="s">
        <v>217</v>
      </c>
      <c r="B37" s="88">
        <v>0.02</v>
      </c>
      <c r="C37" s="78" t="s">
        <v>111</v>
      </c>
      <c r="D37" s="1">
        <v>0</v>
      </c>
      <c r="E37" s="1" t="s">
        <v>275</v>
      </c>
      <c r="F37" s="88">
        <v>0.01</v>
      </c>
      <c r="G37" s="88">
        <v>0</v>
      </c>
    </row>
    <row r="38" spans="1:8" x14ac:dyDescent="0.2">
      <c r="A38" s="44" t="s">
        <v>218</v>
      </c>
      <c r="B38" s="51">
        <f>B$37</f>
        <v>0.02</v>
      </c>
      <c r="C38" s="50" t="str">
        <f>C$37</f>
        <v>coke - IPCC</v>
      </c>
      <c r="D38">
        <f t="shared" ref="D38:E40" si="8">D$25</f>
        <v>0</v>
      </c>
      <c r="E38" t="str">
        <f t="shared" si="8"/>
        <v>charcoal - IPCC</v>
      </c>
      <c r="F38" s="51">
        <f>F$37</f>
        <v>0.01</v>
      </c>
      <c r="G38" s="51">
        <f>G$37</f>
        <v>0</v>
      </c>
    </row>
    <row r="39" spans="1:8" x14ac:dyDescent="0.2">
      <c r="A39" s="44" t="s">
        <v>219</v>
      </c>
      <c r="B39" s="51">
        <f>B$37</f>
        <v>0.02</v>
      </c>
      <c r="C39" s="50" t="str">
        <f>C$37</f>
        <v>coke - IPCC</v>
      </c>
      <c r="D39" s="46">
        <v>0.5</v>
      </c>
      <c r="E39" t="str">
        <f t="shared" si="8"/>
        <v>charcoal - IPCC</v>
      </c>
      <c r="F39" s="51">
        <f>F$37</f>
        <v>0.01</v>
      </c>
      <c r="G39" s="51">
        <f>G$37</f>
        <v>0</v>
      </c>
    </row>
    <row r="40" spans="1:8" x14ac:dyDescent="0.2">
      <c r="A40" s="44" t="s">
        <v>220</v>
      </c>
      <c r="B40" s="51">
        <f>B$37</f>
        <v>0.02</v>
      </c>
      <c r="C40" s="50" t="str">
        <f>C$37</f>
        <v>coke - IPCC</v>
      </c>
      <c r="D40" s="46">
        <v>1</v>
      </c>
      <c r="E40" t="str">
        <f t="shared" si="8"/>
        <v>charcoal - IPCC</v>
      </c>
      <c r="F40" s="51">
        <f>F$37</f>
        <v>0.01</v>
      </c>
      <c r="G40" s="51">
        <f>G$37</f>
        <v>0</v>
      </c>
    </row>
    <row r="41" spans="1:8" s="1" customFormat="1" x14ac:dyDescent="0.2">
      <c r="A41" s="60" t="s">
        <v>222</v>
      </c>
      <c r="B41" s="70">
        <v>0.02</v>
      </c>
      <c r="C41" s="78" t="s">
        <v>111</v>
      </c>
      <c r="D41" s="1">
        <v>0</v>
      </c>
      <c r="E41" s="1" t="s">
        <v>275</v>
      </c>
      <c r="F41" s="88">
        <v>0.01</v>
      </c>
      <c r="G41" s="70">
        <v>0.1</v>
      </c>
      <c r="H41" s="1" t="s">
        <v>154</v>
      </c>
    </row>
    <row r="42" spans="1:8" x14ac:dyDescent="0.2">
      <c r="A42" s="44" t="s">
        <v>223</v>
      </c>
      <c r="B42" s="21">
        <f>B$41</f>
        <v>0.02</v>
      </c>
      <c r="C42" s="21" t="str">
        <f>C$41</f>
        <v>coke - IPCC</v>
      </c>
      <c r="D42">
        <f t="shared" ref="D42:E44" si="9">D$25</f>
        <v>0</v>
      </c>
      <c r="E42" t="str">
        <f t="shared" si="9"/>
        <v>charcoal - IPCC</v>
      </c>
      <c r="F42" s="21">
        <f>F$41</f>
        <v>0.01</v>
      </c>
      <c r="G42" s="21">
        <f>G$41</f>
        <v>0.1</v>
      </c>
    </row>
    <row r="43" spans="1:8" x14ac:dyDescent="0.2">
      <c r="A43" s="44" t="s">
        <v>224</v>
      </c>
      <c r="B43" s="21">
        <f>B$41</f>
        <v>0.02</v>
      </c>
      <c r="C43" s="21" t="str">
        <f>C$41</f>
        <v>coke - IPCC</v>
      </c>
      <c r="D43" s="46">
        <v>0.5</v>
      </c>
      <c r="E43" t="str">
        <f t="shared" si="9"/>
        <v>charcoal - IPCC</v>
      </c>
      <c r="F43" s="21">
        <f>F$41</f>
        <v>0.01</v>
      </c>
      <c r="G43" s="21">
        <f>G$41</f>
        <v>0.1</v>
      </c>
    </row>
    <row r="44" spans="1:8" x14ac:dyDescent="0.2">
      <c r="A44" s="44" t="s">
        <v>225</v>
      </c>
      <c r="B44" s="21">
        <f>B$41</f>
        <v>0.02</v>
      </c>
      <c r="C44" s="21" t="str">
        <f>C$41</f>
        <v>coke - IPCC</v>
      </c>
      <c r="D44" s="46">
        <v>1</v>
      </c>
      <c r="E44" t="str">
        <f t="shared" si="9"/>
        <v>charcoal - IPCC</v>
      </c>
      <c r="F44" s="21">
        <f>F$41</f>
        <v>0.01</v>
      </c>
      <c r="G44" s="21">
        <f>G$41</f>
        <v>0.1</v>
      </c>
    </row>
    <row r="45" spans="1:8" x14ac:dyDescent="0.2">
      <c r="A45" s="60" t="s">
        <v>227</v>
      </c>
      <c r="B45" s="65">
        <v>0.02</v>
      </c>
      <c r="C45" s="78" t="s">
        <v>111</v>
      </c>
      <c r="D45" s="1">
        <v>0</v>
      </c>
      <c r="E45" s="1" t="s">
        <v>275</v>
      </c>
      <c r="F45" s="88">
        <v>0.01</v>
      </c>
      <c r="G45" s="88">
        <v>0</v>
      </c>
    </row>
    <row r="46" spans="1:8" x14ac:dyDescent="0.2">
      <c r="A46" s="44" t="s">
        <v>228</v>
      </c>
      <c r="B46" s="51">
        <f>B$45</f>
        <v>0.02</v>
      </c>
      <c r="C46" s="51" t="str">
        <f>C$45</f>
        <v>coke - IPCC</v>
      </c>
      <c r="D46">
        <f t="shared" ref="D46:E48" si="10">D$25</f>
        <v>0</v>
      </c>
      <c r="E46" t="str">
        <f t="shared" si="10"/>
        <v>charcoal - IPCC</v>
      </c>
      <c r="F46" s="51">
        <f>F$45</f>
        <v>0.01</v>
      </c>
      <c r="G46" s="51">
        <f>G$45</f>
        <v>0</v>
      </c>
    </row>
    <row r="47" spans="1:8" x14ac:dyDescent="0.2">
      <c r="A47" s="44" t="s">
        <v>229</v>
      </c>
      <c r="B47" s="51">
        <f>B$45</f>
        <v>0.02</v>
      </c>
      <c r="C47" s="51" t="str">
        <f>C$45</f>
        <v>coke - IPCC</v>
      </c>
      <c r="D47" s="46">
        <v>0.5</v>
      </c>
      <c r="E47" t="str">
        <f t="shared" si="10"/>
        <v>charcoal - IPCC</v>
      </c>
      <c r="F47" s="51">
        <f>F$45</f>
        <v>0.01</v>
      </c>
      <c r="G47" s="51">
        <f>G$45</f>
        <v>0</v>
      </c>
    </row>
    <row r="48" spans="1:8" x14ac:dyDescent="0.2">
      <c r="A48" s="44" t="s">
        <v>230</v>
      </c>
      <c r="B48" s="51">
        <f>B$45</f>
        <v>0.02</v>
      </c>
      <c r="C48" s="51" t="str">
        <f>C$45</f>
        <v>coke - IPCC</v>
      </c>
      <c r="D48" s="46">
        <v>1</v>
      </c>
      <c r="E48" t="str">
        <f t="shared" si="10"/>
        <v>charcoal - IPCC</v>
      </c>
      <c r="F48" s="51">
        <f>F$45</f>
        <v>0.01</v>
      </c>
      <c r="G48" s="51">
        <f>G$45</f>
        <v>0</v>
      </c>
    </row>
    <row r="49" spans="1:7" x14ac:dyDescent="0.2">
      <c r="A49" s="44" t="s">
        <v>282</v>
      </c>
      <c r="D49" s="1">
        <v>0</v>
      </c>
    </row>
    <row r="50" spans="1:7" ht="16" x14ac:dyDescent="0.2">
      <c r="A50" s="133" t="s">
        <v>283</v>
      </c>
      <c r="D50">
        <f t="shared" ref="D50" si="11">D$25</f>
        <v>0</v>
      </c>
    </row>
    <row r="51" spans="1:7" ht="16" x14ac:dyDescent="0.2">
      <c r="A51" s="133" t="s">
        <v>284</v>
      </c>
      <c r="D51" s="46">
        <v>0.5</v>
      </c>
    </row>
    <row r="52" spans="1:7" ht="16" x14ac:dyDescent="0.2">
      <c r="A52" s="133" t="s">
        <v>285</v>
      </c>
      <c r="D52" s="46">
        <v>1</v>
      </c>
    </row>
    <row r="53" spans="1:7" s="1" customFormat="1" ht="16" x14ac:dyDescent="0.2">
      <c r="A53" s="59" t="s">
        <v>286</v>
      </c>
      <c r="B53" s="1">
        <f>0.563/28.2</f>
        <v>1.9964539007092198E-2</v>
      </c>
      <c r="C53" s="1" t="s">
        <v>111</v>
      </c>
      <c r="D53" s="1">
        <v>0</v>
      </c>
      <c r="E53" s="1" t="s">
        <v>275</v>
      </c>
      <c r="F53" s="88">
        <v>0.01</v>
      </c>
      <c r="G53" s="1">
        <v>5.3999999999999999E-2</v>
      </c>
    </row>
    <row r="54" spans="1:7" ht="16" x14ac:dyDescent="0.2">
      <c r="A54" s="159" t="s">
        <v>288</v>
      </c>
      <c r="B54">
        <f>B53</f>
        <v>1.9964539007092198E-2</v>
      </c>
      <c r="C54" t="str">
        <f>C53</f>
        <v>coke - IPCC</v>
      </c>
      <c r="D54">
        <f t="shared" ref="D54" si="12">D$25</f>
        <v>0</v>
      </c>
      <c r="E54" t="str">
        <f>E53</f>
        <v>charcoal - IPCC</v>
      </c>
      <c r="F54">
        <f>F53</f>
        <v>0.01</v>
      </c>
      <c r="G54">
        <f>G53</f>
        <v>5.3999999999999999E-2</v>
      </c>
    </row>
    <row r="55" spans="1:7" ht="16" x14ac:dyDescent="0.2">
      <c r="A55" s="133" t="s">
        <v>287</v>
      </c>
      <c r="B55">
        <f>B53</f>
        <v>1.9964539007092198E-2</v>
      </c>
      <c r="C55" t="str">
        <f>C53</f>
        <v>coke - IPCC</v>
      </c>
      <c r="D55" s="46">
        <v>0.5</v>
      </c>
      <c r="E55" t="str">
        <f>E53</f>
        <v>charcoal - IPCC</v>
      </c>
      <c r="F55">
        <f>F53</f>
        <v>0.01</v>
      </c>
      <c r="G55">
        <f>G53</f>
        <v>5.3999999999999999E-2</v>
      </c>
    </row>
    <row r="56" spans="1:7" ht="16" x14ac:dyDescent="0.2">
      <c r="A56" s="133" t="s">
        <v>289</v>
      </c>
      <c r="B56">
        <f>B53</f>
        <v>1.9964539007092198E-2</v>
      </c>
      <c r="C56" t="str">
        <f>C53</f>
        <v>coke - IPCC</v>
      </c>
      <c r="D56" s="46">
        <v>1</v>
      </c>
      <c r="E56" t="str">
        <f>E53</f>
        <v>charcoal - IPCC</v>
      </c>
      <c r="F56">
        <f>F53</f>
        <v>0.01</v>
      </c>
      <c r="G56">
        <f>G53</f>
        <v>5.3999999999999999E-2</v>
      </c>
    </row>
    <row r="57" spans="1:7" s="1" customFormat="1" ht="16" x14ac:dyDescent="0.2">
      <c r="A57" s="59" t="s">
        <v>290</v>
      </c>
      <c r="B57" s="1">
        <f>0.563/28.2</f>
        <v>1.9964539007092198E-2</v>
      </c>
      <c r="C57" s="1" t="s">
        <v>111</v>
      </c>
      <c r="D57" s="1">
        <v>0</v>
      </c>
      <c r="E57" s="1" t="s">
        <v>275</v>
      </c>
      <c r="F57" s="88">
        <v>0.01</v>
      </c>
      <c r="G57" s="1">
        <v>5.3999999999999999E-2</v>
      </c>
    </row>
    <row r="58" spans="1:7" ht="16" x14ac:dyDescent="0.2">
      <c r="A58" s="45" t="s">
        <v>291</v>
      </c>
      <c r="B58">
        <f>B57</f>
        <v>1.9964539007092198E-2</v>
      </c>
      <c r="C58" t="str">
        <f>C57</f>
        <v>coke - IPCC</v>
      </c>
      <c r="D58">
        <f t="shared" ref="D58:D62" si="13">D$25</f>
        <v>0</v>
      </c>
      <c r="E58" t="str">
        <f>E57</f>
        <v>charcoal - IPCC</v>
      </c>
      <c r="F58">
        <f>F57</f>
        <v>0.01</v>
      </c>
      <c r="G58">
        <f>G57</f>
        <v>5.3999999999999999E-2</v>
      </c>
    </row>
    <row r="59" spans="1:7" ht="16" x14ac:dyDescent="0.2">
      <c r="A59" s="133" t="s">
        <v>292</v>
      </c>
      <c r="B59">
        <f>B57</f>
        <v>1.9964539007092198E-2</v>
      </c>
      <c r="C59" t="str">
        <f>C57</f>
        <v>coke - IPCC</v>
      </c>
      <c r="D59" s="46">
        <v>0.5</v>
      </c>
      <c r="E59" t="str">
        <f>E57</f>
        <v>charcoal - IPCC</v>
      </c>
      <c r="F59">
        <f>F57</f>
        <v>0.01</v>
      </c>
      <c r="G59">
        <f>G57</f>
        <v>5.3999999999999999E-2</v>
      </c>
    </row>
    <row r="60" spans="1:7" ht="16" x14ac:dyDescent="0.2">
      <c r="A60" s="133" t="s">
        <v>293</v>
      </c>
      <c r="B60">
        <f>B57</f>
        <v>1.9964539007092198E-2</v>
      </c>
      <c r="C60" t="str">
        <f>C57</f>
        <v>coke - IPCC</v>
      </c>
      <c r="D60" s="46">
        <v>1</v>
      </c>
      <c r="E60" t="str">
        <f>E57</f>
        <v>charcoal - IPCC</v>
      </c>
      <c r="F60">
        <f>F57</f>
        <v>0.01</v>
      </c>
      <c r="G60">
        <f>G57</f>
        <v>5.3999999999999999E-2</v>
      </c>
    </row>
    <row r="61" spans="1:7" ht="16" x14ac:dyDescent="0.2">
      <c r="A61" s="133" t="s">
        <v>295</v>
      </c>
      <c r="B61" s="1">
        <v>0</v>
      </c>
      <c r="C61" s="86" t="s">
        <v>281</v>
      </c>
      <c r="D61" s="1">
        <v>0</v>
      </c>
      <c r="E61" s="1" t="s">
        <v>275</v>
      </c>
      <c r="F61" s="88">
        <v>0</v>
      </c>
      <c r="G61" s="88">
        <v>0</v>
      </c>
    </row>
    <row r="62" spans="1:7" ht="16" x14ac:dyDescent="0.2">
      <c r="A62" s="133" t="s">
        <v>296</v>
      </c>
      <c r="B62" s="51">
        <f>B61</f>
        <v>0</v>
      </c>
      <c r="C62" s="51" t="str">
        <f>C61</f>
        <v>coal bituminous - IPCC</v>
      </c>
      <c r="D62">
        <f t="shared" si="13"/>
        <v>0</v>
      </c>
      <c r="E62" s="51" t="str">
        <f>E61</f>
        <v>charcoal - IPCC</v>
      </c>
      <c r="F62" s="51">
        <f>F61</f>
        <v>0</v>
      </c>
      <c r="G62" s="51">
        <f>G61</f>
        <v>0</v>
      </c>
    </row>
    <row r="63" spans="1:7" ht="16" x14ac:dyDescent="0.2">
      <c r="A63" s="133" t="s">
        <v>297</v>
      </c>
      <c r="B63" s="51">
        <f>B61</f>
        <v>0</v>
      </c>
      <c r="C63" s="51" t="str">
        <f>C61</f>
        <v>coal bituminous - IPCC</v>
      </c>
      <c r="D63" s="46">
        <v>0.5</v>
      </c>
      <c r="E63" s="51" t="str">
        <f>E61</f>
        <v>charcoal - IPCC</v>
      </c>
      <c r="F63" s="51">
        <f>F61</f>
        <v>0</v>
      </c>
      <c r="G63" s="51">
        <f>G61</f>
        <v>0</v>
      </c>
    </row>
    <row r="64" spans="1:7" ht="16" x14ac:dyDescent="0.2">
      <c r="A64" s="133" t="s">
        <v>298</v>
      </c>
      <c r="B64" s="51">
        <f>B61</f>
        <v>0</v>
      </c>
      <c r="C64" s="51" t="str">
        <f>C61</f>
        <v>coal bituminous - IPCC</v>
      </c>
      <c r="D64" s="46">
        <v>1</v>
      </c>
      <c r="E64" s="51" t="str">
        <f>E61</f>
        <v>charcoal - IPCC</v>
      </c>
      <c r="F64" s="51">
        <f>F61</f>
        <v>0</v>
      </c>
      <c r="G64" s="51">
        <f>G61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6"/>
  <sheetViews>
    <sheetView workbookViewId="0">
      <pane xSplit="1" ySplit="2" topLeftCell="B37" activePane="bottomRight" state="frozen"/>
      <selection pane="topRight" activeCell="B1" sqref="B1"/>
      <selection pane="bottomLeft" activeCell="A3" sqref="A3"/>
      <selection pane="bottomRight" activeCell="C66" sqref="C66"/>
    </sheetView>
  </sheetViews>
  <sheetFormatPr baseColWidth="10" defaultColWidth="8.83203125" defaultRowHeight="15" x14ac:dyDescent="0.2"/>
  <cols>
    <col min="1" max="1" width="22.1640625" style="28" customWidth="1"/>
    <col min="2" max="2" width="18.1640625" style="28" customWidth="1"/>
    <col min="3" max="3" width="17.33203125" style="28" customWidth="1"/>
    <col min="4" max="4" width="17.83203125" style="28" bestFit="1" customWidth="1"/>
    <col min="5" max="5" width="11.83203125" style="28" bestFit="1" customWidth="1"/>
    <col min="6" max="6" width="13.6640625" style="28" bestFit="1" customWidth="1"/>
    <col min="7" max="7" width="17.83203125" style="28" bestFit="1" customWidth="1"/>
    <col min="8" max="16384" width="8.83203125" style="28"/>
  </cols>
  <sheetData>
    <row r="1" spans="1:8" x14ac:dyDescent="0.2">
      <c r="A1" s="86" t="s">
        <v>0</v>
      </c>
      <c r="B1" s="28" t="s">
        <v>10</v>
      </c>
      <c r="C1" s="28" t="s">
        <v>21</v>
      </c>
      <c r="D1" s="28" t="s">
        <v>11</v>
      </c>
      <c r="E1" s="28" t="s">
        <v>12</v>
      </c>
      <c r="F1" s="28" t="s">
        <v>14</v>
      </c>
      <c r="G1" s="28" t="s">
        <v>7</v>
      </c>
      <c r="H1" s="28" t="s">
        <v>2</v>
      </c>
    </row>
    <row r="2" spans="1:8" x14ac:dyDescent="0.2">
      <c r="A2" s="135" t="s">
        <v>1</v>
      </c>
      <c r="B2" s="28" t="s">
        <v>23</v>
      </c>
      <c r="D2" s="28" t="s">
        <v>23</v>
      </c>
      <c r="F2" s="28" t="s">
        <v>24</v>
      </c>
      <c r="G2" s="28" t="s">
        <v>45</v>
      </c>
    </row>
    <row r="3" spans="1:8" x14ac:dyDescent="0.2">
      <c r="A3" s="135" t="s">
        <v>2</v>
      </c>
    </row>
    <row r="4" spans="1:8" x14ac:dyDescent="0.2">
      <c r="A4" s="28" t="s">
        <v>3</v>
      </c>
      <c r="B4" s="29">
        <f>0.012/1.4</f>
        <v>8.5714285714285719E-3</v>
      </c>
      <c r="C4" s="28" t="s">
        <v>257</v>
      </c>
      <c r="D4" s="28">
        <v>0</v>
      </c>
      <c r="E4" s="28" t="s">
        <v>275</v>
      </c>
      <c r="F4" s="29">
        <f>0.133*0.56/1.3</f>
        <v>5.7292307692307691E-2</v>
      </c>
      <c r="G4" s="29">
        <v>0</v>
      </c>
    </row>
    <row r="5" spans="1:8" hidden="1" x14ac:dyDescent="0.2">
      <c r="A5" s="28" t="s">
        <v>55</v>
      </c>
      <c r="B5" s="29">
        <v>0.04</v>
      </c>
      <c r="C5" s="28" t="s">
        <v>111</v>
      </c>
      <c r="D5" s="28">
        <v>0</v>
      </c>
      <c r="E5" s="28" t="s">
        <v>275</v>
      </c>
      <c r="F5" s="29">
        <v>0.1</v>
      </c>
      <c r="G5" s="29">
        <v>0.14000000000000001</v>
      </c>
    </row>
    <row r="6" spans="1:8" hidden="1" x14ac:dyDescent="0.2">
      <c r="A6" s="28" t="s">
        <v>106</v>
      </c>
      <c r="B6" s="29">
        <v>5.1040000000000002E-2</v>
      </c>
      <c r="C6" s="28" t="s">
        <v>112</v>
      </c>
      <c r="D6" s="28">
        <v>0</v>
      </c>
      <c r="E6" s="28" t="s">
        <v>275</v>
      </c>
      <c r="F6" s="150">
        <f>0.1407*0.56</f>
        <v>7.8792000000000001E-2</v>
      </c>
      <c r="G6" s="29">
        <f>4.93*Ref!B18</f>
        <v>1.7748E-2</v>
      </c>
    </row>
    <row r="7" spans="1:8" hidden="1" x14ac:dyDescent="0.2">
      <c r="A7" s="28" t="s">
        <v>107</v>
      </c>
      <c r="B7" s="29">
        <v>0.05</v>
      </c>
      <c r="C7" s="28" t="s">
        <v>111</v>
      </c>
      <c r="D7" s="28">
        <v>0</v>
      </c>
      <c r="E7" s="28" t="s">
        <v>275</v>
      </c>
      <c r="F7" s="29">
        <v>9.4E-2</v>
      </c>
      <c r="G7" s="29">
        <v>0.1152</v>
      </c>
    </row>
    <row r="8" spans="1:8" hidden="1" x14ac:dyDescent="0.2">
      <c r="A8" s="28" t="s">
        <v>108</v>
      </c>
      <c r="B8" s="29">
        <v>0.04</v>
      </c>
      <c r="C8" s="28" t="s">
        <v>115</v>
      </c>
      <c r="D8" s="28">
        <v>0</v>
      </c>
      <c r="E8" s="28" t="s">
        <v>275</v>
      </c>
      <c r="F8" s="107">
        <f>0.15*0.56</f>
        <v>8.4000000000000005E-2</v>
      </c>
      <c r="G8" s="29">
        <v>0.14000000000000001</v>
      </c>
    </row>
    <row r="9" spans="1:8" hidden="1" x14ac:dyDescent="0.2">
      <c r="A9" s="28" t="s">
        <v>109</v>
      </c>
      <c r="B9" s="107">
        <v>0.05</v>
      </c>
      <c r="C9" s="28" t="s">
        <v>111</v>
      </c>
      <c r="D9" s="28">
        <v>0</v>
      </c>
      <c r="E9" s="28" t="s">
        <v>275</v>
      </c>
      <c r="F9" s="141">
        <v>8.4699999999999998E-2</v>
      </c>
      <c r="G9" s="107">
        <v>0.1</v>
      </c>
    </row>
    <row r="10" spans="1:8" hidden="1" x14ac:dyDescent="0.2">
      <c r="A10" s="28" t="s">
        <v>110</v>
      </c>
      <c r="B10" s="141">
        <f>1.44/30.23</f>
        <v>4.7634799867681106E-2</v>
      </c>
      <c r="C10" s="28" t="s">
        <v>118</v>
      </c>
      <c r="D10" s="139">
        <v>0</v>
      </c>
      <c r="E10" s="139" t="s">
        <v>275</v>
      </c>
      <c r="F10" s="107">
        <f>0.15*0.56</f>
        <v>8.4000000000000005E-2</v>
      </c>
      <c r="G10" s="141">
        <f>0.1</f>
        <v>0.1</v>
      </c>
      <c r="H10" s="28" t="s">
        <v>153</v>
      </c>
    </row>
    <row r="11" spans="1:8" hidden="1" x14ac:dyDescent="0.2">
      <c r="A11" s="28" t="s">
        <v>126</v>
      </c>
      <c r="B11" s="29">
        <f>B9</f>
        <v>0.05</v>
      </c>
      <c r="C11" s="28" t="s">
        <v>111</v>
      </c>
      <c r="D11" s="28">
        <v>0</v>
      </c>
      <c r="E11" s="28" t="s">
        <v>275</v>
      </c>
      <c r="F11" s="107">
        <f>0.15*0.56</f>
        <v>8.4000000000000005E-2</v>
      </c>
      <c r="G11" s="107">
        <v>0.1</v>
      </c>
    </row>
    <row r="12" spans="1:8" hidden="1" x14ac:dyDescent="0.2">
      <c r="A12" s="28" t="s">
        <v>125</v>
      </c>
      <c r="B12" s="29">
        <f>AVERAGE(B6:B11)</f>
        <v>4.8112466644613515E-2</v>
      </c>
      <c r="C12" s="129"/>
      <c r="D12" s="129">
        <f>AVERAGE(D6:D11)</f>
        <v>0</v>
      </c>
      <c r="E12" s="129"/>
      <c r="F12" s="29">
        <f>AVERAGE(F6:F11)</f>
        <v>8.4915333333333343E-2</v>
      </c>
      <c r="G12" s="29">
        <f>AVERAGE(G6:G11)</f>
        <v>9.5491333333333331E-2</v>
      </c>
    </row>
    <row r="13" spans="1:8" hidden="1" x14ac:dyDescent="0.2">
      <c r="A13" s="28" t="s">
        <v>130</v>
      </c>
      <c r="B13" s="29">
        <f>B$7</f>
        <v>0.05</v>
      </c>
      <c r="C13" s="28" t="str">
        <f t="shared" ref="C13:C16" si="0">C$7</f>
        <v>coke - IPCC</v>
      </c>
      <c r="D13" s="28">
        <v>0</v>
      </c>
      <c r="E13" s="28" t="str">
        <f>E$7</f>
        <v>charcoal - IPCC</v>
      </c>
      <c r="F13" s="29">
        <f>F$7</f>
        <v>9.4E-2</v>
      </c>
      <c r="G13" s="29">
        <f>G$7</f>
        <v>0.1152</v>
      </c>
    </row>
    <row r="14" spans="1:8" hidden="1" x14ac:dyDescent="0.2">
      <c r="A14" s="28" t="s">
        <v>131</v>
      </c>
      <c r="B14" s="29">
        <f t="shared" ref="B14:B16" si="1">B$7</f>
        <v>0.05</v>
      </c>
      <c r="C14" s="28" t="str">
        <f t="shared" si="0"/>
        <v>coke - IPCC</v>
      </c>
      <c r="D14" s="28">
        <v>0.5</v>
      </c>
      <c r="E14" s="28" t="str">
        <f t="shared" ref="E14:G16" si="2">E$7</f>
        <v>charcoal - IPCC</v>
      </c>
      <c r="F14" s="29">
        <f t="shared" si="2"/>
        <v>9.4E-2</v>
      </c>
      <c r="G14" s="29">
        <f t="shared" si="2"/>
        <v>0.1152</v>
      </c>
    </row>
    <row r="15" spans="1:8" hidden="1" x14ac:dyDescent="0.2">
      <c r="A15" s="28" t="s">
        <v>132</v>
      </c>
      <c r="B15" s="29">
        <f t="shared" si="1"/>
        <v>0.05</v>
      </c>
      <c r="C15" s="28" t="str">
        <f t="shared" si="0"/>
        <v>coke - IPCC</v>
      </c>
      <c r="D15" s="28">
        <v>1</v>
      </c>
      <c r="E15" s="28" t="str">
        <f t="shared" si="2"/>
        <v>charcoal - IPCC</v>
      </c>
      <c r="F15" s="29">
        <f t="shared" si="2"/>
        <v>9.4E-2</v>
      </c>
      <c r="G15" s="29">
        <f t="shared" si="2"/>
        <v>0.1152</v>
      </c>
    </row>
    <row r="16" spans="1:8" hidden="1" x14ac:dyDescent="0.2">
      <c r="A16" s="28" t="s">
        <v>133</v>
      </c>
      <c r="B16" s="29">
        <f t="shared" si="1"/>
        <v>0.05</v>
      </c>
      <c r="C16" s="28" t="str">
        <f t="shared" si="0"/>
        <v>coke - IPCC</v>
      </c>
      <c r="D16" s="28">
        <v>0.2</v>
      </c>
      <c r="E16" s="28" t="str">
        <f t="shared" si="2"/>
        <v>charcoal - IPCC</v>
      </c>
      <c r="F16" s="29">
        <f t="shared" si="2"/>
        <v>9.4E-2</v>
      </c>
      <c r="G16" s="29">
        <f t="shared" si="2"/>
        <v>0.1152</v>
      </c>
    </row>
    <row r="17" spans="1:8" hidden="1" x14ac:dyDescent="0.2">
      <c r="A17" s="162" t="s">
        <v>135</v>
      </c>
      <c r="B17" s="29">
        <v>0.05</v>
      </c>
      <c r="C17" s="28" t="s">
        <v>136</v>
      </c>
      <c r="D17" s="28">
        <v>0</v>
      </c>
      <c r="E17" s="28" t="s">
        <v>275</v>
      </c>
      <c r="F17" s="29">
        <v>9.4E-2</v>
      </c>
      <c r="G17" s="29">
        <v>0.1152</v>
      </c>
    </row>
    <row r="18" spans="1:8" hidden="1" x14ac:dyDescent="0.2">
      <c r="A18" s="28" t="s">
        <v>150</v>
      </c>
      <c r="B18" s="29">
        <f>B20</f>
        <v>4.4468085106382983E-2</v>
      </c>
      <c r="C18" s="28" t="s">
        <v>111</v>
      </c>
      <c r="D18" s="28">
        <v>0</v>
      </c>
      <c r="E18" s="28" t="s">
        <v>275</v>
      </c>
      <c r="F18" s="107">
        <f>(0.56*131.1+10.2)/1000</f>
        <v>8.3615999999999996E-2</v>
      </c>
      <c r="G18" s="29">
        <f>G20</f>
        <v>9.1999999999999998E-2</v>
      </c>
    </row>
    <row r="19" spans="1:8" hidden="1" x14ac:dyDescent="0.2">
      <c r="A19" s="28" t="s">
        <v>151</v>
      </c>
      <c r="B19" s="138">
        <f>1.2766/28.2</f>
        <v>4.5269503546099293E-2</v>
      </c>
      <c r="C19" s="28" t="s">
        <v>111</v>
      </c>
      <c r="D19" s="28">
        <v>0</v>
      </c>
      <c r="E19" s="28" t="s">
        <v>275</v>
      </c>
      <c r="F19" s="29">
        <f>(0.56*131.1+10.2)/1000</f>
        <v>8.3615999999999996E-2</v>
      </c>
      <c r="G19" s="107">
        <f>(0.092+0.155)/2</f>
        <v>0.1235</v>
      </c>
      <c r="H19" s="28">
        <v>2004</v>
      </c>
    </row>
    <row r="20" spans="1:8" hidden="1" x14ac:dyDescent="0.2">
      <c r="A20" s="28" t="s">
        <v>142</v>
      </c>
      <c r="B20" s="138">
        <f>1.254/28.2</f>
        <v>4.4468085106382983E-2</v>
      </c>
      <c r="C20" s="28" t="s">
        <v>111</v>
      </c>
      <c r="D20" s="28">
        <v>0</v>
      </c>
      <c r="E20" s="28" t="s">
        <v>275</v>
      </c>
      <c r="F20" s="107">
        <f>(0.56*131.1+10.2)/1000</f>
        <v>8.3615999999999996E-2</v>
      </c>
      <c r="G20" s="29">
        <v>9.1999999999999998E-2</v>
      </c>
      <c r="H20" s="28">
        <v>2004</v>
      </c>
    </row>
    <row r="21" spans="1:8" hidden="1" x14ac:dyDescent="0.2">
      <c r="A21" s="28" t="s">
        <v>152</v>
      </c>
      <c r="B21" s="138">
        <f>1.2/28.2</f>
        <v>4.2553191489361701E-2</v>
      </c>
      <c r="C21" s="28" t="s">
        <v>111</v>
      </c>
      <c r="F21" s="29">
        <v>0</v>
      </c>
      <c r="G21" s="29"/>
    </row>
    <row r="22" spans="1:8" hidden="1" x14ac:dyDescent="0.2">
      <c r="A22" s="28" t="s">
        <v>155</v>
      </c>
      <c r="B22" s="141">
        <f>1.37/30.23</f>
        <v>4.531921931855773E-2</v>
      </c>
      <c r="C22" s="28" t="s">
        <v>111</v>
      </c>
      <c r="F22" s="29"/>
      <c r="G22" s="29">
        <v>0.1</v>
      </c>
    </row>
    <row r="23" spans="1:8" hidden="1" x14ac:dyDescent="0.2">
      <c r="A23" s="28" t="s">
        <v>165</v>
      </c>
      <c r="B23" s="138">
        <f>1.29/28.2</f>
        <v>4.5744680851063833E-2</v>
      </c>
      <c r="F23" s="29"/>
      <c r="G23" s="29"/>
    </row>
    <row r="24" spans="1:8" hidden="1" x14ac:dyDescent="0.2">
      <c r="A24" s="28" t="s">
        <v>157</v>
      </c>
      <c r="B24" s="29">
        <f>0.044</f>
        <v>4.3999999999999997E-2</v>
      </c>
      <c r="C24" s="28" t="s">
        <v>111</v>
      </c>
      <c r="D24" s="28">
        <v>0</v>
      </c>
      <c r="E24" s="28" t="s">
        <v>275</v>
      </c>
      <c r="F24" s="107">
        <f>(0.56*131.1+10.2)/1000</f>
        <v>8.3615999999999996E-2</v>
      </c>
      <c r="G24" s="29">
        <f>G59</f>
        <v>9.1999999999999998E-2</v>
      </c>
    </row>
    <row r="25" spans="1:8" hidden="1" x14ac:dyDescent="0.2">
      <c r="A25" s="48" t="s">
        <v>234</v>
      </c>
      <c r="B25" s="136">
        <v>5.1040000000000002E-2</v>
      </c>
      <c r="C25" s="47" t="s">
        <v>112</v>
      </c>
      <c r="D25" s="47">
        <v>0</v>
      </c>
      <c r="E25" s="47" t="s">
        <v>275</v>
      </c>
      <c r="F25" s="163">
        <f>0.1407*0.56</f>
        <v>7.8792000000000001E-2</v>
      </c>
      <c r="G25" s="136">
        <f>4.93*Ref!B18</f>
        <v>1.7748E-2</v>
      </c>
    </row>
    <row r="26" spans="1:8" hidden="1" x14ac:dyDescent="0.2">
      <c r="A26" s="48" t="s">
        <v>235</v>
      </c>
      <c r="B26" s="29">
        <f>43.2/0.88</f>
        <v>49.090909090909093</v>
      </c>
      <c r="C26" s="28" t="s">
        <v>237</v>
      </c>
      <c r="F26" s="108">
        <f>0.01109*(56/12)</f>
        <v>5.1753333333333332E-2</v>
      </c>
      <c r="G26" s="29"/>
      <c r="H26" s="28" t="s">
        <v>238</v>
      </c>
    </row>
    <row r="27" spans="1:8" s="86" customFormat="1" ht="16" x14ac:dyDescent="0.2">
      <c r="A27" s="59" t="s">
        <v>197</v>
      </c>
      <c r="B27" s="164">
        <f>1.2766/28.2</f>
        <v>4.5269503546099293E-2</v>
      </c>
      <c r="C27" s="86" t="s">
        <v>111</v>
      </c>
      <c r="D27" s="86">
        <v>0</v>
      </c>
      <c r="E27" s="86" t="s">
        <v>275</v>
      </c>
      <c r="F27" s="143">
        <v>8.5000000000000006E-2</v>
      </c>
      <c r="G27" s="92">
        <f>(0.092+0.155)/2</f>
        <v>0.1235</v>
      </c>
      <c r="H27" s="86">
        <v>2004</v>
      </c>
    </row>
    <row r="28" spans="1:8" ht="16" x14ac:dyDescent="0.2">
      <c r="A28" s="45" t="s">
        <v>198</v>
      </c>
      <c r="B28" s="29">
        <f>B$27</f>
        <v>4.5269503546099293E-2</v>
      </c>
      <c r="C28" s="81" t="str">
        <f>C$27</f>
        <v>coke - IPCC</v>
      </c>
      <c r="D28" s="28">
        <f>D$24</f>
        <v>0</v>
      </c>
      <c r="E28" s="28" t="str">
        <f>E$24</f>
        <v>charcoal - IPCC</v>
      </c>
      <c r="F28" s="29">
        <f>F$27</f>
        <v>8.5000000000000006E-2</v>
      </c>
      <c r="G28" s="29">
        <f>G$27</f>
        <v>0.1235</v>
      </c>
    </row>
    <row r="29" spans="1:8" ht="16" x14ac:dyDescent="0.2">
      <c r="A29" s="45" t="s">
        <v>199</v>
      </c>
      <c r="B29" s="29">
        <f>B$27</f>
        <v>4.5269503546099293E-2</v>
      </c>
      <c r="C29" s="81" t="str">
        <f>C$27</f>
        <v>coke - IPCC</v>
      </c>
      <c r="D29" s="130">
        <v>0.5</v>
      </c>
      <c r="E29" s="28" t="str">
        <f>E$24</f>
        <v>charcoal - IPCC</v>
      </c>
      <c r="F29" s="29">
        <f>F$27</f>
        <v>8.5000000000000006E-2</v>
      </c>
      <c r="G29" s="29">
        <f>G$27</f>
        <v>0.1235</v>
      </c>
    </row>
    <row r="30" spans="1:8" ht="16" x14ac:dyDescent="0.2">
      <c r="A30" s="45" t="s">
        <v>200</v>
      </c>
      <c r="B30" s="29">
        <f t="shared" ref="B30:C30" si="3">B$27</f>
        <v>4.5269503546099293E-2</v>
      </c>
      <c r="C30" s="81" t="str">
        <f t="shared" si="3"/>
        <v>coke - IPCC</v>
      </c>
      <c r="D30" s="130">
        <v>1</v>
      </c>
      <c r="E30" s="28" t="str">
        <f>E$24</f>
        <v>charcoal - IPCC</v>
      </c>
      <c r="F30" s="29">
        <f t="shared" ref="F30:G30" si="4">F$27</f>
        <v>8.5000000000000006E-2</v>
      </c>
      <c r="G30" s="29">
        <f t="shared" si="4"/>
        <v>0.1235</v>
      </c>
    </row>
    <row r="31" spans="1:8" s="86" customFormat="1" ht="16" x14ac:dyDescent="0.2">
      <c r="A31" s="59" t="s">
        <v>202</v>
      </c>
      <c r="B31" s="92">
        <v>5.1040000000000002E-2</v>
      </c>
      <c r="C31" s="86" t="s">
        <v>111</v>
      </c>
      <c r="D31" s="86">
        <v>0</v>
      </c>
      <c r="E31" s="86" t="s">
        <v>275</v>
      </c>
      <c r="F31" s="165">
        <v>8.5000000000000006E-2</v>
      </c>
      <c r="G31" s="143">
        <f>4.93*Ref!B$18</f>
        <v>1.7748E-2</v>
      </c>
    </row>
    <row r="32" spans="1:8" ht="16" x14ac:dyDescent="0.2">
      <c r="A32" s="45" t="s">
        <v>205</v>
      </c>
      <c r="B32" s="29">
        <f t="shared" ref="B32:C33" si="5">B$31</f>
        <v>5.1040000000000002E-2</v>
      </c>
      <c r="C32" s="28" t="str">
        <f t="shared" si="5"/>
        <v>coke - IPCC</v>
      </c>
      <c r="D32" s="28">
        <f>D$24</f>
        <v>0</v>
      </c>
      <c r="E32" s="28" t="str">
        <f>E$24</f>
        <v>charcoal - IPCC</v>
      </c>
      <c r="F32" s="108">
        <f t="shared" ref="F32:G32" si="6">F$31</f>
        <v>8.5000000000000006E-2</v>
      </c>
      <c r="G32" s="29">
        <f t="shared" si="6"/>
        <v>1.7748E-2</v>
      </c>
    </row>
    <row r="33" spans="1:8" ht="16" x14ac:dyDescent="0.2">
      <c r="A33" s="45" t="s">
        <v>207</v>
      </c>
      <c r="B33" s="29">
        <f t="shared" si="5"/>
        <v>5.1040000000000002E-2</v>
      </c>
      <c r="C33" s="28" t="str">
        <f t="shared" si="5"/>
        <v>coke - IPCC</v>
      </c>
      <c r="D33" s="130">
        <v>0.5</v>
      </c>
      <c r="E33" s="28" t="str">
        <f>E$24</f>
        <v>charcoal - IPCC</v>
      </c>
      <c r="F33" s="29">
        <f t="shared" ref="F33:G33" si="7">F$31</f>
        <v>8.5000000000000006E-2</v>
      </c>
      <c r="G33" s="29">
        <f t="shared" si="7"/>
        <v>1.7748E-2</v>
      </c>
    </row>
    <row r="34" spans="1:8" ht="16" x14ac:dyDescent="0.2">
      <c r="A34" s="45" t="s">
        <v>210</v>
      </c>
      <c r="B34" s="29">
        <f>B$31</f>
        <v>5.1040000000000002E-2</v>
      </c>
      <c r="C34" s="28" t="str">
        <f t="shared" ref="C34" si="8">C$31</f>
        <v>coke - IPCC</v>
      </c>
      <c r="D34" s="130">
        <v>1</v>
      </c>
      <c r="E34" s="28" t="str">
        <f>E$24</f>
        <v>charcoal - IPCC</v>
      </c>
      <c r="F34" s="29">
        <f t="shared" ref="F34:G34" si="9">F$31</f>
        <v>8.5000000000000006E-2</v>
      </c>
      <c r="G34" s="29">
        <f t="shared" si="9"/>
        <v>1.7748E-2</v>
      </c>
    </row>
    <row r="35" spans="1:8" s="86" customFormat="1" x14ac:dyDescent="0.2">
      <c r="A35" s="60" t="s">
        <v>212</v>
      </c>
      <c r="B35" s="143">
        <v>0.04</v>
      </c>
      <c r="C35" s="86" t="s">
        <v>111</v>
      </c>
      <c r="D35" s="86">
        <v>0</v>
      </c>
      <c r="E35" s="86" t="s">
        <v>275</v>
      </c>
      <c r="F35" s="92">
        <v>8.5000000000000006E-2</v>
      </c>
      <c r="G35" s="143">
        <v>0.14000000000000001</v>
      </c>
    </row>
    <row r="36" spans="1:8" x14ac:dyDescent="0.2">
      <c r="A36" s="44" t="s">
        <v>213</v>
      </c>
      <c r="B36" s="29">
        <f t="shared" ref="B36:C38" si="10">B$35</f>
        <v>0.04</v>
      </c>
      <c r="C36" s="28" t="str">
        <f t="shared" si="10"/>
        <v>coke - IPCC</v>
      </c>
      <c r="D36" s="28">
        <f t="shared" ref="D36:E38" si="11">D$24</f>
        <v>0</v>
      </c>
      <c r="E36" s="28" t="str">
        <f t="shared" si="11"/>
        <v>charcoal - IPCC</v>
      </c>
      <c r="F36" s="29">
        <f t="shared" ref="F36:G38" si="12">F$35</f>
        <v>8.5000000000000006E-2</v>
      </c>
      <c r="G36" s="29">
        <f t="shared" si="12"/>
        <v>0.14000000000000001</v>
      </c>
    </row>
    <row r="37" spans="1:8" x14ac:dyDescent="0.2">
      <c r="A37" s="44" t="s">
        <v>214</v>
      </c>
      <c r="B37" s="29">
        <f t="shared" si="10"/>
        <v>0.04</v>
      </c>
      <c r="C37" s="28" t="str">
        <f t="shared" si="10"/>
        <v>coke - IPCC</v>
      </c>
      <c r="D37" s="130">
        <v>0.5</v>
      </c>
      <c r="E37" s="28" t="str">
        <f t="shared" si="11"/>
        <v>charcoal - IPCC</v>
      </c>
      <c r="F37" s="29">
        <f t="shared" si="12"/>
        <v>8.5000000000000006E-2</v>
      </c>
      <c r="G37" s="29">
        <f t="shared" si="12"/>
        <v>0.14000000000000001</v>
      </c>
    </row>
    <row r="38" spans="1:8" x14ac:dyDescent="0.2">
      <c r="A38" s="44" t="s">
        <v>215</v>
      </c>
      <c r="B38" s="29">
        <f t="shared" si="10"/>
        <v>0.04</v>
      </c>
      <c r="C38" s="28" t="str">
        <f t="shared" si="10"/>
        <v>coke - IPCC</v>
      </c>
      <c r="D38" s="130">
        <v>1</v>
      </c>
      <c r="E38" s="28" t="str">
        <f t="shared" si="11"/>
        <v>charcoal - IPCC</v>
      </c>
      <c r="F38" s="29">
        <f t="shared" si="12"/>
        <v>8.5000000000000006E-2</v>
      </c>
      <c r="G38" s="29">
        <f t="shared" si="12"/>
        <v>0.14000000000000001</v>
      </c>
    </row>
    <row r="39" spans="1:8" s="86" customFormat="1" x14ac:dyDescent="0.2">
      <c r="A39" s="60" t="s">
        <v>217</v>
      </c>
      <c r="B39" s="92">
        <v>0.05</v>
      </c>
      <c r="C39" s="86" t="s">
        <v>111</v>
      </c>
      <c r="D39" s="86">
        <v>0</v>
      </c>
      <c r="E39" s="86" t="s">
        <v>275</v>
      </c>
      <c r="F39" s="145">
        <v>8.4699999999999998E-2</v>
      </c>
      <c r="G39" s="92">
        <v>0.1</v>
      </c>
    </row>
    <row r="40" spans="1:8" x14ac:dyDescent="0.2">
      <c r="A40" s="44" t="s">
        <v>218</v>
      </c>
      <c r="B40" s="51">
        <f t="shared" ref="B40:C42" si="13">B$39</f>
        <v>0.05</v>
      </c>
      <c r="C40" s="50" t="str">
        <f t="shared" si="13"/>
        <v>coke - IPCC</v>
      </c>
      <c r="D40" s="28">
        <f t="shared" ref="D40:E42" si="14">D$24</f>
        <v>0</v>
      </c>
      <c r="E40" s="28" t="str">
        <f t="shared" si="14"/>
        <v>charcoal - IPCC</v>
      </c>
      <c r="F40" s="51">
        <f t="shared" ref="F40:G42" si="15">F$39</f>
        <v>8.4699999999999998E-2</v>
      </c>
      <c r="G40" s="51">
        <f t="shared" si="15"/>
        <v>0.1</v>
      </c>
    </row>
    <row r="41" spans="1:8" x14ac:dyDescent="0.2">
      <c r="A41" s="44" t="s">
        <v>219</v>
      </c>
      <c r="B41" s="51">
        <f t="shared" si="13"/>
        <v>0.05</v>
      </c>
      <c r="C41" s="50" t="str">
        <f t="shared" si="13"/>
        <v>coke - IPCC</v>
      </c>
      <c r="D41" s="130">
        <v>0.5</v>
      </c>
      <c r="E41" s="28" t="str">
        <f t="shared" si="14"/>
        <v>charcoal - IPCC</v>
      </c>
      <c r="F41" s="51">
        <f t="shared" si="15"/>
        <v>8.4699999999999998E-2</v>
      </c>
      <c r="G41" s="51">
        <f t="shared" si="15"/>
        <v>0.1</v>
      </c>
    </row>
    <row r="42" spans="1:8" x14ac:dyDescent="0.2">
      <c r="A42" s="44" t="s">
        <v>220</v>
      </c>
      <c r="B42" s="51">
        <f t="shared" si="13"/>
        <v>0.05</v>
      </c>
      <c r="C42" s="50" t="str">
        <f t="shared" si="13"/>
        <v>coke - IPCC</v>
      </c>
      <c r="D42" s="130">
        <v>1</v>
      </c>
      <c r="E42" s="28" t="str">
        <f t="shared" si="14"/>
        <v>charcoal - IPCC</v>
      </c>
      <c r="F42" s="51">
        <f t="shared" si="15"/>
        <v>8.4699999999999998E-2</v>
      </c>
      <c r="G42" s="51">
        <f t="shared" si="15"/>
        <v>0.1</v>
      </c>
    </row>
    <row r="43" spans="1:8" x14ac:dyDescent="0.2">
      <c r="A43" s="60" t="s">
        <v>222</v>
      </c>
      <c r="B43" s="141">
        <f>1.44/30.23</f>
        <v>4.7634799867681106E-2</v>
      </c>
      <c r="C43" s="86" t="s">
        <v>111</v>
      </c>
      <c r="D43" s="139">
        <v>0</v>
      </c>
      <c r="E43" s="139" t="s">
        <v>275</v>
      </c>
      <c r="F43" s="107">
        <v>8.5000000000000006E-2</v>
      </c>
      <c r="G43" s="141">
        <f>0.1</f>
        <v>0.1</v>
      </c>
      <c r="H43" s="28" t="s">
        <v>153</v>
      </c>
    </row>
    <row r="44" spans="1:8" x14ac:dyDescent="0.2">
      <c r="A44" s="44" t="s">
        <v>223</v>
      </c>
      <c r="B44" s="29">
        <f t="shared" ref="B44:C51" si="16">B$43</f>
        <v>4.7634799867681106E-2</v>
      </c>
      <c r="C44" s="129" t="str">
        <f t="shared" si="16"/>
        <v>coke - IPCC</v>
      </c>
      <c r="D44" s="28">
        <f t="shared" ref="D44:E46" si="17">D$24</f>
        <v>0</v>
      </c>
      <c r="E44" s="28" t="str">
        <f t="shared" si="17"/>
        <v>charcoal - IPCC</v>
      </c>
      <c r="F44" s="29">
        <f t="shared" ref="F44:G46" si="18">F$43</f>
        <v>8.5000000000000006E-2</v>
      </c>
      <c r="G44" s="29">
        <f t="shared" si="18"/>
        <v>0.1</v>
      </c>
    </row>
    <row r="45" spans="1:8" x14ac:dyDescent="0.2">
      <c r="A45" s="44" t="s">
        <v>224</v>
      </c>
      <c r="B45" s="29">
        <f t="shared" si="16"/>
        <v>4.7634799867681106E-2</v>
      </c>
      <c r="C45" s="129" t="str">
        <f t="shared" si="16"/>
        <v>coke - IPCC</v>
      </c>
      <c r="D45" s="130">
        <v>0.5</v>
      </c>
      <c r="E45" s="28" t="str">
        <f t="shared" si="17"/>
        <v>charcoal - IPCC</v>
      </c>
      <c r="F45" s="29">
        <f t="shared" si="18"/>
        <v>8.5000000000000006E-2</v>
      </c>
      <c r="G45" s="29">
        <f t="shared" si="18"/>
        <v>0.1</v>
      </c>
    </row>
    <row r="46" spans="1:8" x14ac:dyDescent="0.2">
      <c r="A46" s="44" t="s">
        <v>225</v>
      </c>
      <c r="B46" s="29">
        <f t="shared" si="16"/>
        <v>4.7634799867681106E-2</v>
      </c>
      <c r="C46" s="129" t="str">
        <f t="shared" si="16"/>
        <v>coke - IPCC</v>
      </c>
      <c r="D46" s="130">
        <v>1</v>
      </c>
      <c r="E46" s="28" t="str">
        <f t="shared" si="17"/>
        <v>charcoal - IPCC</v>
      </c>
      <c r="F46" s="29">
        <f t="shared" si="18"/>
        <v>8.5000000000000006E-2</v>
      </c>
      <c r="G46" s="29">
        <f t="shared" si="18"/>
        <v>0.1</v>
      </c>
    </row>
    <row r="47" spans="1:8" s="86" customFormat="1" x14ac:dyDescent="0.2">
      <c r="A47" s="60" t="s">
        <v>227</v>
      </c>
      <c r="B47" s="92">
        <f>1.44/30.23</f>
        <v>4.7634799867681106E-2</v>
      </c>
      <c r="C47" s="86" t="s">
        <v>111</v>
      </c>
      <c r="D47" s="86">
        <v>0</v>
      </c>
      <c r="E47" s="86" t="s">
        <v>275</v>
      </c>
      <c r="F47" s="92">
        <v>8.5000000000000006E-2</v>
      </c>
      <c r="G47" s="92">
        <v>0.1</v>
      </c>
    </row>
    <row r="48" spans="1:8" x14ac:dyDescent="0.2">
      <c r="A48" s="44" t="s">
        <v>228</v>
      </c>
      <c r="B48" s="51">
        <f>B$47</f>
        <v>4.7634799867681106E-2</v>
      </c>
      <c r="C48" s="52" t="str">
        <f>C$47</f>
        <v>coke - IPCC</v>
      </c>
      <c r="D48" s="28">
        <f t="shared" ref="D48:E50" si="19">D$24</f>
        <v>0</v>
      </c>
      <c r="E48" s="28" t="str">
        <f t="shared" si="19"/>
        <v>charcoal - IPCC</v>
      </c>
      <c r="F48" s="51">
        <f>F$47</f>
        <v>8.5000000000000006E-2</v>
      </c>
      <c r="G48" s="51">
        <f>G$47</f>
        <v>0.1</v>
      </c>
    </row>
    <row r="49" spans="1:7" x14ac:dyDescent="0.2">
      <c r="A49" s="44" t="s">
        <v>229</v>
      </c>
      <c r="B49" s="51">
        <f>B$47</f>
        <v>4.7634799867681106E-2</v>
      </c>
      <c r="C49" s="52" t="str">
        <f>C$47</f>
        <v>coke - IPCC</v>
      </c>
      <c r="D49" s="130">
        <v>0.5</v>
      </c>
      <c r="E49" s="28" t="str">
        <f t="shared" si="19"/>
        <v>charcoal - IPCC</v>
      </c>
      <c r="F49" s="51">
        <f>F$47</f>
        <v>8.5000000000000006E-2</v>
      </c>
      <c r="G49" s="51">
        <f>G$47</f>
        <v>0.1</v>
      </c>
    </row>
    <row r="50" spans="1:7" x14ac:dyDescent="0.2">
      <c r="A50" s="44" t="s">
        <v>230</v>
      </c>
      <c r="B50" s="51">
        <f>B$47</f>
        <v>4.7634799867681106E-2</v>
      </c>
      <c r="C50" s="52" t="str">
        <f>C$47</f>
        <v>coke - IPCC</v>
      </c>
      <c r="D50" s="130">
        <v>1</v>
      </c>
      <c r="E50" s="28" t="str">
        <f t="shared" si="19"/>
        <v>charcoal - IPCC</v>
      </c>
      <c r="F50" s="51">
        <f>F$47</f>
        <v>8.5000000000000006E-2</v>
      </c>
      <c r="G50" s="51">
        <f>G$47</f>
        <v>0.1</v>
      </c>
    </row>
    <row r="51" spans="1:7" s="86" customFormat="1" x14ac:dyDescent="0.2">
      <c r="A51" s="60" t="s">
        <v>282</v>
      </c>
      <c r="B51" s="143">
        <f>1.2/28.2</f>
        <v>4.2553191489361701E-2</v>
      </c>
      <c r="C51" s="166" t="str">
        <f t="shared" si="16"/>
        <v>coke - IPCC</v>
      </c>
      <c r="D51" s="86">
        <v>0</v>
      </c>
      <c r="E51" s="86" t="s">
        <v>275</v>
      </c>
      <c r="F51" s="86">
        <v>8.5000000000000006E-2</v>
      </c>
      <c r="G51" s="86">
        <v>0</v>
      </c>
    </row>
    <row r="52" spans="1:7" ht="16" x14ac:dyDescent="0.2">
      <c r="A52" s="133" t="s">
        <v>283</v>
      </c>
      <c r="B52" s="29">
        <f>B47</f>
        <v>4.7634799867681106E-2</v>
      </c>
      <c r="C52" s="29" t="str">
        <f>C47</f>
        <v>coke - IPCC</v>
      </c>
      <c r="D52" s="28">
        <f t="shared" ref="D52:D54" si="20">D$24</f>
        <v>0</v>
      </c>
      <c r="E52" s="29" t="str">
        <f>E47</f>
        <v>charcoal - IPCC</v>
      </c>
      <c r="F52" s="29">
        <f>F47</f>
        <v>8.5000000000000006E-2</v>
      </c>
      <c r="G52" s="29">
        <f>G47</f>
        <v>0.1</v>
      </c>
    </row>
    <row r="53" spans="1:7" ht="16" x14ac:dyDescent="0.2">
      <c r="A53" s="133" t="s">
        <v>284</v>
      </c>
      <c r="B53" s="29">
        <f>B47</f>
        <v>4.7634799867681106E-2</v>
      </c>
      <c r="C53" s="29" t="str">
        <f>C47</f>
        <v>coke - IPCC</v>
      </c>
      <c r="D53" s="130">
        <v>0.5</v>
      </c>
      <c r="E53" s="29" t="str">
        <f>E47</f>
        <v>charcoal - IPCC</v>
      </c>
      <c r="F53" s="29">
        <f>F47</f>
        <v>8.5000000000000006E-2</v>
      </c>
      <c r="G53" s="29">
        <f>G47</f>
        <v>0.1</v>
      </c>
    </row>
    <row r="54" spans="1:7" ht="16" x14ac:dyDescent="0.2">
      <c r="A54" s="133" t="s">
        <v>285</v>
      </c>
      <c r="B54" s="29">
        <f>B47</f>
        <v>4.7634799867681106E-2</v>
      </c>
      <c r="C54" s="29" t="str">
        <f>C47</f>
        <v>coke - IPCC</v>
      </c>
      <c r="D54" s="130">
        <v>1</v>
      </c>
      <c r="E54" s="29" t="str">
        <f>E47</f>
        <v>charcoal - IPCC</v>
      </c>
      <c r="F54" s="29">
        <f>F47</f>
        <v>8.5000000000000006E-2</v>
      </c>
      <c r="G54" s="29">
        <f>G47</f>
        <v>0.1</v>
      </c>
    </row>
    <row r="55" spans="1:7" ht="16" x14ac:dyDescent="0.2">
      <c r="A55" s="59" t="s">
        <v>286</v>
      </c>
      <c r="B55" s="164">
        <f>1.254/28.2</f>
        <v>4.4468085106382983E-2</v>
      </c>
      <c r="C55" s="86" t="s">
        <v>111</v>
      </c>
      <c r="D55" s="86">
        <v>0</v>
      </c>
      <c r="E55" s="86" t="s">
        <v>275</v>
      </c>
      <c r="F55" s="92">
        <f>(0.56*131.1+10.2)/1000</f>
        <v>8.3615999999999996E-2</v>
      </c>
      <c r="G55" s="92">
        <v>0.08</v>
      </c>
    </row>
    <row r="56" spans="1:7" ht="16" x14ac:dyDescent="0.2">
      <c r="A56" s="159" t="s">
        <v>288</v>
      </c>
      <c r="B56" s="29">
        <f>B55</f>
        <v>4.4468085106382983E-2</v>
      </c>
      <c r="C56" s="29" t="str">
        <f>C55</f>
        <v>coke - IPCC</v>
      </c>
      <c r="D56" s="28">
        <f t="shared" ref="D56:D60" si="21">D$24</f>
        <v>0</v>
      </c>
      <c r="E56" s="29" t="str">
        <f>E55</f>
        <v>charcoal - IPCC</v>
      </c>
      <c r="F56" s="29">
        <f>F55</f>
        <v>8.3615999999999996E-2</v>
      </c>
      <c r="G56" s="29">
        <f>G55</f>
        <v>0.08</v>
      </c>
    </row>
    <row r="57" spans="1:7" ht="16" x14ac:dyDescent="0.2">
      <c r="A57" s="133" t="s">
        <v>287</v>
      </c>
      <c r="B57" s="29">
        <f>B55</f>
        <v>4.4468085106382983E-2</v>
      </c>
      <c r="C57" s="29" t="str">
        <f>C55</f>
        <v>coke - IPCC</v>
      </c>
      <c r="D57" s="130">
        <v>0.5</v>
      </c>
      <c r="E57" s="29" t="str">
        <f>E55</f>
        <v>charcoal - IPCC</v>
      </c>
      <c r="F57" s="29">
        <f>F55</f>
        <v>8.3615999999999996E-2</v>
      </c>
      <c r="G57" s="29">
        <f>G55</f>
        <v>0.08</v>
      </c>
    </row>
    <row r="58" spans="1:7" ht="16" x14ac:dyDescent="0.2">
      <c r="A58" s="133" t="s">
        <v>289</v>
      </c>
      <c r="B58" s="29">
        <f>B55</f>
        <v>4.4468085106382983E-2</v>
      </c>
      <c r="C58" s="29" t="str">
        <f>C55</f>
        <v>coke - IPCC</v>
      </c>
      <c r="D58" s="130">
        <v>1</v>
      </c>
      <c r="E58" s="29" t="str">
        <f>E55</f>
        <v>charcoal - IPCC</v>
      </c>
      <c r="F58" s="29">
        <f>F55</f>
        <v>8.3615999999999996E-2</v>
      </c>
      <c r="G58" s="29">
        <f>G55</f>
        <v>0.08</v>
      </c>
    </row>
    <row r="59" spans="1:7" ht="16" x14ac:dyDescent="0.2">
      <c r="A59" s="133" t="s">
        <v>290</v>
      </c>
      <c r="B59" s="164">
        <f>1.254/28.2</f>
        <v>4.4468085106382983E-2</v>
      </c>
      <c r="C59" s="86" t="s">
        <v>111</v>
      </c>
      <c r="D59" s="86">
        <v>0</v>
      </c>
      <c r="E59" s="86" t="s">
        <v>275</v>
      </c>
      <c r="F59" s="92">
        <f>(0.56*131.1+10.2)/1000</f>
        <v>8.3615999999999996E-2</v>
      </c>
      <c r="G59" s="143">
        <v>9.1999999999999998E-2</v>
      </c>
    </row>
    <row r="60" spans="1:7" ht="16" x14ac:dyDescent="0.2">
      <c r="A60" s="133" t="s">
        <v>291</v>
      </c>
      <c r="B60" s="29">
        <f>B59</f>
        <v>4.4468085106382983E-2</v>
      </c>
      <c r="C60" s="29" t="str">
        <f>C59</f>
        <v>coke - IPCC</v>
      </c>
      <c r="D60" s="28">
        <f t="shared" si="21"/>
        <v>0</v>
      </c>
      <c r="E60" s="29" t="str">
        <f>E59</f>
        <v>charcoal - IPCC</v>
      </c>
      <c r="F60" s="29">
        <f>F59</f>
        <v>8.3615999999999996E-2</v>
      </c>
      <c r="G60" s="29">
        <f>G59</f>
        <v>9.1999999999999998E-2</v>
      </c>
    </row>
    <row r="61" spans="1:7" ht="16" x14ac:dyDescent="0.2">
      <c r="A61" s="133" t="s">
        <v>292</v>
      </c>
      <c r="B61" s="29">
        <f>B59</f>
        <v>4.4468085106382983E-2</v>
      </c>
      <c r="C61" s="29" t="str">
        <f>C59</f>
        <v>coke - IPCC</v>
      </c>
      <c r="D61" s="130">
        <v>0.5</v>
      </c>
      <c r="E61" s="29" t="str">
        <f>E59</f>
        <v>charcoal - IPCC</v>
      </c>
      <c r="F61" s="29">
        <f>F59</f>
        <v>8.3615999999999996E-2</v>
      </c>
      <c r="G61" s="29">
        <f>G59</f>
        <v>9.1999999999999998E-2</v>
      </c>
    </row>
    <row r="62" spans="1:7" ht="16" x14ac:dyDescent="0.2">
      <c r="A62" s="133" t="s">
        <v>293</v>
      </c>
      <c r="B62" s="29">
        <f>B59</f>
        <v>4.4468085106382983E-2</v>
      </c>
      <c r="C62" s="29" t="str">
        <f>C59</f>
        <v>coke - IPCC</v>
      </c>
      <c r="D62" s="130">
        <v>1</v>
      </c>
      <c r="E62" s="29" t="str">
        <f>E59</f>
        <v>charcoal - IPCC</v>
      </c>
      <c r="F62" s="29">
        <f>F59</f>
        <v>8.3615999999999996E-2</v>
      </c>
      <c r="G62" s="29">
        <f>G59</f>
        <v>9.1999999999999998E-2</v>
      </c>
    </row>
    <row r="63" spans="1:7" s="86" customFormat="1" ht="16" x14ac:dyDescent="0.2">
      <c r="A63" s="167" t="s">
        <v>295</v>
      </c>
      <c r="B63" s="164">
        <f>1.254/28.2</f>
        <v>4.4468085106382983E-2</v>
      </c>
      <c r="C63" s="86" t="s">
        <v>111</v>
      </c>
      <c r="D63" s="86">
        <v>0</v>
      </c>
      <c r="E63" s="86" t="s">
        <v>275</v>
      </c>
      <c r="F63" s="92">
        <f>(0.56*131.1+10.2)/1000</f>
        <v>8.3615999999999996E-2</v>
      </c>
      <c r="G63" s="92">
        <v>0.08</v>
      </c>
    </row>
    <row r="64" spans="1:7" ht="16" x14ac:dyDescent="0.2">
      <c r="A64" s="133" t="s">
        <v>296</v>
      </c>
      <c r="B64" s="29">
        <f>B63</f>
        <v>4.4468085106382983E-2</v>
      </c>
      <c r="C64" s="29" t="str">
        <f>C63</f>
        <v>coke - IPCC</v>
      </c>
      <c r="D64" s="28">
        <f t="shared" ref="D64:D66" si="22">D$24</f>
        <v>0</v>
      </c>
      <c r="E64" s="29" t="str">
        <f>E63</f>
        <v>charcoal - IPCC</v>
      </c>
      <c r="F64" s="29">
        <f>F63</f>
        <v>8.3615999999999996E-2</v>
      </c>
      <c r="G64" s="29">
        <f>G63</f>
        <v>0.08</v>
      </c>
    </row>
    <row r="65" spans="1:7" ht="16" x14ac:dyDescent="0.2">
      <c r="A65" s="133" t="s">
        <v>297</v>
      </c>
      <c r="B65" s="29">
        <f>B63</f>
        <v>4.4468085106382983E-2</v>
      </c>
      <c r="C65" s="29" t="str">
        <f>C63</f>
        <v>coke - IPCC</v>
      </c>
      <c r="D65" s="130">
        <v>0.5</v>
      </c>
      <c r="E65" s="29" t="str">
        <f>E63</f>
        <v>charcoal - IPCC</v>
      </c>
      <c r="F65" s="29">
        <f>F63</f>
        <v>8.3615999999999996E-2</v>
      </c>
      <c r="G65" s="29">
        <f>G63</f>
        <v>0.08</v>
      </c>
    </row>
    <row r="66" spans="1:7" ht="16" x14ac:dyDescent="0.2">
      <c r="A66" s="133" t="s">
        <v>298</v>
      </c>
      <c r="B66" s="29">
        <f>B63</f>
        <v>4.4468085106382983E-2</v>
      </c>
      <c r="C66" s="29" t="str">
        <f>C63</f>
        <v>coke - IPCC</v>
      </c>
      <c r="D66" s="130">
        <v>1</v>
      </c>
      <c r="E66" s="29" t="str">
        <f>E63</f>
        <v>charcoal - IPCC</v>
      </c>
      <c r="F66" s="29">
        <f>F63</f>
        <v>8.3615999999999996E-2</v>
      </c>
      <c r="G66" s="29">
        <f>G63</f>
        <v>0.08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72"/>
  <sheetViews>
    <sheetView tabSelected="1" zoomScaleNormal="100" workbookViewId="0">
      <pane xSplit="1" ySplit="2" topLeftCell="B46" activePane="bottomRight" state="frozen"/>
      <selection pane="topRight" activeCell="B1" sqref="B1"/>
      <selection pane="bottomLeft" activeCell="A3" sqref="A3"/>
      <selection pane="bottomRight" activeCell="E44" sqref="E44"/>
    </sheetView>
  </sheetViews>
  <sheetFormatPr baseColWidth="10" defaultColWidth="11.5" defaultRowHeight="15" x14ac:dyDescent="0.2"/>
  <cols>
    <col min="1" max="1" width="27" style="28" customWidth="1"/>
    <col min="2" max="5" width="11.5" style="28"/>
    <col min="6" max="6" width="11.5" style="50"/>
    <col min="7" max="7" width="9.83203125" style="28" customWidth="1"/>
    <col min="8" max="11" width="11.5" style="28"/>
    <col min="12" max="12" width="20.6640625" style="28" customWidth="1"/>
    <col min="13" max="16384" width="11.5" style="28"/>
  </cols>
  <sheetData>
    <row r="1" spans="1:18" x14ac:dyDescent="0.2">
      <c r="A1" s="86" t="s">
        <v>0</v>
      </c>
      <c r="B1" s="47" t="s">
        <v>25</v>
      </c>
      <c r="C1" s="47" t="s">
        <v>26</v>
      </c>
      <c r="D1" s="47" t="s">
        <v>19</v>
      </c>
      <c r="E1" s="28" t="s">
        <v>7</v>
      </c>
      <c r="F1" s="50" t="s">
        <v>259</v>
      </c>
      <c r="G1" s="28" t="s">
        <v>50</v>
      </c>
      <c r="H1" s="28" t="s">
        <v>51</v>
      </c>
      <c r="I1" s="28" t="s">
        <v>52</v>
      </c>
      <c r="J1" s="28" t="s">
        <v>12</v>
      </c>
      <c r="K1" s="134" t="s">
        <v>16</v>
      </c>
      <c r="L1" s="28" t="s">
        <v>15</v>
      </c>
      <c r="M1" s="28" t="s">
        <v>17</v>
      </c>
      <c r="N1" s="28" t="s">
        <v>18</v>
      </c>
      <c r="O1" s="28" t="s">
        <v>276</v>
      </c>
      <c r="P1" s="28" t="s">
        <v>159</v>
      </c>
      <c r="Q1" s="50" t="s">
        <v>300</v>
      </c>
      <c r="R1" s="28" t="s">
        <v>2</v>
      </c>
    </row>
    <row r="2" spans="1:18" x14ac:dyDescent="0.2">
      <c r="A2" s="135" t="s">
        <v>1</v>
      </c>
      <c r="B2" s="135" t="s">
        <v>46</v>
      </c>
      <c r="C2" s="135" t="s">
        <v>47</v>
      </c>
      <c r="D2" s="135" t="s">
        <v>48</v>
      </c>
      <c r="E2" s="28" t="s">
        <v>57</v>
      </c>
      <c r="F2" s="50" t="s">
        <v>156</v>
      </c>
      <c r="G2" s="135" t="s">
        <v>49</v>
      </c>
      <c r="I2" s="135" t="s">
        <v>53</v>
      </c>
      <c r="K2" s="135" t="s">
        <v>54</v>
      </c>
      <c r="M2" s="28" t="s">
        <v>53</v>
      </c>
      <c r="O2" s="135" t="s">
        <v>49</v>
      </c>
    </row>
    <row r="3" spans="1:18" x14ac:dyDescent="0.2">
      <c r="A3" s="135" t="s">
        <v>2</v>
      </c>
      <c r="B3" s="135"/>
      <c r="C3" s="135"/>
      <c r="D3" s="135"/>
    </row>
    <row r="4" spans="1:18" x14ac:dyDescent="0.2">
      <c r="A4" s="28" t="s">
        <v>3</v>
      </c>
      <c r="B4" s="28">
        <v>1.3</v>
      </c>
      <c r="C4" s="28">
        <v>0</v>
      </c>
      <c r="D4" s="29">
        <f>0.109*0.56</f>
        <v>6.1040000000000004E-2</v>
      </c>
      <c r="E4" s="28">
        <v>0</v>
      </c>
      <c r="F4" s="50">
        <v>0</v>
      </c>
      <c r="G4" s="29">
        <f>0.382*0.8</f>
        <v>0.30560000000000004</v>
      </c>
      <c r="H4" s="28" t="s">
        <v>258</v>
      </c>
      <c r="I4" s="28">
        <f t="shared" ref="I4:J4" si="0">I11</f>
        <v>0</v>
      </c>
      <c r="J4" s="28" t="str">
        <f t="shared" si="0"/>
        <v>charcoal - IPCC</v>
      </c>
      <c r="K4" s="29">
        <v>0.187</v>
      </c>
      <c r="L4" s="28" t="s">
        <v>257</v>
      </c>
      <c r="M4" s="28">
        <f>M11</f>
        <v>0</v>
      </c>
      <c r="N4" s="28" t="str">
        <f>N11</f>
        <v>charcoal - IPCC</v>
      </c>
    </row>
    <row r="5" spans="1:18" hidden="1" x14ac:dyDescent="0.2">
      <c r="A5" s="28" t="s">
        <v>55</v>
      </c>
      <c r="B5" s="28">
        <v>1.1499999999999999</v>
      </c>
      <c r="C5" s="28">
        <v>0.15</v>
      </c>
      <c r="D5" s="47">
        <v>0.15</v>
      </c>
      <c r="E5" s="28">
        <v>0.24</v>
      </c>
      <c r="G5" s="136">
        <v>0.3</v>
      </c>
      <c r="H5" s="28" t="s">
        <v>111</v>
      </c>
      <c r="I5" s="28">
        <v>0.5</v>
      </c>
      <c r="J5" s="28" t="s">
        <v>275</v>
      </c>
      <c r="K5" s="29">
        <v>0.2</v>
      </c>
      <c r="L5" s="28" t="str">
        <f>L12</f>
        <v>coal PCI - JP IPCC</v>
      </c>
      <c r="M5" s="28">
        <v>0.3</v>
      </c>
      <c r="N5" s="28" t="s">
        <v>275</v>
      </c>
    </row>
    <row r="6" spans="1:18" hidden="1" x14ac:dyDescent="0.2">
      <c r="A6" s="28" t="s">
        <v>106</v>
      </c>
      <c r="B6" s="28">
        <v>1.3141700000000001</v>
      </c>
      <c r="C6" s="28">
        <v>0</v>
      </c>
      <c r="D6" s="137">
        <f>0.04*(0.56)</f>
        <v>2.2400000000000003E-2</v>
      </c>
      <c r="E6" s="28">
        <f>(110-36.44)*Ref!B18</f>
        <v>0.264816</v>
      </c>
      <c r="G6" s="29">
        <v>0.28799999999999998</v>
      </c>
      <c r="H6" s="28" t="s">
        <v>112</v>
      </c>
      <c r="I6" s="28">
        <v>0</v>
      </c>
      <c r="J6" s="28" t="s">
        <v>275</v>
      </c>
      <c r="K6" s="29">
        <v>0.20499999999999999</v>
      </c>
      <c r="L6" s="28" t="s">
        <v>113</v>
      </c>
      <c r="M6" s="28">
        <v>0</v>
      </c>
      <c r="N6" s="28" t="s">
        <v>275</v>
      </c>
      <c r="R6" s="28" t="s">
        <v>185</v>
      </c>
    </row>
    <row r="7" spans="1:18" hidden="1" x14ac:dyDescent="0.2">
      <c r="A7" s="48" t="s">
        <v>234</v>
      </c>
      <c r="B7" s="28">
        <v>1.3141700000000001</v>
      </c>
      <c r="C7" s="28">
        <v>0</v>
      </c>
      <c r="D7" s="137">
        <f>0.04*(0.56)</f>
        <v>2.2400000000000003E-2</v>
      </c>
      <c r="E7" s="28">
        <f>(110-36.44)*Ref!B18</f>
        <v>0.264816</v>
      </c>
      <c r="G7" s="29">
        <v>0.28799999999999998</v>
      </c>
      <c r="H7" s="28" t="s">
        <v>112</v>
      </c>
      <c r="I7" s="28">
        <v>0</v>
      </c>
      <c r="J7" s="28" t="s">
        <v>275</v>
      </c>
      <c r="K7" s="29">
        <v>0.20499999999999999</v>
      </c>
      <c r="L7" s="28" t="s">
        <v>113</v>
      </c>
      <c r="M7" s="28">
        <v>0</v>
      </c>
      <c r="N7" s="28" t="s">
        <v>275</v>
      </c>
      <c r="R7" s="28" t="s">
        <v>185</v>
      </c>
    </row>
    <row r="8" spans="1:18" hidden="1" x14ac:dyDescent="0.2">
      <c r="A8" s="48" t="s">
        <v>235</v>
      </c>
      <c r="B8" s="28">
        <v>1.37</v>
      </c>
      <c r="C8" s="28">
        <v>0.2</v>
      </c>
      <c r="D8" s="137"/>
      <c r="G8" s="138">
        <f>0.2737/0.88</f>
        <v>0.31102272727272728</v>
      </c>
      <c r="H8" s="28" t="s">
        <v>112</v>
      </c>
      <c r="K8" s="29">
        <f>0.1202/0.78</f>
        <v>0.15410256410256409</v>
      </c>
      <c r="L8" s="28" t="s">
        <v>113</v>
      </c>
    </row>
    <row r="9" spans="1:18" hidden="1" x14ac:dyDescent="0.2">
      <c r="A9" s="28" t="s">
        <v>239</v>
      </c>
      <c r="G9" s="29">
        <v>0.36199999999999999</v>
      </c>
      <c r="H9" s="28" t="s">
        <v>233</v>
      </c>
      <c r="I9" s="28">
        <v>0</v>
      </c>
      <c r="J9" s="28" t="s">
        <v>275</v>
      </c>
      <c r="K9" s="29">
        <v>149</v>
      </c>
      <c r="L9" s="28" t="s">
        <v>113</v>
      </c>
      <c r="M9" s="28">
        <v>0</v>
      </c>
      <c r="N9" s="28" t="s">
        <v>275</v>
      </c>
      <c r="R9" s="28" t="s">
        <v>232</v>
      </c>
    </row>
    <row r="10" spans="1:18" hidden="1" x14ac:dyDescent="0.2">
      <c r="A10" s="28" t="s">
        <v>242</v>
      </c>
      <c r="G10" s="29">
        <v>0.44400000000000001</v>
      </c>
      <c r="H10" s="28" t="s">
        <v>233</v>
      </c>
      <c r="K10" s="29">
        <v>140</v>
      </c>
      <c r="L10" s="28" t="s">
        <v>113</v>
      </c>
    </row>
    <row r="11" spans="1:18" hidden="1" x14ac:dyDescent="0.2">
      <c r="A11" s="28" t="s">
        <v>107</v>
      </c>
      <c r="B11" s="28">
        <v>1.1000000000000001</v>
      </c>
      <c r="C11" s="28">
        <v>0.35</v>
      </c>
      <c r="D11" s="136">
        <f>0.013*(56/100)</f>
        <v>7.28E-3</v>
      </c>
      <c r="E11" s="29">
        <v>0.10444000000000001</v>
      </c>
      <c r="G11" s="29">
        <v>0.3548</v>
      </c>
      <c r="H11" s="28" t="s">
        <v>111</v>
      </c>
      <c r="I11" s="28">
        <v>0</v>
      </c>
      <c r="J11" s="28" t="s">
        <v>275</v>
      </c>
      <c r="K11" s="29">
        <v>0.152</v>
      </c>
      <c r="L11" s="28" t="s">
        <v>114</v>
      </c>
      <c r="M11" s="28">
        <v>0</v>
      </c>
      <c r="N11" s="28" t="s">
        <v>275</v>
      </c>
    </row>
    <row r="12" spans="1:18" hidden="1" x14ac:dyDescent="0.2">
      <c r="A12" s="28" t="s">
        <v>108</v>
      </c>
      <c r="B12" s="28">
        <v>1.17</v>
      </c>
      <c r="C12" s="28">
        <v>0.12</v>
      </c>
      <c r="D12" s="137">
        <f>0.04*(0.56)</f>
        <v>2.2400000000000003E-2</v>
      </c>
      <c r="E12" s="28">
        <v>0.24</v>
      </c>
      <c r="G12" s="136">
        <v>0.36499999999999999</v>
      </c>
      <c r="H12" s="28" t="s">
        <v>115</v>
      </c>
      <c r="I12" s="28">
        <v>0</v>
      </c>
      <c r="J12" s="28" t="s">
        <v>275</v>
      </c>
      <c r="K12" s="29">
        <v>0.14000000000000001</v>
      </c>
      <c r="L12" s="28" t="s">
        <v>116</v>
      </c>
      <c r="M12" s="28">
        <v>0</v>
      </c>
      <c r="N12" s="28" t="s">
        <v>275</v>
      </c>
    </row>
    <row r="13" spans="1:18" hidden="1" x14ac:dyDescent="0.2">
      <c r="A13" s="28" t="s">
        <v>246</v>
      </c>
      <c r="D13" s="137"/>
      <c r="G13" s="136">
        <v>0.38</v>
      </c>
      <c r="H13" s="28" t="s">
        <v>115</v>
      </c>
      <c r="K13" s="29">
        <v>0.115</v>
      </c>
      <c r="L13" s="28" t="s">
        <v>116</v>
      </c>
    </row>
    <row r="14" spans="1:18" hidden="1" x14ac:dyDescent="0.2">
      <c r="A14" s="28" t="s">
        <v>109</v>
      </c>
      <c r="B14" s="139">
        <f>0.85*1.15</f>
        <v>0.97749999999999992</v>
      </c>
      <c r="C14" s="139">
        <f>0.15*1.15</f>
        <v>0.17249999999999999</v>
      </c>
      <c r="D14" s="137">
        <f>0.04*(0.56)</f>
        <v>2.2400000000000003E-2</v>
      </c>
      <c r="E14" s="137">
        <v>0.2</v>
      </c>
      <c r="G14" s="136">
        <v>0.45300000000000001</v>
      </c>
      <c r="H14" s="28" t="s">
        <v>111</v>
      </c>
      <c r="I14" s="47">
        <v>0</v>
      </c>
      <c r="J14" s="28" t="s">
        <v>275</v>
      </c>
      <c r="K14" s="136">
        <v>9.1600000000000001E-2</v>
      </c>
      <c r="L14" s="28" t="s">
        <v>117</v>
      </c>
      <c r="M14" s="28">
        <v>0</v>
      </c>
      <c r="N14" s="28" t="s">
        <v>275</v>
      </c>
    </row>
    <row r="15" spans="1:18" hidden="1" x14ac:dyDescent="0.2">
      <c r="A15" s="28" t="s">
        <v>245</v>
      </c>
      <c r="B15" s="139"/>
      <c r="C15" s="139"/>
      <c r="D15" s="137"/>
      <c r="E15" s="137"/>
      <c r="G15" s="136">
        <v>0.47499999999999998</v>
      </c>
      <c r="H15" s="28" t="s">
        <v>111</v>
      </c>
      <c r="I15" s="47"/>
      <c r="K15" s="136">
        <v>3.5000000000000003E-2</v>
      </c>
      <c r="L15" s="28" t="s">
        <v>117</v>
      </c>
      <c r="O15" s="28">
        <v>4.4999999999999998E-2</v>
      </c>
      <c r="P15" s="28" t="s">
        <v>244</v>
      </c>
    </row>
    <row r="16" spans="1:18" hidden="1" x14ac:dyDescent="0.2">
      <c r="A16" s="28" t="s">
        <v>110</v>
      </c>
      <c r="B16" s="28">
        <v>0</v>
      </c>
      <c r="C16" s="140">
        <f>70.2/54.4</f>
        <v>1.2904411764705883</v>
      </c>
      <c r="D16" s="139">
        <f>0.25*0.56</f>
        <v>0.14000000000000001</v>
      </c>
      <c r="E16" s="28">
        <v>0.27</v>
      </c>
      <c r="G16" s="141">
        <f>12.26/30.23</f>
        <v>0.40555739331789614</v>
      </c>
      <c r="H16" s="28" t="s">
        <v>118</v>
      </c>
      <c r="I16" s="47">
        <v>0</v>
      </c>
      <c r="J16" s="28" t="s">
        <v>275</v>
      </c>
      <c r="K16" s="141">
        <f>(1.88+2.13)/47</f>
        <v>8.5319148936170208E-2</v>
      </c>
      <c r="L16" s="28" t="s">
        <v>119</v>
      </c>
      <c r="M16" s="28">
        <v>0</v>
      </c>
      <c r="N16" s="28" t="s">
        <v>275</v>
      </c>
    </row>
    <row r="17" spans="1:18" hidden="1" x14ac:dyDescent="0.2">
      <c r="A17" s="28" t="s">
        <v>126</v>
      </c>
      <c r="B17" s="137">
        <v>1.3</v>
      </c>
      <c r="C17" s="137">
        <v>0</v>
      </c>
      <c r="D17" s="137">
        <v>0.01</v>
      </c>
      <c r="E17" s="137">
        <v>0.1</v>
      </c>
      <c r="G17" s="136">
        <v>0.59</v>
      </c>
      <c r="H17" s="28" t="s">
        <v>111</v>
      </c>
      <c r="I17" s="47">
        <v>0</v>
      </c>
      <c r="J17" s="28" t="s">
        <v>275</v>
      </c>
      <c r="K17" s="136">
        <v>0.11</v>
      </c>
      <c r="L17" s="28" t="s">
        <v>114</v>
      </c>
      <c r="M17" s="28">
        <v>0</v>
      </c>
      <c r="N17" s="28" t="s">
        <v>275</v>
      </c>
      <c r="R17" s="28" t="s">
        <v>243</v>
      </c>
    </row>
    <row r="18" spans="1:18" hidden="1" x14ac:dyDescent="0.2">
      <c r="A18" s="28" t="s">
        <v>247</v>
      </c>
      <c r="B18" s="137"/>
      <c r="C18" s="137"/>
      <c r="D18" s="137"/>
      <c r="E18" s="137"/>
      <c r="G18" s="136">
        <v>0.34</v>
      </c>
      <c r="I18" s="47"/>
      <c r="K18" s="136">
        <v>0.14000000000000001</v>
      </c>
      <c r="L18" s="28" t="s">
        <v>114</v>
      </c>
    </row>
    <row r="19" spans="1:18" hidden="1" x14ac:dyDescent="0.2">
      <c r="A19" s="28" t="s">
        <v>129</v>
      </c>
      <c r="B19" s="81">
        <f>AVERAGE(B6:B17)</f>
        <v>1.06823</v>
      </c>
      <c r="C19" s="81">
        <f>AVERAGE(C6:C17)</f>
        <v>0.26661764705882351</v>
      </c>
      <c r="D19" s="81">
        <f>AVERAGE(D6:D17)</f>
        <v>3.5268571428571434E-2</v>
      </c>
      <c r="E19" s="81">
        <f>AVERAGE(E5:E17)</f>
        <v>0.21050899999999997</v>
      </c>
      <c r="G19" s="29">
        <f>AVERAGE(G6:G17)</f>
        <v>0.39303167671588529</v>
      </c>
      <c r="H19" s="28" t="s">
        <v>111</v>
      </c>
      <c r="I19" s="81">
        <f>AVERAGE(I6:I17)</f>
        <v>0</v>
      </c>
      <c r="J19" s="28" t="s">
        <v>275</v>
      </c>
      <c r="K19" s="29">
        <f>AVERAGE(K6:K17)</f>
        <v>24.191085142753227</v>
      </c>
      <c r="L19" s="28" t="s">
        <v>114</v>
      </c>
      <c r="M19" s="81">
        <f>AVERAGE(M6:M17)</f>
        <v>0</v>
      </c>
      <c r="N19" s="28" t="s">
        <v>275</v>
      </c>
    </row>
    <row r="20" spans="1:18" hidden="1" x14ac:dyDescent="0.2">
      <c r="A20" s="28" t="s">
        <v>130</v>
      </c>
      <c r="B20" s="28">
        <f t="shared" ref="B20:C23" si="1">B$11</f>
        <v>1.1000000000000001</v>
      </c>
      <c r="C20" s="28">
        <f t="shared" si="1"/>
        <v>0.35</v>
      </c>
      <c r="D20" s="142">
        <f>D$11*0.7</f>
        <v>5.0959999999999998E-3</v>
      </c>
      <c r="E20" s="28">
        <f>E$11</f>
        <v>0.10444000000000001</v>
      </c>
      <c r="G20" s="29">
        <f t="shared" ref="G20:H23" si="2">G$11</f>
        <v>0.3548</v>
      </c>
      <c r="H20" s="28" t="str">
        <f t="shared" si="2"/>
        <v>coke - IPCC</v>
      </c>
      <c r="I20" s="47">
        <v>0</v>
      </c>
      <c r="J20" s="28" t="s">
        <v>275</v>
      </c>
      <c r="K20" s="29">
        <f t="shared" ref="K20:L23" si="3">K$11</f>
        <v>0.152</v>
      </c>
      <c r="L20" s="28" t="str">
        <f t="shared" si="3"/>
        <v>coal coking - IPCC</v>
      </c>
      <c r="M20" s="28">
        <v>1</v>
      </c>
      <c r="N20" s="28" t="s">
        <v>275</v>
      </c>
    </row>
    <row r="21" spans="1:18" hidden="1" x14ac:dyDescent="0.2">
      <c r="A21" s="28" t="s">
        <v>131</v>
      </c>
      <c r="B21" s="28">
        <f t="shared" si="1"/>
        <v>1.1000000000000001</v>
      </c>
      <c r="C21" s="28">
        <f t="shared" si="1"/>
        <v>0.35</v>
      </c>
      <c r="D21" s="142">
        <f>D$11*0.7</f>
        <v>5.0959999999999998E-3</v>
      </c>
      <c r="E21" s="28">
        <f>E$11</f>
        <v>0.10444000000000001</v>
      </c>
      <c r="G21" s="29">
        <f t="shared" si="2"/>
        <v>0.3548</v>
      </c>
      <c r="H21" s="28" t="str">
        <f t="shared" si="2"/>
        <v>coke - IPCC</v>
      </c>
      <c r="I21" s="47">
        <v>0</v>
      </c>
      <c r="J21" s="28" t="s">
        <v>275</v>
      </c>
      <c r="K21" s="29">
        <f t="shared" si="3"/>
        <v>0.152</v>
      </c>
      <c r="L21" s="28" t="str">
        <f t="shared" si="3"/>
        <v>coal coking - IPCC</v>
      </c>
      <c r="M21" s="28">
        <v>1</v>
      </c>
      <c r="N21" s="28" t="s">
        <v>275</v>
      </c>
    </row>
    <row r="22" spans="1:18" hidden="1" x14ac:dyDescent="0.2">
      <c r="A22" s="28" t="s">
        <v>132</v>
      </c>
      <c r="B22" s="28">
        <f t="shared" si="1"/>
        <v>1.1000000000000001</v>
      </c>
      <c r="C22" s="28">
        <f t="shared" si="1"/>
        <v>0.35</v>
      </c>
      <c r="D22" s="142">
        <f>D$11*0.7</f>
        <v>5.0959999999999998E-3</v>
      </c>
      <c r="E22" s="28">
        <f>E$11</f>
        <v>0.10444000000000001</v>
      </c>
      <c r="G22" s="29">
        <f t="shared" si="2"/>
        <v>0.3548</v>
      </c>
      <c r="H22" s="28" t="str">
        <f t="shared" si="2"/>
        <v>coke - IPCC</v>
      </c>
      <c r="I22" s="47">
        <v>0</v>
      </c>
      <c r="J22" s="28" t="s">
        <v>275</v>
      </c>
      <c r="K22" s="29">
        <f t="shared" si="3"/>
        <v>0.152</v>
      </c>
      <c r="L22" s="28" t="str">
        <f t="shared" si="3"/>
        <v>coal coking - IPCC</v>
      </c>
      <c r="M22" s="28">
        <v>1</v>
      </c>
      <c r="N22" s="28" t="s">
        <v>275</v>
      </c>
    </row>
    <row r="23" spans="1:18" hidden="1" x14ac:dyDescent="0.2">
      <c r="A23" s="28" t="s">
        <v>133</v>
      </c>
      <c r="B23" s="28">
        <f t="shared" si="1"/>
        <v>1.1000000000000001</v>
      </c>
      <c r="C23" s="28">
        <f t="shared" si="1"/>
        <v>0.35</v>
      </c>
      <c r="D23" s="142">
        <f>D$11*0.7</f>
        <v>5.0959999999999998E-3</v>
      </c>
      <c r="E23" s="28">
        <f>E$11</f>
        <v>0.10444000000000001</v>
      </c>
      <c r="G23" s="29">
        <f t="shared" si="2"/>
        <v>0.3548</v>
      </c>
      <c r="H23" s="28" t="str">
        <f t="shared" si="2"/>
        <v>coke - IPCC</v>
      </c>
      <c r="I23" s="47">
        <v>0</v>
      </c>
      <c r="J23" s="28" t="s">
        <v>275</v>
      </c>
      <c r="K23" s="29">
        <f t="shared" si="3"/>
        <v>0.152</v>
      </c>
      <c r="L23" s="28" t="str">
        <f t="shared" si="3"/>
        <v>coal coking - IPCC</v>
      </c>
      <c r="M23" s="28">
        <v>0.5</v>
      </c>
      <c r="N23" s="28" t="s">
        <v>275</v>
      </c>
    </row>
    <row r="24" spans="1:18" hidden="1" x14ac:dyDescent="0.2">
      <c r="A24" s="28" t="s">
        <v>135</v>
      </c>
      <c r="B24" s="28">
        <v>1.1200000000000001</v>
      </c>
      <c r="C24" s="28">
        <v>0</v>
      </c>
      <c r="D24" s="142">
        <f>0.013*0.56</f>
        <v>7.28E-3</v>
      </c>
      <c r="E24" s="28">
        <v>0.37331999999999999</v>
      </c>
      <c r="F24" s="50">
        <v>6.8400000000000002E-2</v>
      </c>
      <c r="G24" s="29">
        <v>0.35489999999999999</v>
      </c>
      <c r="H24" s="28" t="s">
        <v>136</v>
      </c>
      <c r="I24" s="47">
        <v>0</v>
      </c>
      <c r="J24" s="28" t="s">
        <v>275</v>
      </c>
      <c r="K24" s="136">
        <v>0.152</v>
      </c>
      <c r="L24" s="28" t="s">
        <v>137</v>
      </c>
      <c r="M24" s="28">
        <v>0</v>
      </c>
      <c r="N24" s="28" t="s">
        <v>275</v>
      </c>
    </row>
    <row r="25" spans="1:18" hidden="1" x14ac:dyDescent="0.2">
      <c r="A25" s="28" t="s">
        <v>150</v>
      </c>
      <c r="B25" s="137">
        <v>1.2</v>
      </c>
      <c r="E25" s="28">
        <v>0.09</v>
      </c>
      <c r="G25" s="29">
        <v>0.25800000000000001</v>
      </c>
      <c r="H25" s="28" t="s">
        <v>111</v>
      </c>
      <c r="I25" s="28">
        <v>0</v>
      </c>
      <c r="J25" s="28" t="s">
        <v>275</v>
      </c>
      <c r="K25" s="29">
        <v>0.14399999999999999</v>
      </c>
      <c r="L25" s="28" t="s">
        <v>114</v>
      </c>
      <c r="M25" s="28">
        <v>0</v>
      </c>
      <c r="N25" s="28" t="s">
        <v>275</v>
      </c>
      <c r="R25" s="28" t="s">
        <v>158</v>
      </c>
    </row>
    <row r="26" spans="1:18" hidden="1" x14ac:dyDescent="0.2">
      <c r="A26" s="28" t="s">
        <v>157</v>
      </c>
      <c r="B26" s="137">
        <v>1.3</v>
      </c>
      <c r="C26" s="28">
        <v>0</v>
      </c>
      <c r="E26" s="28">
        <v>0.107</v>
      </c>
      <c r="G26" s="29">
        <v>0.28199999999999997</v>
      </c>
      <c r="H26" s="28" t="s">
        <v>111</v>
      </c>
      <c r="I26" s="28">
        <v>0</v>
      </c>
      <c r="J26" s="28" t="s">
        <v>275</v>
      </c>
      <c r="K26" s="29">
        <v>0.16</v>
      </c>
      <c r="L26" s="28" t="s">
        <v>114</v>
      </c>
      <c r="M26" s="28">
        <v>0</v>
      </c>
      <c r="N26" s="28" t="s">
        <v>275</v>
      </c>
    </row>
    <row r="27" spans="1:18" hidden="1" x14ac:dyDescent="0.2">
      <c r="A27" s="28" t="s">
        <v>151</v>
      </c>
      <c r="B27" s="28">
        <v>1088</v>
      </c>
      <c r="C27" s="28">
        <v>358</v>
      </c>
      <c r="D27" s="28">
        <v>2.5700000000000001E-2</v>
      </c>
      <c r="E27" s="28">
        <v>0.26800000000000002</v>
      </c>
      <c r="F27" s="50">
        <v>5.4399999999999997E-2</v>
      </c>
      <c r="G27" s="29">
        <v>0.35899999999999999</v>
      </c>
      <c r="H27" s="28" t="s">
        <v>111</v>
      </c>
      <c r="I27" s="28">
        <v>0</v>
      </c>
      <c r="J27" s="28" t="s">
        <v>275</v>
      </c>
      <c r="K27" s="29">
        <v>0.19</v>
      </c>
      <c r="L27" s="28" t="s">
        <v>114</v>
      </c>
      <c r="M27" s="28">
        <v>0</v>
      </c>
      <c r="N27" s="28" t="s">
        <v>275</v>
      </c>
    </row>
    <row r="28" spans="1:18" hidden="1" x14ac:dyDescent="0.2">
      <c r="A28" s="28" t="s">
        <v>142</v>
      </c>
      <c r="D28" s="28">
        <v>0</v>
      </c>
      <c r="E28" s="28">
        <v>0.107</v>
      </c>
      <c r="G28" s="29">
        <v>0.28199999999999997</v>
      </c>
      <c r="H28" s="28" t="s">
        <v>111</v>
      </c>
      <c r="K28" s="29"/>
    </row>
    <row r="29" spans="1:18" hidden="1" x14ac:dyDescent="0.2">
      <c r="A29" s="28" t="s">
        <v>152</v>
      </c>
      <c r="B29" s="28">
        <v>1.2</v>
      </c>
      <c r="C29" s="28">
        <v>0</v>
      </c>
      <c r="D29" s="137">
        <v>0.01</v>
      </c>
      <c r="G29" s="29">
        <f>10.42/30.23</f>
        <v>0.34469070459808138</v>
      </c>
      <c r="H29" s="28" t="s">
        <v>118</v>
      </c>
      <c r="K29" s="29">
        <v>0</v>
      </c>
      <c r="L29" s="28" t="s">
        <v>119</v>
      </c>
      <c r="M29" s="28">
        <v>0</v>
      </c>
      <c r="N29" s="28" t="s">
        <v>275</v>
      </c>
    </row>
    <row r="30" spans="1:18" hidden="1" x14ac:dyDescent="0.2">
      <c r="A30" s="28" t="s">
        <v>155</v>
      </c>
      <c r="E30" s="28">
        <v>0.09</v>
      </c>
      <c r="G30" s="29">
        <f>11.49/30.23</f>
        <v>0.38008600727753888</v>
      </c>
      <c r="H30" s="28" t="s">
        <v>118</v>
      </c>
      <c r="I30" s="28">
        <v>0</v>
      </c>
      <c r="J30" s="28" t="s">
        <v>275</v>
      </c>
      <c r="K30" s="29">
        <f>(2.69+1.41)/31.2</f>
        <v>0.13141025641025642</v>
      </c>
      <c r="L30" s="28" t="s">
        <v>122</v>
      </c>
      <c r="M30" s="28">
        <v>0</v>
      </c>
      <c r="N30" s="28" t="s">
        <v>275</v>
      </c>
    </row>
    <row r="31" spans="1:18" hidden="1" x14ac:dyDescent="0.2">
      <c r="A31" s="28" t="s">
        <v>250</v>
      </c>
      <c r="E31" s="28">
        <v>0.27</v>
      </c>
      <c r="G31" s="29">
        <f>12.26/30.23</f>
        <v>0.40555739331789614</v>
      </c>
      <c r="H31" s="28" t="s">
        <v>118</v>
      </c>
      <c r="K31" s="29">
        <f>(1.88+2.13)/31.2</f>
        <v>0.12852564102564101</v>
      </c>
      <c r="L31" s="28" t="s">
        <v>122</v>
      </c>
    </row>
    <row r="32" spans="1:18" hidden="1" x14ac:dyDescent="0.2">
      <c r="A32" s="28" t="s">
        <v>165</v>
      </c>
      <c r="G32" s="29">
        <f>11.04/30.23</f>
        <v>0.36520013231888848</v>
      </c>
      <c r="K32" s="29"/>
    </row>
    <row r="33" spans="1:18" s="86" customFormat="1" ht="16" x14ac:dyDescent="0.2">
      <c r="A33" s="59" t="s">
        <v>197</v>
      </c>
      <c r="B33" s="143">
        <v>1.0880000000000001</v>
      </c>
      <c r="C33" s="143">
        <v>0.35799999999999998</v>
      </c>
      <c r="D33" s="143">
        <v>2.5700000000000001E-2</v>
      </c>
      <c r="E33" s="143">
        <v>0.26800000000000002</v>
      </c>
      <c r="F33" s="64">
        <v>5.4399999999999997E-2</v>
      </c>
      <c r="G33" s="143">
        <v>0.35899999999999999</v>
      </c>
      <c r="H33" s="86" t="s">
        <v>111</v>
      </c>
      <c r="I33" s="86">
        <v>0</v>
      </c>
      <c r="J33" s="86" t="s">
        <v>275</v>
      </c>
      <c r="K33" s="143">
        <v>0.19</v>
      </c>
      <c r="L33" s="86" t="s">
        <v>281</v>
      </c>
      <c r="M33" s="86">
        <v>0</v>
      </c>
      <c r="N33" s="86" t="s">
        <v>275</v>
      </c>
    </row>
    <row r="34" spans="1:18" customFormat="1" ht="16" x14ac:dyDescent="0.2">
      <c r="A34" s="148" t="s">
        <v>198</v>
      </c>
      <c r="B34" s="21">
        <f>B$33</f>
        <v>1.0880000000000001</v>
      </c>
      <c r="C34" s="21">
        <f>C$33</f>
        <v>0.35799999999999998</v>
      </c>
      <c r="D34" s="21">
        <f>D$33*0.9</f>
        <v>2.3130000000000001E-2</v>
      </c>
      <c r="E34" s="21">
        <f>E$33</f>
        <v>0.26800000000000002</v>
      </c>
      <c r="F34" s="21">
        <f>F$33</f>
        <v>5.4399999999999997E-2</v>
      </c>
      <c r="G34" s="21">
        <f>G$33</f>
        <v>0.35899999999999999</v>
      </c>
      <c r="H34" t="str">
        <f>H$33</f>
        <v>coke - IPCC</v>
      </c>
      <c r="I34" s="1">
        <v>0</v>
      </c>
      <c r="J34" s="1" t="s">
        <v>275</v>
      </c>
      <c r="K34" s="21">
        <f>K$33</f>
        <v>0.19</v>
      </c>
      <c r="L34" s="1" t="s">
        <v>281</v>
      </c>
      <c r="M34" s="83">
        <v>1</v>
      </c>
      <c r="N34" s="1" t="s">
        <v>275</v>
      </c>
    </row>
    <row r="35" spans="1:18" ht="16" x14ac:dyDescent="0.2">
      <c r="A35" s="45" t="s">
        <v>199</v>
      </c>
      <c r="B35" s="29">
        <f>B$33</f>
        <v>1.0880000000000001</v>
      </c>
      <c r="C35" s="29">
        <f>C$33</f>
        <v>0.35799999999999998</v>
      </c>
      <c r="D35" s="29">
        <f>D$33*0.9</f>
        <v>2.3130000000000001E-2</v>
      </c>
      <c r="E35" s="29">
        <f>E$33</f>
        <v>0.26800000000000002</v>
      </c>
      <c r="F35" s="51">
        <f>F$33</f>
        <v>5.4399999999999997E-2</v>
      </c>
      <c r="G35" s="29">
        <f>G$33</f>
        <v>0.35899999999999999</v>
      </c>
      <c r="H35" s="47" t="str">
        <f>H$33</f>
        <v>coke - IPCC</v>
      </c>
      <c r="I35" s="47">
        <v>0</v>
      </c>
      <c r="J35" s="47" t="s">
        <v>275</v>
      </c>
      <c r="K35" s="136">
        <f>K$33</f>
        <v>0.19</v>
      </c>
      <c r="L35" s="47" t="s">
        <v>281</v>
      </c>
      <c r="M35" s="131">
        <v>1</v>
      </c>
      <c r="N35" s="47" t="s">
        <v>275</v>
      </c>
      <c r="O35" s="47"/>
    </row>
    <row r="36" spans="1:18" ht="16" x14ac:dyDescent="0.2">
      <c r="A36" s="45" t="s">
        <v>200</v>
      </c>
      <c r="B36" s="29">
        <f>B$33</f>
        <v>1.0880000000000001</v>
      </c>
      <c r="C36" s="29">
        <f>C$33</f>
        <v>0.35799999999999998</v>
      </c>
      <c r="D36" s="29">
        <f>D$33*0.9</f>
        <v>2.3130000000000001E-2</v>
      </c>
      <c r="E36" s="29">
        <f>E$33</f>
        <v>0.26800000000000002</v>
      </c>
      <c r="F36" s="51">
        <f>F$33</f>
        <v>5.4399999999999997E-2</v>
      </c>
      <c r="G36" s="29">
        <f>G$33</f>
        <v>0.35899999999999999</v>
      </c>
      <c r="H36" s="28" t="str">
        <f>H$33</f>
        <v>coke - IPCC</v>
      </c>
      <c r="I36" s="86">
        <v>0</v>
      </c>
      <c r="J36" s="86" t="s">
        <v>275</v>
      </c>
      <c r="K36" s="29">
        <f>K$33</f>
        <v>0.19</v>
      </c>
      <c r="L36" s="47" t="s">
        <v>281</v>
      </c>
      <c r="M36" s="131">
        <v>1</v>
      </c>
      <c r="N36" s="47" t="s">
        <v>275</v>
      </c>
    </row>
    <row r="37" spans="1:18" s="86" customFormat="1" ht="16" x14ac:dyDescent="0.2">
      <c r="A37" s="59" t="s">
        <v>202</v>
      </c>
      <c r="B37" s="143">
        <v>1.3141700000000001</v>
      </c>
      <c r="C37" s="143">
        <v>0</v>
      </c>
      <c r="D37" s="92">
        <v>0</v>
      </c>
      <c r="E37" s="143">
        <f>(110-36.44)*Ref!B$18</f>
        <v>0.264816</v>
      </c>
      <c r="F37" s="62">
        <f>0.054*(K37/K$33)</f>
        <v>4.2347368421052634E-2</v>
      </c>
      <c r="G37" s="143">
        <v>0.36199999999999999</v>
      </c>
      <c r="H37" s="63" t="s">
        <v>111</v>
      </c>
      <c r="I37" s="86">
        <v>0</v>
      </c>
      <c r="J37" s="86" t="s">
        <v>275</v>
      </c>
      <c r="K37" s="143">
        <v>0.14899999999999999</v>
      </c>
      <c r="L37" s="86" t="s">
        <v>281</v>
      </c>
      <c r="M37" s="86">
        <v>0</v>
      </c>
      <c r="N37" s="86" t="s">
        <v>275</v>
      </c>
      <c r="R37" s="86" t="s">
        <v>241</v>
      </c>
    </row>
    <row r="38" spans="1:18" ht="16" x14ac:dyDescent="0.2">
      <c r="A38" s="45" t="s">
        <v>205</v>
      </c>
      <c r="B38" s="29">
        <f>B$37</f>
        <v>1.3141700000000001</v>
      </c>
      <c r="C38" s="29">
        <f>C$37</f>
        <v>0</v>
      </c>
      <c r="D38" s="29">
        <f>D$37*0.9</f>
        <v>0</v>
      </c>
      <c r="E38" s="29">
        <f>E$37</f>
        <v>0.264816</v>
      </c>
      <c r="F38" s="51">
        <f>F$37</f>
        <v>4.2347368421052634E-2</v>
      </c>
      <c r="G38" s="29">
        <f>G$37</f>
        <v>0.36199999999999999</v>
      </c>
      <c r="H38" s="28" t="str">
        <f>H$37</f>
        <v>coke - IPCC</v>
      </c>
      <c r="I38" s="28">
        <f>I$37</f>
        <v>0</v>
      </c>
      <c r="J38" s="28" t="str">
        <f>J$37</f>
        <v>charcoal - IPCC</v>
      </c>
      <c r="K38" s="29">
        <f>K$37</f>
        <v>0.14899999999999999</v>
      </c>
      <c r="L38" s="47" t="s">
        <v>281</v>
      </c>
      <c r="M38" s="130">
        <v>1</v>
      </c>
      <c r="N38" s="86" t="s">
        <v>275</v>
      </c>
    </row>
    <row r="39" spans="1:18" ht="16" x14ac:dyDescent="0.2">
      <c r="A39" s="45" t="s">
        <v>207</v>
      </c>
      <c r="B39" s="29">
        <f>B$37</f>
        <v>1.3141700000000001</v>
      </c>
      <c r="C39" s="29">
        <f>C$37</f>
        <v>0</v>
      </c>
      <c r="D39" s="29">
        <f>D$37*0.9</f>
        <v>0</v>
      </c>
      <c r="E39" s="29">
        <f>E$37</f>
        <v>0.264816</v>
      </c>
      <c r="F39" s="51">
        <f>F$37</f>
        <v>4.2347368421052634E-2</v>
      </c>
      <c r="G39" s="29">
        <f>G$37</f>
        <v>0.36199999999999999</v>
      </c>
      <c r="H39" s="28" t="str">
        <f>H$37</f>
        <v>coke - IPCC</v>
      </c>
      <c r="I39" s="28">
        <f>I$37</f>
        <v>0</v>
      </c>
      <c r="J39" s="28" t="str">
        <f>J$37</f>
        <v>charcoal - IPCC</v>
      </c>
      <c r="K39" s="29">
        <f>K$37</f>
        <v>0.14899999999999999</v>
      </c>
      <c r="L39" s="47" t="s">
        <v>281</v>
      </c>
      <c r="M39" s="130">
        <v>1</v>
      </c>
      <c r="N39" s="86" t="s">
        <v>275</v>
      </c>
    </row>
    <row r="40" spans="1:18" ht="16" x14ac:dyDescent="0.2">
      <c r="A40" s="45" t="s">
        <v>210</v>
      </c>
      <c r="B40" s="29">
        <f>B$37</f>
        <v>1.3141700000000001</v>
      </c>
      <c r="C40" s="29">
        <f>C$37</f>
        <v>0</v>
      </c>
      <c r="D40" s="29">
        <f>D$37*0.9</f>
        <v>0</v>
      </c>
      <c r="E40" s="29">
        <f>E$37</f>
        <v>0.264816</v>
      </c>
      <c r="F40" s="51">
        <f>F$37</f>
        <v>4.2347368421052634E-2</v>
      </c>
      <c r="G40" s="29">
        <f>G$37</f>
        <v>0.36199999999999999</v>
      </c>
      <c r="H40" s="28" t="str">
        <f>H$37</f>
        <v>coke - IPCC</v>
      </c>
      <c r="I40" s="28">
        <f>I$37</f>
        <v>0</v>
      </c>
      <c r="J40" s="28" t="str">
        <f>J$37</f>
        <v>charcoal - IPCC</v>
      </c>
      <c r="K40" s="29">
        <f>K$37</f>
        <v>0.14899999999999999</v>
      </c>
      <c r="L40" s="47" t="s">
        <v>281</v>
      </c>
      <c r="M40" s="144">
        <v>1</v>
      </c>
      <c r="N40" s="86" t="s">
        <v>275</v>
      </c>
    </row>
    <row r="41" spans="1:18" s="86" customFormat="1" ht="16" x14ac:dyDescent="0.2">
      <c r="A41" s="59" t="s">
        <v>212</v>
      </c>
      <c r="B41" s="143">
        <v>1.17</v>
      </c>
      <c r="C41" s="143">
        <v>0.12</v>
      </c>
      <c r="D41" s="92">
        <f>0.04*(0.56)</f>
        <v>2.2400000000000003E-2</v>
      </c>
      <c r="E41" s="143">
        <v>0.24</v>
      </c>
      <c r="F41" s="62">
        <f>0.054*(K41/K$33)</f>
        <v>3.9789473684210527E-2</v>
      </c>
      <c r="G41" s="143">
        <v>0.36499999999999999</v>
      </c>
      <c r="H41" s="86" t="s">
        <v>111</v>
      </c>
      <c r="I41" s="86">
        <v>0</v>
      </c>
      <c r="J41" s="86" t="s">
        <v>275</v>
      </c>
      <c r="K41" s="143">
        <v>0.14000000000000001</v>
      </c>
      <c r="L41" s="86" t="s">
        <v>281</v>
      </c>
      <c r="M41" s="86">
        <v>0</v>
      </c>
      <c r="N41" s="86" t="s">
        <v>275</v>
      </c>
    </row>
    <row r="42" spans="1:18" ht="16" x14ac:dyDescent="0.2">
      <c r="A42" s="45" t="s">
        <v>213</v>
      </c>
      <c r="B42" s="29">
        <f>B$41</f>
        <v>1.17</v>
      </c>
      <c r="C42" s="29">
        <f>C$41</f>
        <v>0.12</v>
      </c>
      <c r="D42" s="29">
        <f>D$41*0.9</f>
        <v>2.0160000000000004E-2</v>
      </c>
      <c r="E42" s="29">
        <f>E$41</f>
        <v>0.24</v>
      </c>
      <c r="F42" s="29">
        <f>F$41</f>
        <v>3.9789473684210527E-2</v>
      </c>
      <c r="G42" s="29">
        <f>G$41</f>
        <v>0.36499999999999999</v>
      </c>
      <c r="H42" s="28" t="str">
        <f>H$41</f>
        <v>coke - IPCC</v>
      </c>
      <c r="I42" s="28">
        <f>I$41</f>
        <v>0</v>
      </c>
      <c r="J42" s="28" t="str">
        <f>J$41</f>
        <v>charcoal - IPCC</v>
      </c>
      <c r="K42" s="29">
        <f>K$41</f>
        <v>0.14000000000000001</v>
      </c>
      <c r="L42" s="28" t="s">
        <v>281</v>
      </c>
      <c r="M42" s="131">
        <v>1</v>
      </c>
      <c r="N42" s="47" t="s">
        <v>275</v>
      </c>
    </row>
    <row r="43" spans="1:18" ht="16" x14ac:dyDescent="0.2">
      <c r="A43" s="45" t="s">
        <v>214</v>
      </c>
      <c r="B43" s="29">
        <f>B$41</f>
        <v>1.17</v>
      </c>
      <c r="C43" s="29">
        <f>C$41</f>
        <v>0.12</v>
      </c>
      <c r="D43" s="29">
        <f>D$41*0.9</f>
        <v>2.0160000000000004E-2</v>
      </c>
      <c r="E43" s="29">
        <f>E$41</f>
        <v>0.24</v>
      </c>
      <c r="F43" s="29">
        <f>F$41</f>
        <v>3.9789473684210527E-2</v>
      </c>
      <c r="G43" s="29">
        <f>G$41</f>
        <v>0.36499999999999999</v>
      </c>
      <c r="H43" s="28" t="str">
        <f>H$41</f>
        <v>coke - IPCC</v>
      </c>
      <c r="I43" s="28">
        <f>I$41</f>
        <v>0</v>
      </c>
      <c r="J43" s="28" t="str">
        <f>J$41</f>
        <v>charcoal - IPCC</v>
      </c>
      <c r="K43" s="29">
        <f>K$41</f>
        <v>0.14000000000000001</v>
      </c>
      <c r="L43" s="28" t="str">
        <f>L$41</f>
        <v>coal bituminous - IPCC</v>
      </c>
      <c r="M43" s="131">
        <v>1</v>
      </c>
      <c r="N43" s="47" t="s">
        <v>275</v>
      </c>
    </row>
    <row r="44" spans="1:18" ht="16" x14ac:dyDescent="0.2">
      <c r="A44" s="45" t="s">
        <v>215</v>
      </c>
      <c r="B44" s="29">
        <f>B$41</f>
        <v>1.17</v>
      </c>
      <c r="C44" s="29">
        <f>C$41</f>
        <v>0.12</v>
      </c>
      <c r="D44" s="29">
        <f>D$41*0.9</f>
        <v>2.0160000000000004E-2</v>
      </c>
      <c r="E44" s="29">
        <f>E$41</f>
        <v>0.24</v>
      </c>
      <c r="F44" s="29">
        <f>F$41</f>
        <v>3.9789473684210527E-2</v>
      </c>
      <c r="G44" s="29">
        <f>G$41</f>
        <v>0.36499999999999999</v>
      </c>
      <c r="H44" s="28" t="str">
        <f>H$41</f>
        <v>coke - IPCC</v>
      </c>
      <c r="I44" s="28">
        <f>I$41</f>
        <v>0</v>
      </c>
      <c r="J44" s="28" t="str">
        <f>J$41</f>
        <v>charcoal - IPCC</v>
      </c>
      <c r="K44" s="29">
        <f>K$41</f>
        <v>0.14000000000000001</v>
      </c>
      <c r="L44" s="28" t="str">
        <f>L$41</f>
        <v>coal bituminous - IPCC</v>
      </c>
      <c r="M44" s="131">
        <v>1</v>
      </c>
      <c r="N44" s="47" t="s">
        <v>275</v>
      </c>
    </row>
    <row r="45" spans="1:18" s="86" customFormat="1" ht="16" x14ac:dyDescent="0.2">
      <c r="A45" s="59" t="s">
        <v>217</v>
      </c>
      <c r="B45" s="145">
        <f>0.85*1.15</f>
        <v>0.97749999999999992</v>
      </c>
      <c r="C45" s="145">
        <f>0.15*1.15</f>
        <v>0.17249999999999999</v>
      </c>
      <c r="D45" s="92">
        <f>0.04*(0.56)</f>
        <v>2.2400000000000003E-2</v>
      </c>
      <c r="E45" s="92">
        <v>0.2</v>
      </c>
      <c r="F45" s="62">
        <f>0.054*(K45/K$33)</f>
        <v>2.6033684210526317E-2</v>
      </c>
      <c r="G45" s="143">
        <v>0.45300000000000001</v>
      </c>
      <c r="H45" s="86" t="s">
        <v>111</v>
      </c>
      <c r="I45" s="86">
        <v>0</v>
      </c>
      <c r="J45" s="86" t="s">
        <v>275</v>
      </c>
      <c r="K45" s="143">
        <v>9.1600000000000001E-2</v>
      </c>
      <c r="L45" s="86" t="s">
        <v>123</v>
      </c>
      <c r="M45" s="86">
        <v>0</v>
      </c>
      <c r="N45" s="86" t="s">
        <v>275</v>
      </c>
    </row>
    <row r="46" spans="1:18" ht="16" x14ac:dyDescent="0.2">
      <c r="A46" s="45" t="s">
        <v>218</v>
      </c>
      <c r="B46" s="51">
        <f>B$45</f>
        <v>0.97749999999999992</v>
      </c>
      <c r="C46" s="51">
        <f>C$45</f>
        <v>0.17249999999999999</v>
      </c>
      <c r="D46" s="51">
        <f>D$45*0.9</f>
        <v>2.0160000000000004E-2</v>
      </c>
      <c r="E46" s="51">
        <f>E$45</f>
        <v>0.2</v>
      </c>
      <c r="F46" s="29">
        <f>F$41</f>
        <v>3.9789473684210527E-2</v>
      </c>
      <c r="G46" s="51">
        <f>G$45</f>
        <v>0.45300000000000001</v>
      </c>
      <c r="H46" s="50" t="str">
        <f>H$45</f>
        <v>coke - IPCC</v>
      </c>
      <c r="I46" s="50">
        <f>I$45</f>
        <v>0</v>
      </c>
      <c r="J46" s="50" t="str">
        <f>J$45</f>
        <v>charcoal - IPCC</v>
      </c>
      <c r="K46" s="51">
        <f>K$45</f>
        <v>9.1600000000000001E-2</v>
      </c>
      <c r="L46" s="50" t="str">
        <f>L$45</f>
        <v>natural gas - IPCC</v>
      </c>
      <c r="M46" s="131">
        <v>1</v>
      </c>
      <c r="N46" s="47" t="s">
        <v>275</v>
      </c>
    </row>
    <row r="47" spans="1:18" ht="16" x14ac:dyDescent="0.2">
      <c r="A47" s="45" t="s">
        <v>219</v>
      </c>
      <c r="B47" s="51">
        <f>B$45</f>
        <v>0.97749999999999992</v>
      </c>
      <c r="C47" s="51">
        <f>C$45</f>
        <v>0.17249999999999999</v>
      </c>
      <c r="D47" s="51">
        <f>D$45*0.9</f>
        <v>2.0160000000000004E-2</v>
      </c>
      <c r="E47" s="51">
        <f>E$45</f>
        <v>0.2</v>
      </c>
      <c r="F47" s="29">
        <f>F$41</f>
        <v>3.9789473684210527E-2</v>
      </c>
      <c r="G47" s="51">
        <f>G$45</f>
        <v>0.45300000000000001</v>
      </c>
      <c r="H47" s="50" t="str">
        <f>H$45</f>
        <v>coke - IPCC</v>
      </c>
      <c r="I47" s="50">
        <f>I$45</f>
        <v>0</v>
      </c>
      <c r="J47" s="50" t="str">
        <f>J$45</f>
        <v>charcoal - IPCC</v>
      </c>
      <c r="K47" s="51">
        <f>K$45</f>
        <v>9.1600000000000001E-2</v>
      </c>
      <c r="L47" s="50" t="str">
        <f>L$45</f>
        <v>natural gas - IPCC</v>
      </c>
      <c r="M47" s="131">
        <v>1</v>
      </c>
      <c r="N47" s="47" t="s">
        <v>275</v>
      </c>
    </row>
    <row r="48" spans="1:18" ht="16" x14ac:dyDescent="0.2">
      <c r="A48" s="45" t="s">
        <v>220</v>
      </c>
      <c r="B48" s="51">
        <f>B$45</f>
        <v>0.97749999999999992</v>
      </c>
      <c r="C48" s="51">
        <f>C$45</f>
        <v>0.17249999999999999</v>
      </c>
      <c r="D48" s="51">
        <f>D$45*0.9</f>
        <v>2.0160000000000004E-2</v>
      </c>
      <c r="E48" s="51">
        <f>E$45</f>
        <v>0.2</v>
      </c>
      <c r="F48" s="29">
        <f>F$41</f>
        <v>3.9789473684210527E-2</v>
      </c>
      <c r="G48" s="51">
        <f>G$45</f>
        <v>0.45300000000000001</v>
      </c>
      <c r="H48" s="50" t="str">
        <f>H$45</f>
        <v>coke - IPCC</v>
      </c>
      <c r="I48" s="50">
        <f>I$45</f>
        <v>0</v>
      </c>
      <c r="J48" s="50" t="str">
        <f>J$45</f>
        <v>charcoal - IPCC</v>
      </c>
      <c r="K48" s="51">
        <f>K$45</f>
        <v>9.1600000000000001E-2</v>
      </c>
      <c r="L48" s="50" t="str">
        <f>L$45</f>
        <v>natural gas - IPCC</v>
      </c>
      <c r="M48" s="131">
        <v>1</v>
      </c>
      <c r="N48" s="47" t="s">
        <v>275</v>
      </c>
    </row>
    <row r="49" spans="1:18" s="86" customFormat="1" ht="16" x14ac:dyDescent="0.2">
      <c r="A49" s="59" t="s">
        <v>222</v>
      </c>
      <c r="B49" s="143">
        <v>0</v>
      </c>
      <c r="C49" s="145">
        <f>70.2/54.4</f>
        <v>1.2904411764705883</v>
      </c>
      <c r="D49" s="145">
        <f>0.25*0.56</f>
        <v>0.14000000000000001</v>
      </c>
      <c r="E49" s="143">
        <v>0.27</v>
      </c>
      <c r="F49" s="62">
        <f>0.054*(K49/K$33)</f>
        <v>2.4248600223964162E-2</v>
      </c>
      <c r="G49" s="145">
        <f>12.26/30.23</f>
        <v>0.40555739331789614</v>
      </c>
      <c r="H49" s="86" t="s">
        <v>111</v>
      </c>
      <c r="I49" s="86">
        <v>0</v>
      </c>
      <c r="J49" s="86" t="s">
        <v>275</v>
      </c>
      <c r="K49" s="145">
        <f>(1.88+2.13)/47</f>
        <v>8.5319148936170208E-2</v>
      </c>
      <c r="L49" s="86" t="s">
        <v>123</v>
      </c>
      <c r="M49" s="86">
        <v>0</v>
      </c>
      <c r="N49" s="86" t="s">
        <v>275</v>
      </c>
      <c r="R49" s="86" t="s">
        <v>249</v>
      </c>
    </row>
    <row r="50" spans="1:18" ht="16" x14ac:dyDescent="0.2">
      <c r="A50" s="45" t="s">
        <v>223</v>
      </c>
      <c r="B50" s="29">
        <f>B$49</f>
        <v>0</v>
      </c>
      <c r="C50" s="29">
        <f>C$49</f>
        <v>1.2904411764705883</v>
      </c>
      <c r="D50" s="29">
        <f>D$49*0.9</f>
        <v>0.12600000000000003</v>
      </c>
      <c r="E50" s="29">
        <f>E$49</f>
        <v>0.27</v>
      </c>
      <c r="F50" s="29">
        <f>F$41</f>
        <v>3.9789473684210527E-2</v>
      </c>
      <c r="G50" s="29">
        <f>G$49</f>
        <v>0.40555739331789614</v>
      </c>
      <c r="H50" s="28" t="str">
        <f>H$49</f>
        <v>coke - IPCC</v>
      </c>
      <c r="I50" s="28">
        <f>I$49</f>
        <v>0</v>
      </c>
      <c r="J50" s="28" t="str">
        <f>J$49</f>
        <v>charcoal - IPCC</v>
      </c>
      <c r="K50" s="29">
        <f>K$49</f>
        <v>8.5319148936170208E-2</v>
      </c>
      <c r="L50" s="28" t="str">
        <f>L$49</f>
        <v>natural gas - IPCC</v>
      </c>
      <c r="M50" s="131">
        <v>1</v>
      </c>
      <c r="N50" s="47" t="s">
        <v>275</v>
      </c>
    </row>
    <row r="51" spans="1:18" ht="16" x14ac:dyDescent="0.2">
      <c r="A51" s="45" t="s">
        <v>224</v>
      </c>
      <c r="B51" s="29">
        <f>B$49</f>
        <v>0</v>
      </c>
      <c r="C51" s="29">
        <f>C$49</f>
        <v>1.2904411764705883</v>
      </c>
      <c r="D51" s="29">
        <f>D$49*0.9</f>
        <v>0.12600000000000003</v>
      </c>
      <c r="E51" s="29">
        <f>E$49</f>
        <v>0.27</v>
      </c>
      <c r="F51" s="29">
        <f>F$41</f>
        <v>3.9789473684210527E-2</v>
      </c>
      <c r="G51" s="29">
        <f>G$49</f>
        <v>0.40555739331789614</v>
      </c>
      <c r="H51" s="28" t="str">
        <f>H$49</f>
        <v>coke - IPCC</v>
      </c>
      <c r="I51" s="28">
        <f>I$49</f>
        <v>0</v>
      </c>
      <c r="J51" s="28" t="str">
        <f>J$49</f>
        <v>charcoal - IPCC</v>
      </c>
      <c r="K51" s="29">
        <f>K$49</f>
        <v>8.5319148936170208E-2</v>
      </c>
      <c r="L51" s="28" t="str">
        <f>L$49</f>
        <v>natural gas - IPCC</v>
      </c>
      <c r="M51" s="131">
        <v>1</v>
      </c>
      <c r="N51" s="47" t="s">
        <v>275</v>
      </c>
    </row>
    <row r="52" spans="1:18" ht="16" x14ac:dyDescent="0.2">
      <c r="A52" s="45" t="s">
        <v>225</v>
      </c>
      <c r="B52" s="29">
        <f>B$49</f>
        <v>0</v>
      </c>
      <c r="C52" s="29">
        <f>C$49</f>
        <v>1.2904411764705883</v>
      </c>
      <c r="D52" s="29">
        <f>D$49*0.9</f>
        <v>0.12600000000000003</v>
      </c>
      <c r="E52" s="29">
        <f>E$49</f>
        <v>0.27</v>
      </c>
      <c r="F52" s="29">
        <f>F$41</f>
        <v>3.9789473684210527E-2</v>
      </c>
      <c r="G52" s="29">
        <f>G$49</f>
        <v>0.40555739331789614</v>
      </c>
      <c r="H52" s="28" t="str">
        <f>H$49</f>
        <v>coke - IPCC</v>
      </c>
      <c r="I52" s="28">
        <f>I$49</f>
        <v>0</v>
      </c>
      <c r="J52" s="28" t="str">
        <f>J$49</f>
        <v>charcoal - IPCC</v>
      </c>
      <c r="K52" s="29">
        <f>K$49</f>
        <v>8.5319148936170208E-2</v>
      </c>
      <c r="L52" s="28" t="str">
        <f>L$49</f>
        <v>natural gas - IPCC</v>
      </c>
      <c r="M52" s="131">
        <v>1</v>
      </c>
      <c r="N52" s="47" t="s">
        <v>275</v>
      </c>
    </row>
    <row r="53" spans="1:18" s="86" customFormat="1" ht="16" x14ac:dyDescent="0.2">
      <c r="A53" s="59" t="s">
        <v>227</v>
      </c>
      <c r="B53" s="92">
        <v>1.4</v>
      </c>
      <c r="C53" s="92">
        <v>0</v>
      </c>
      <c r="D53" s="92">
        <v>0</v>
      </c>
      <c r="E53" s="92">
        <v>0.1</v>
      </c>
      <c r="F53" s="62">
        <f>0.054*(K53/K$33)</f>
        <v>3.126315789473684E-2</v>
      </c>
      <c r="G53" s="143">
        <v>0.59</v>
      </c>
      <c r="H53" s="86" t="s">
        <v>111</v>
      </c>
      <c r="I53" s="86">
        <v>0</v>
      </c>
      <c r="J53" s="86" t="s">
        <v>275</v>
      </c>
      <c r="K53" s="143">
        <v>0.11</v>
      </c>
      <c r="L53" s="86" t="s">
        <v>281</v>
      </c>
      <c r="M53" s="86">
        <v>0</v>
      </c>
      <c r="N53" s="86" t="s">
        <v>275</v>
      </c>
      <c r="R53" s="86" t="s">
        <v>248</v>
      </c>
    </row>
    <row r="54" spans="1:18" ht="16" x14ac:dyDescent="0.2">
      <c r="A54" s="45" t="s">
        <v>228</v>
      </c>
      <c r="B54" s="51">
        <f>B$53</f>
        <v>1.4</v>
      </c>
      <c r="C54" s="51">
        <f>C$53</f>
        <v>0</v>
      </c>
      <c r="D54" s="51">
        <f>D$53*0.9</f>
        <v>0</v>
      </c>
      <c r="E54" s="51">
        <f>E$53</f>
        <v>0.1</v>
      </c>
      <c r="F54" s="29">
        <f>F$41</f>
        <v>3.9789473684210527E-2</v>
      </c>
      <c r="G54" s="51">
        <f>G$53</f>
        <v>0.59</v>
      </c>
      <c r="H54" s="50" t="str">
        <f>H$53</f>
        <v>coke - IPCC</v>
      </c>
      <c r="I54" s="50">
        <f>I$53</f>
        <v>0</v>
      </c>
      <c r="J54" s="50" t="str">
        <f>J$53</f>
        <v>charcoal - IPCC</v>
      </c>
      <c r="K54" s="51">
        <f>K$53</f>
        <v>0.11</v>
      </c>
      <c r="L54" s="50" t="str">
        <f>L$53</f>
        <v>coal bituminous - IPCC</v>
      </c>
      <c r="M54" s="131">
        <v>1</v>
      </c>
      <c r="N54" s="47" t="s">
        <v>275</v>
      </c>
    </row>
    <row r="55" spans="1:18" ht="16" x14ac:dyDescent="0.2">
      <c r="A55" s="45" t="s">
        <v>229</v>
      </c>
      <c r="B55" s="51">
        <f>B$53</f>
        <v>1.4</v>
      </c>
      <c r="C55" s="51">
        <f>C$53</f>
        <v>0</v>
      </c>
      <c r="D55" s="51">
        <f>D$53*0.9</f>
        <v>0</v>
      </c>
      <c r="E55" s="51">
        <f>E$53</f>
        <v>0.1</v>
      </c>
      <c r="F55" s="29">
        <f>F$41</f>
        <v>3.9789473684210527E-2</v>
      </c>
      <c r="G55" s="51">
        <f>G$53</f>
        <v>0.59</v>
      </c>
      <c r="H55" s="50" t="str">
        <f>H$53</f>
        <v>coke - IPCC</v>
      </c>
      <c r="I55" s="50">
        <f>I$53</f>
        <v>0</v>
      </c>
      <c r="J55" s="50" t="str">
        <f>J$53</f>
        <v>charcoal - IPCC</v>
      </c>
      <c r="K55" s="51">
        <f>K$53</f>
        <v>0.11</v>
      </c>
      <c r="L55" s="50" t="s">
        <v>281</v>
      </c>
      <c r="M55" s="131">
        <v>1</v>
      </c>
      <c r="N55" s="47" t="s">
        <v>275</v>
      </c>
    </row>
    <row r="56" spans="1:18" ht="16" x14ac:dyDescent="0.2">
      <c r="A56" s="45" t="s">
        <v>230</v>
      </c>
      <c r="B56" s="51">
        <f>B$53</f>
        <v>1.4</v>
      </c>
      <c r="C56" s="51">
        <f>C$53</f>
        <v>0</v>
      </c>
      <c r="D56" s="51">
        <f>D$53*0.9</f>
        <v>0</v>
      </c>
      <c r="E56" s="51">
        <f>E$53</f>
        <v>0.1</v>
      </c>
      <c r="F56" s="29">
        <f>F$41</f>
        <v>3.9789473684210527E-2</v>
      </c>
      <c r="G56" s="51">
        <f>G$53</f>
        <v>0.59</v>
      </c>
      <c r="H56" s="50" t="str">
        <f>H$53</f>
        <v>coke - IPCC</v>
      </c>
      <c r="I56" s="50">
        <f>I$53</f>
        <v>0</v>
      </c>
      <c r="J56" s="50" t="str">
        <f>J$53</f>
        <v>charcoal - IPCC</v>
      </c>
      <c r="K56" s="51">
        <f>K$53</f>
        <v>0.11</v>
      </c>
      <c r="L56" s="50" t="s">
        <v>281</v>
      </c>
      <c r="M56" s="131">
        <v>1</v>
      </c>
      <c r="N56" s="47" t="s">
        <v>275</v>
      </c>
    </row>
    <row r="57" spans="1:18" s="152" customFormat="1" ht="16" x14ac:dyDescent="0.2">
      <c r="A57" s="149" t="s">
        <v>282</v>
      </c>
      <c r="B57" s="154">
        <v>1.3</v>
      </c>
      <c r="C57" s="154">
        <v>0</v>
      </c>
      <c r="D57" s="154">
        <v>0</v>
      </c>
      <c r="E57" s="154">
        <v>0</v>
      </c>
      <c r="F57" s="154">
        <v>0</v>
      </c>
      <c r="G57" s="155">
        <f>9.8/28.2*0.65</f>
        <v>0.22588652482269508</v>
      </c>
      <c r="H57" s="151" t="s">
        <v>111</v>
      </c>
      <c r="I57" s="152">
        <v>0</v>
      </c>
      <c r="J57" s="151" t="s">
        <v>275</v>
      </c>
      <c r="K57" s="154">
        <f>9.8/28.2*0.35</f>
        <v>0.12163120567375887</v>
      </c>
      <c r="L57" s="151" t="s">
        <v>281</v>
      </c>
      <c r="M57" s="153">
        <v>0</v>
      </c>
      <c r="N57" s="151" t="s">
        <v>275</v>
      </c>
      <c r="O57" s="152" t="s">
        <v>294</v>
      </c>
    </row>
    <row r="58" spans="1:18" ht="16" x14ac:dyDescent="0.2">
      <c r="A58" s="133" t="s">
        <v>283</v>
      </c>
      <c r="B58" s="29">
        <f>B57</f>
        <v>1.3</v>
      </c>
      <c r="C58" s="29">
        <f t="shared" ref="C58:N58" si="4">C57</f>
        <v>0</v>
      </c>
      <c r="D58" s="29">
        <f t="shared" si="4"/>
        <v>0</v>
      </c>
      <c r="E58" s="29">
        <f t="shared" si="4"/>
        <v>0</v>
      </c>
      <c r="F58" s="29">
        <f t="shared" si="4"/>
        <v>0</v>
      </c>
      <c r="G58" s="29">
        <f t="shared" si="4"/>
        <v>0.22588652482269508</v>
      </c>
      <c r="H58" s="29" t="str">
        <f t="shared" si="4"/>
        <v>coke - IPCC</v>
      </c>
      <c r="I58" s="29">
        <f t="shared" si="4"/>
        <v>0</v>
      </c>
      <c r="J58" s="29" t="str">
        <f t="shared" si="4"/>
        <v>charcoal - IPCC</v>
      </c>
      <c r="K58" s="29">
        <f t="shared" si="4"/>
        <v>0.12163120567375887</v>
      </c>
      <c r="L58" s="29" t="str">
        <f t="shared" si="4"/>
        <v>coal bituminous - IPCC</v>
      </c>
      <c r="M58" s="131">
        <v>1</v>
      </c>
      <c r="N58" s="29" t="str">
        <f t="shared" si="4"/>
        <v>charcoal - IPCC</v>
      </c>
    </row>
    <row r="59" spans="1:18" ht="16" x14ac:dyDescent="0.2">
      <c r="A59" s="133" t="s">
        <v>284</v>
      </c>
      <c r="B59" s="29">
        <f>B57</f>
        <v>1.3</v>
      </c>
      <c r="C59" s="29">
        <f t="shared" ref="C59:N59" si="5">C57</f>
        <v>0</v>
      </c>
      <c r="D59" s="29">
        <f t="shared" si="5"/>
        <v>0</v>
      </c>
      <c r="E59" s="29">
        <f t="shared" si="5"/>
        <v>0</v>
      </c>
      <c r="F59" s="29">
        <f t="shared" si="5"/>
        <v>0</v>
      </c>
      <c r="G59" s="29">
        <f t="shared" si="5"/>
        <v>0.22588652482269508</v>
      </c>
      <c r="H59" s="29" t="str">
        <f t="shared" si="5"/>
        <v>coke - IPCC</v>
      </c>
      <c r="I59" s="29">
        <f t="shared" si="5"/>
        <v>0</v>
      </c>
      <c r="J59" s="29" t="str">
        <f t="shared" si="5"/>
        <v>charcoal - IPCC</v>
      </c>
      <c r="K59" s="29">
        <f t="shared" si="5"/>
        <v>0.12163120567375887</v>
      </c>
      <c r="L59" s="29" t="str">
        <f t="shared" si="5"/>
        <v>coal bituminous - IPCC</v>
      </c>
      <c r="M59" s="131">
        <v>1</v>
      </c>
      <c r="N59" s="29" t="str">
        <f t="shared" si="5"/>
        <v>charcoal - IPCC</v>
      </c>
    </row>
    <row r="60" spans="1:18" ht="16" x14ac:dyDescent="0.2">
      <c r="A60" s="133" t="s">
        <v>285</v>
      </c>
      <c r="B60" s="29">
        <f>B57</f>
        <v>1.3</v>
      </c>
      <c r="C60" s="29">
        <f t="shared" ref="C60:N60" si="6">C57</f>
        <v>0</v>
      </c>
      <c r="D60" s="29">
        <f t="shared" si="6"/>
        <v>0</v>
      </c>
      <c r="E60" s="29">
        <f t="shared" si="6"/>
        <v>0</v>
      </c>
      <c r="F60" s="29">
        <f t="shared" si="6"/>
        <v>0</v>
      </c>
      <c r="G60" s="29">
        <f t="shared" si="6"/>
        <v>0.22588652482269508</v>
      </c>
      <c r="H60" s="29" t="str">
        <f t="shared" si="6"/>
        <v>coke - IPCC</v>
      </c>
      <c r="I60" s="29">
        <f t="shared" si="6"/>
        <v>0</v>
      </c>
      <c r="J60" s="29" t="str">
        <f t="shared" si="6"/>
        <v>charcoal - IPCC</v>
      </c>
      <c r="K60" s="29">
        <f t="shared" si="6"/>
        <v>0.12163120567375887</v>
      </c>
      <c r="L60" s="29" t="str">
        <f t="shared" si="6"/>
        <v>coal bituminous - IPCC</v>
      </c>
      <c r="M60" s="131">
        <v>1</v>
      </c>
      <c r="N60" s="29" t="str">
        <f t="shared" si="6"/>
        <v>charcoal - IPCC</v>
      </c>
    </row>
    <row r="61" spans="1:18" ht="16" x14ac:dyDescent="0.2">
      <c r="A61" s="133" t="s">
        <v>286</v>
      </c>
      <c r="B61" s="88">
        <v>1.3</v>
      </c>
      <c r="C61" s="61">
        <v>0</v>
      </c>
      <c r="D61" s="61">
        <f>D59</f>
        <v>0</v>
      </c>
      <c r="E61" s="61">
        <v>0.107</v>
      </c>
      <c r="F61" s="88">
        <v>0.28199999999999997</v>
      </c>
      <c r="G61" s="61">
        <v>0.187</v>
      </c>
      <c r="H61" s="1" t="s">
        <v>111</v>
      </c>
      <c r="I61" s="1">
        <v>0</v>
      </c>
      <c r="J61" s="1" t="s">
        <v>275</v>
      </c>
      <c r="K61" s="61">
        <v>0.18</v>
      </c>
      <c r="L61" s="1" t="s">
        <v>281</v>
      </c>
      <c r="M61" s="144">
        <v>1</v>
      </c>
      <c r="N61" s="86" t="s">
        <v>275</v>
      </c>
    </row>
    <row r="62" spans="1:18" ht="16" x14ac:dyDescent="0.2">
      <c r="A62" s="133" t="s">
        <v>287</v>
      </c>
      <c r="B62" s="92">
        <f>B61</f>
        <v>1.3</v>
      </c>
      <c r="C62" s="143">
        <v>0</v>
      </c>
      <c r="D62" s="143">
        <f>D33</f>
        <v>2.5700000000000001E-2</v>
      </c>
      <c r="E62" s="143">
        <v>0.107</v>
      </c>
      <c r="F62" s="62">
        <f>0.054*(K62/K$33)</f>
        <v>5.1157894736842104E-2</v>
      </c>
      <c r="G62" s="143">
        <f>G61</f>
        <v>0.187</v>
      </c>
      <c r="H62" s="86" t="s">
        <v>111</v>
      </c>
      <c r="I62" s="86">
        <v>0</v>
      </c>
      <c r="J62" s="86" t="s">
        <v>275</v>
      </c>
      <c r="K62" s="143">
        <f>K61</f>
        <v>0.18</v>
      </c>
      <c r="L62" s="86" t="s">
        <v>281</v>
      </c>
      <c r="M62" s="144">
        <v>1</v>
      </c>
      <c r="N62" s="86" t="s">
        <v>275</v>
      </c>
    </row>
    <row r="63" spans="1:18" ht="16" x14ac:dyDescent="0.2">
      <c r="A63" s="133" t="s">
        <v>288</v>
      </c>
      <c r="B63" s="29">
        <f>B61</f>
        <v>1.3</v>
      </c>
      <c r="C63" s="29">
        <f>C$62</f>
        <v>0</v>
      </c>
      <c r="D63" s="29">
        <f>D$62*0.9</f>
        <v>2.3130000000000001E-2</v>
      </c>
      <c r="E63" s="29">
        <f>E$62</f>
        <v>0.107</v>
      </c>
      <c r="F63" s="51">
        <f>F$62</f>
        <v>5.1157894736842104E-2</v>
      </c>
      <c r="G63" s="29">
        <f>G61</f>
        <v>0.187</v>
      </c>
      <c r="H63" s="28" t="str">
        <f>H$62</f>
        <v>coke - IPCC</v>
      </c>
      <c r="I63" s="28">
        <f>I$62</f>
        <v>0</v>
      </c>
      <c r="J63" s="28" t="str">
        <f>J$62</f>
        <v>charcoal - IPCC</v>
      </c>
      <c r="K63" s="29">
        <f>K61</f>
        <v>0.18</v>
      </c>
      <c r="L63" s="28" t="str">
        <f>L$62</f>
        <v>coal bituminous - IPCC</v>
      </c>
      <c r="M63" s="130">
        <v>1</v>
      </c>
      <c r="N63" s="28" t="str">
        <f>N$62</f>
        <v>charcoal - IPCC</v>
      </c>
    </row>
    <row r="64" spans="1:18" ht="16" x14ac:dyDescent="0.2">
      <c r="A64" s="133" t="s">
        <v>289</v>
      </c>
      <c r="B64" s="29">
        <f>B61</f>
        <v>1.3</v>
      </c>
      <c r="C64" s="29">
        <f t="shared" ref="C64:N64" si="7">C61</f>
        <v>0</v>
      </c>
      <c r="D64" s="29">
        <f t="shared" si="7"/>
        <v>0</v>
      </c>
      <c r="E64" s="29">
        <f t="shared" si="7"/>
        <v>0.107</v>
      </c>
      <c r="F64" s="29">
        <f t="shared" si="7"/>
        <v>0.28199999999999997</v>
      </c>
      <c r="G64" s="29">
        <f t="shared" si="7"/>
        <v>0.187</v>
      </c>
      <c r="H64" s="29" t="str">
        <f t="shared" si="7"/>
        <v>coke - IPCC</v>
      </c>
      <c r="I64" s="29">
        <f t="shared" si="7"/>
        <v>0</v>
      </c>
      <c r="J64" s="29" t="str">
        <f t="shared" si="7"/>
        <v>charcoal - IPCC</v>
      </c>
      <c r="K64" s="29">
        <f>K61</f>
        <v>0.18</v>
      </c>
      <c r="L64" s="29" t="str">
        <f t="shared" si="7"/>
        <v>coal bituminous - IPCC</v>
      </c>
      <c r="M64" s="29">
        <v>1</v>
      </c>
      <c r="N64" s="29" t="str">
        <f t="shared" si="7"/>
        <v>charcoal - IPCC</v>
      </c>
    </row>
    <row r="65" spans="1:14" ht="16" x14ac:dyDescent="0.2">
      <c r="A65" s="133" t="s">
        <v>290</v>
      </c>
      <c r="B65" s="92">
        <v>1.3</v>
      </c>
      <c r="C65" s="143">
        <v>0</v>
      </c>
      <c r="D65" s="143">
        <f>D33</f>
        <v>2.5700000000000001E-2</v>
      </c>
      <c r="E65" s="143">
        <v>0.107</v>
      </c>
      <c r="F65" s="62">
        <f>0.054*(K65/K$33)</f>
        <v>4.5473684210526312E-2</v>
      </c>
      <c r="G65" s="143">
        <v>0.28199999999999997</v>
      </c>
      <c r="H65" s="86" t="s">
        <v>111</v>
      </c>
      <c r="I65" s="86">
        <v>0</v>
      </c>
      <c r="J65" s="86" t="s">
        <v>275</v>
      </c>
      <c r="K65" s="143">
        <v>0.16</v>
      </c>
      <c r="L65" s="86" t="s">
        <v>281</v>
      </c>
      <c r="M65" s="86">
        <v>0</v>
      </c>
      <c r="N65" s="86" t="s">
        <v>275</v>
      </c>
    </row>
    <row r="66" spans="1:14" ht="16" x14ac:dyDescent="0.2">
      <c r="A66" s="133" t="s">
        <v>291</v>
      </c>
      <c r="B66" s="29">
        <f>B$65</f>
        <v>1.3</v>
      </c>
      <c r="C66" s="29">
        <f>C$65</f>
        <v>0</v>
      </c>
      <c r="D66" s="29">
        <f>D$65*0.9</f>
        <v>2.3130000000000001E-2</v>
      </c>
      <c r="E66" s="29">
        <f>E$65</f>
        <v>0.107</v>
      </c>
      <c r="F66" s="51">
        <f>F$65</f>
        <v>4.5473684210526312E-2</v>
      </c>
      <c r="G66" s="29">
        <f>G$65</f>
        <v>0.28199999999999997</v>
      </c>
      <c r="H66" s="28" t="str">
        <f>H$65</f>
        <v>coke - IPCC</v>
      </c>
      <c r="I66" s="28">
        <f>I$65</f>
        <v>0</v>
      </c>
      <c r="J66" s="28" t="str">
        <f>J$65</f>
        <v>charcoal - IPCC</v>
      </c>
      <c r="K66" s="29">
        <f>K$65</f>
        <v>0.16</v>
      </c>
      <c r="L66" s="28" t="str">
        <f>L$65</f>
        <v>coal bituminous - IPCC</v>
      </c>
      <c r="M66" s="130">
        <v>1</v>
      </c>
      <c r="N66" s="28" t="str">
        <f>N$65</f>
        <v>charcoal - IPCC</v>
      </c>
    </row>
    <row r="67" spans="1:14" ht="16" x14ac:dyDescent="0.2">
      <c r="A67" s="133" t="s">
        <v>292</v>
      </c>
      <c r="B67" s="29">
        <f>B$65</f>
        <v>1.3</v>
      </c>
      <c r="C67" s="29">
        <f>C$65</f>
        <v>0</v>
      </c>
      <c r="D67" s="29">
        <f>D$65*0.9</f>
        <v>2.3130000000000001E-2</v>
      </c>
      <c r="E67" s="29">
        <f>E$65</f>
        <v>0.107</v>
      </c>
      <c r="F67" s="51">
        <f>F$65</f>
        <v>4.5473684210526312E-2</v>
      </c>
      <c r="G67" s="29">
        <f>G$65</f>
        <v>0.28199999999999997</v>
      </c>
      <c r="H67" s="28" t="str">
        <f>H$65</f>
        <v>coke - IPCC</v>
      </c>
      <c r="I67" s="28">
        <f>I$65</f>
        <v>0</v>
      </c>
      <c r="J67" s="28" t="str">
        <f>J$65</f>
        <v>charcoal - IPCC</v>
      </c>
      <c r="K67" s="29">
        <f>K$65</f>
        <v>0.16</v>
      </c>
      <c r="L67" s="28" t="s">
        <v>281</v>
      </c>
      <c r="M67" s="130">
        <v>1</v>
      </c>
      <c r="N67" s="28" t="str">
        <f>N$65</f>
        <v>charcoal - IPCC</v>
      </c>
    </row>
    <row r="68" spans="1:14" ht="16" x14ac:dyDescent="0.2">
      <c r="A68" s="133" t="s">
        <v>293</v>
      </c>
      <c r="B68" s="29">
        <f>B65</f>
        <v>1.3</v>
      </c>
      <c r="C68" s="29">
        <f t="shared" ref="C68:L69" si="8">C65</f>
        <v>0</v>
      </c>
      <c r="D68" s="29">
        <f t="shared" si="8"/>
        <v>2.5700000000000001E-2</v>
      </c>
      <c r="E68" s="29">
        <f t="shared" si="8"/>
        <v>0.107</v>
      </c>
      <c r="F68" s="29">
        <f t="shared" si="8"/>
        <v>4.5473684210526312E-2</v>
      </c>
      <c r="G68" s="29">
        <f t="shared" si="8"/>
        <v>0.28199999999999997</v>
      </c>
      <c r="H68" s="29" t="str">
        <f t="shared" si="8"/>
        <v>coke - IPCC</v>
      </c>
      <c r="I68" s="29">
        <f t="shared" si="8"/>
        <v>0</v>
      </c>
      <c r="J68" s="29" t="str">
        <f t="shared" si="8"/>
        <v>charcoal - IPCC</v>
      </c>
      <c r="K68" s="29">
        <f t="shared" si="8"/>
        <v>0.16</v>
      </c>
      <c r="L68" s="29" t="str">
        <f t="shared" si="8"/>
        <v>coal bituminous - IPCC</v>
      </c>
      <c r="M68" s="130">
        <v>1</v>
      </c>
      <c r="N68" s="28" t="str">
        <f>N$65</f>
        <v>charcoal - IPCC</v>
      </c>
    </row>
    <row r="69" spans="1:14" ht="16" x14ac:dyDescent="0.2">
      <c r="A69" s="133" t="s">
        <v>295</v>
      </c>
      <c r="B69" s="28">
        <v>0</v>
      </c>
      <c r="C69" s="28">
        <v>1.3</v>
      </c>
      <c r="D69" s="28">
        <v>0</v>
      </c>
      <c r="E69" s="156">
        <v>0.2</v>
      </c>
      <c r="F69" s="157">
        <v>0.2</v>
      </c>
      <c r="G69" s="50">
        <v>0</v>
      </c>
      <c r="H69" s="86" t="s">
        <v>299</v>
      </c>
      <c r="I69" s="29">
        <f t="shared" si="8"/>
        <v>0</v>
      </c>
      <c r="J69" s="29" t="str">
        <f t="shared" si="8"/>
        <v>charcoal - IPCC</v>
      </c>
      <c r="K69" s="143">
        <v>0.6</v>
      </c>
      <c r="L69" s="86" t="s">
        <v>281</v>
      </c>
      <c r="M69" s="86">
        <v>0</v>
      </c>
      <c r="N69" s="86" t="s">
        <v>275</v>
      </c>
    </row>
    <row r="70" spans="1:14" ht="16" x14ac:dyDescent="0.2">
      <c r="A70" s="133" t="s">
        <v>296</v>
      </c>
      <c r="B70" s="28">
        <f>B69</f>
        <v>0</v>
      </c>
      <c r="C70" s="28">
        <f t="shared" ref="C70:L70" si="9">C69</f>
        <v>1.3</v>
      </c>
      <c r="D70" s="28">
        <f t="shared" si="9"/>
        <v>0</v>
      </c>
      <c r="E70" s="28">
        <f t="shared" si="9"/>
        <v>0.2</v>
      </c>
      <c r="F70" s="28">
        <f t="shared" si="9"/>
        <v>0.2</v>
      </c>
      <c r="G70" s="28">
        <f t="shared" si="9"/>
        <v>0</v>
      </c>
      <c r="H70" s="28" t="str">
        <f t="shared" si="9"/>
        <v>coke-IPCC</v>
      </c>
      <c r="I70" s="28">
        <f t="shared" si="9"/>
        <v>0</v>
      </c>
      <c r="J70" s="28" t="str">
        <f t="shared" si="9"/>
        <v>charcoal - IPCC</v>
      </c>
      <c r="K70" s="28">
        <f t="shared" si="9"/>
        <v>0.6</v>
      </c>
      <c r="L70" s="28" t="str">
        <f t="shared" si="9"/>
        <v>coal bituminous - IPCC</v>
      </c>
      <c r="M70" s="130">
        <v>1</v>
      </c>
      <c r="N70" s="28" t="str">
        <f>N$65</f>
        <v>charcoal - IPCC</v>
      </c>
    </row>
    <row r="71" spans="1:14" ht="16" x14ac:dyDescent="0.2">
      <c r="A71" s="133" t="s">
        <v>297</v>
      </c>
      <c r="B71" s="28">
        <f>B69</f>
        <v>0</v>
      </c>
      <c r="C71" s="28">
        <f t="shared" ref="C71:L71" si="10">C69</f>
        <v>1.3</v>
      </c>
      <c r="D71" s="28">
        <f t="shared" si="10"/>
        <v>0</v>
      </c>
      <c r="E71" s="28">
        <f t="shared" si="10"/>
        <v>0.2</v>
      </c>
      <c r="F71" s="28">
        <f t="shared" si="10"/>
        <v>0.2</v>
      </c>
      <c r="G71" s="28">
        <f t="shared" si="10"/>
        <v>0</v>
      </c>
      <c r="H71" s="28" t="str">
        <f t="shared" si="10"/>
        <v>coke-IPCC</v>
      </c>
      <c r="I71" s="28">
        <f t="shared" si="10"/>
        <v>0</v>
      </c>
      <c r="J71" s="28" t="str">
        <f t="shared" si="10"/>
        <v>charcoal - IPCC</v>
      </c>
      <c r="K71" s="28">
        <f t="shared" si="10"/>
        <v>0.6</v>
      </c>
      <c r="L71" s="28" t="str">
        <f t="shared" si="10"/>
        <v>coal bituminous - IPCC</v>
      </c>
      <c r="M71" s="130">
        <v>1</v>
      </c>
      <c r="N71" s="28" t="str">
        <f>N$65</f>
        <v>charcoal - IPCC</v>
      </c>
    </row>
    <row r="72" spans="1:14" ht="16" x14ac:dyDescent="0.2">
      <c r="A72" s="133" t="s">
        <v>298</v>
      </c>
      <c r="B72" s="28">
        <f>B69</f>
        <v>0</v>
      </c>
      <c r="C72" s="28">
        <f t="shared" ref="C72:L72" si="11">C69</f>
        <v>1.3</v>
      </c>
      <c r="D72" s="28">
        <f t="shared" si="11"/>
        <v>0</v>
      </c>
      <c r="E72" s="28">
        <f t="shared" si="11"/>
        <v>0.2</v>
      </c>
      <c r="F72" s="28">
        <f t="shared" si="11"/>
        <v>0.2</v>
      </c>
      <c r="G72" s="28">
        <f t="shared" si="11"/>
        <v>0</v>
      </c>
      <c r="H72" s="28" t="str">
        <f t="shared" si="11"/>
        <v>coke-IPCC</v>
      </c>
      <c r="I72" s="28">
        <f t="shared" si="11"/>
        <v>0</v>
      </c>
      <c r="J72" s="28" t="str">
        <f t="shared" si="11"/>
        <v>charcoal - IPCC</v>
      </c>
      <c r="K72" s="28">
        <f t="shared" si="11"/>
        <v>0.6</v>
      </c>
      <c r="L72" s="28" t="str">
        <f t="shared" si="11"/>
        <v>coal bituminous - IPCC</v>
      </c>
      <c r="M72" s="130">
        <v>1</v>
      </c>
      <c r="N72" s="28" t="str">
        <f>N$65</f>
        <v>charcoal - IPCC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75"/>
  <sheetViews>
    <sheetView workbookViewId="0">
      <pane xSplit="1" ySplit="2" topLeftCell="B42" activePane="bottomRight" state="frozen"/>
      <selection pane="topRight" activeCell="B1" sqref="B1"/>
      <selection pane="bottomLeft" activeCell="A3" sqref="A3"/>
      <selection pane="bottomRight" activeCell="A78" sqref="A78"/>
    </sheetView>
  </sheetViews>
  <sheetFormatPr baseColWidth="10" defaultColWidth="8.83203125" defaultRowHeight="15" x14ac:dyDescent="0.2"/>
  <cols>
    <col min="1" max="1" width="21.5" customWidth="1"/>
    <col min="2" max="2" width="14.1640625" customWidth="1"/>
    <col min="3" max="3" width="11.6640625" style="66" customWidth="1"/>
    <col min="4" max="4" width="14.1640625" bestFit="1" customWidth="1"/>
    <col min="5" max="5" width="17.6640625" bestFit="1" customWidth="1"/>
    <col min="6" max="6" width="20.33203125" customWidth="1"/>
    <col min="7" max="7" width="18.1640625" bestFit="1" customWidth="1"/>
    <col min="8" max="8" width="11.83203125" bestFit="1" customWidth="1"/>
    <col min="9" max="9" width="12.33203125" bestFit="1" customWidth="1"/>
    <col min="10" max="10" width="17.83203125" bestFit="1" customWidth="1"/>
    <col min="11" max="11" width="12" bestFit="1" customWidth="1"/>
  </cols>
  <sheetData>
    <row r="1" spans="1:12" x14ac:dyDescent="0.2">
      <c r="A1" s="1" t="s">
        <v>0</v>
      </c>
      <c r="B1" s="3" t="s">
        <v>278</v>
      </c>
      <c r="C1" s="66" t="s">
        <v>73</v>
      </c>
      <c r="D1" t="s">
        <v>20</v>
      </c>
      <c r="E1" t="s">
        <v>4</v>
      </c>
      <c r="F1" t="s">
        <v>21</v>
      </c>
      <c r="G1" t="s">
        <v>22</v>
      </c>
      <c r="H1" t="s">
        <v>12</v>
      </c>
      <c r="I1" t="s">
        <v>19</v>
      </c>
      <c r="J1" t="s">
        <v>7</v>
      </c>
      <c r="K1" t="s">
        <v>69</v>
      </c>
      <c r="L1" t="s">
        <v>2</v>
      </c>
    </row>
    <row r="2" spans="1:12" x14ac:dyDescent="0.2">
      <c r="A2" s="2" t="s">
        <v>1</v>
      </c>
      <c r="B2" s="2" t="s">
        <v>279</v>
      </c>
      <c r="C2" s="117" t="s">
        <v>74</v>
      </c>
      <c r="D2" t="s">
        <v>70</v>
      </c>
      <c r="J2" t="s">
        <v>72</v>
      </c>
      <c r="K2" t="s">
        <v>71</v>
      </c>
    </row>
    <row r="3" spans="1:12" x14ac:dyDescent="0.2">
      <c r="A3" s="2" t="s">
        <v>2</v>
      </c>
      <c r="B3" s="2" t="s">
        <v>280</v>
      </c>
      <c r="C3" s="117"/>
    </row>
    <row r="4" spans="1:12" x14ac:dyDescent="0.2">
      <c r="A4" t="s">
        <v>3</v>
      </c>
      <c r="B4" s="126">
        <f>SUM(C4:D4)</f>
        <v>1.1379999999999999</v>
      </c>
      <c r="C4" s="66">
        <v>1</v>
      </c>
      <c r="D4">
        <v>0.13800000000000001</v>
      </c>
      <c r="E4">
        <v>0</v>
      </c>
      <c r="F4" t="s">
        <v>258</v>
      </c>
      <c r="G4">
        <v>0</v>
      </c>
      <c r="H4" s="102" t="s">
        <v>275</v>
      </c>
      <c r="I4">
        <v>0</v>
      </c>
      <c r="J4" s="43">
        <v>0</v>
      </c>
    </row>
    <row r="5" spans="1:12" hidden="1" x14ac:dyDescent="0.2">
      <c r="A5" t="s">
        <v>55</v>
      </c>
      <c r="B5" s="127">
        <f t="shared" ref="B5:B17" si="0">SUM(C5:D5)</f>
        <v>1.105</v>
      </c>
      <c r="C5" s="66">
        <f>0.95</f>
        <v>0.95</v>
      </c>
      <c r="D5">
        <v>0.155</v>
      </c>
      <c r="E5">
        <v>0.01</v>
      </c>
      <c r="F5" t="s">
        <v>111</v>
      </c>
      <c r="G5">
        <v>0</v>
      </c>
      <c r="H5" t="s">
        <v>275</v>
      </c>
      <c r="I5">
        <v>0.1</v>
      </c>
      <c r="J5">
        <v>0.1</v>
      </c>
      <c r="K5">
        <v>7.0000000000000007E-2</v>
      </c>
    </row>
    <row r="6" spans="1:12" hidden="1" x14ac:dyDescent="0.2">
      <c r="A6" t="s">
        <v>106</v>
      </c>
      <c r="B6" s="127">
        <f t="shared" si="0"/>
        <v>1.0899999999999999</v>
      </c>
      <c r="C6" s="66">
        <f>0.95</f>
        <v>0.95</v>
      </c>
      <c r="D6">
        <v>0.14000000000000001</v>
      </c>
      <c r="E6">
        <v>0</v>
      </c>
      <c r="F6" t="s">
        <v>112</v>
      </c>
      <c r="G6">
        <v>0</v>
      </c>
      <c r="H6" t="s">
        <v>275</v>
      </c>
      <c r="I6" s="23">
        <f>I9</f>
        <v>7.975728E-2</v>
      </c>
      <c r="J6">
        <f>35.5*Ref!B18</f>
        <v>0.1278</v>
      </c>
      <c r="K6">
        <f>51.08*Ref!C12</f>
        <v>7.2923115195859714E-2</v>
      </c>
    </row>
    <row r="7" spans="1:12" hidden="1" x14ac:dyDescent="0.2">
      <c r="A7" s="48" t="s">
        <v>234</v>
      </c>
      <c r="B7" s="127">
        <f t="shared" si="0"/>
        <v>1.0899999999999999</v>
      </c>
      <c r="C7" s="66">
        <v>0.95</v>
      </c>
      <c r="D7">
        <v>0.14000000000000001</v>
      </c>
      <c r="E7">
        <v>0</v>
      </c>
      <c r="F7" t="s">
        <v>112</v>
      </c>
      <c r="I7" s="23"/>
      <c r="J7">
        <v>0.1278</v>
      </c>
      <c r="K7">
        <v>7.2923115195859714E-2</v>
      </c>
    </row>
    <row r="8" spans="1:12" hidden="1" x14ac:dyDescent="0.2">
      <c r="A8" s="48" t="s">
        <v>235</v>
      </c>
      <c r="B8" s="127">
        <f t="shared" si="0"/>
        <v>1.0150000000000001</v>
      </c>
      <c r="C8" s="66">
        <f>40.2/40</f>
        <v>1.0050000000000001</v>
      </c>
      <c r="D8">
        <f>0.1/10</f>
        <v>0.01</v>
      </c>
      <c r="E8">
        <v>0</v>
      </c>
      <c r="F8" t="s">
        <v>112</v>
      </c>
      <c r="I8" s="75">
        <f>0.0023*(56/12)</f>
        <v>1.0733333333333334E-2</v>
      </c>
    </row>
    <row r="9" spans="1:12" hidden="1" x14ac:dyDescent="0.2">
      <c r="A9" t="s">
        <v>107</v>
      </c>
      <c r="B9" s="127">
        <f t="shared" si="0"/>
        <v>1.0958000000000001</v>
      </c>
      <c r="C9" s="66">
        <f>0.9058</f>
        <v>0.90580000000000005</v>
      </c>
      <c r="D9">
        <f>0.1169+0.0731</f>
        <v>0.19</v>
      </c>
      <c r="E9">
        <v>0</v>
      </c>
      <c r="F9" t="s">
        <v>111</v>
      </c>
      <c r="G9">
        <v>0</v>
      </c>
      <c r="H9" t="s">
        <v>275</v>
      </c>
      <c r="I9" s="21">
        <f>0.9136*(0.0755+0.0118)</f>
        <v>7.975728E-2</v>
      </c>
      <c r="J9">
        <v>7.1999999999999995E-2</v>
      </c>
      <c r="K9">
        <v>7.4236999999999997E-2</v>
      </c>
    </row>
    <row r="10" spans="1:12" hidden="1" x14ac:dyDescent="0.2">
      <c r="A10" t="s">
        <v>108</v>
      </c>
      <c r="B10" s="127">
        <f t="shared" si="0"/>
        <v>1.105</v>
      </c>
      <c r="C10" s="66">
        <v>0.95</v>
      </c>
      <c r="D10">
        <v>0.155</v>
      </c>
      <c r="E10">
        <v>0.01</v>
      </c>
      <c r="F10" t="s">
        <v>115</v>
      </c>
      <c r="G10">
        <v>0</v>
      </c>
      <c r="H10" t="s">
        <v>275</v>
      </c>
      <c r="I10" s="22">
        <v>6.9000000000000006E-2</v>
      </c>
      <c r="J10">
        <v>0.2</v>
      </c>
      <c r="K10" s="22">
        <v>7.0000000000000007E-2</v>
      </c>
    </row>
    <row r="11" spans="1:12" hidden="1" x14ac:dyDescent="0.2">
      <c r="A11" t="s">
        <v>109</v>
      </c>
      <c r="B11" s="127">
        <f t="shared" si="0"/>
        <v>1.105</v>
      </c>
      <c r="C11" s="66">
        <v>0.95</v>
      </c>
      <c r="D11" s="22">
        <v>0.155</v>
      </c>
      <c r="E11">
        <v>0</v>
      </c>
      <c r="F11" t="s">
        <v>111</v>
      </c>
      <c r="G11">
        <v>0</v>
      </c>
      <c r="H11" t="s">
        <v>275</v>
      </c>
      <c r="I11" s="22">
        <v>6.9000000000000006E-2</v>
      </c>
      <c r="K11" s="22">
        <v>7.0000000000000007E-2</v>
      </c>
    </row>
    <row r="12" spans="1:12" hidden="1" x14ac:dyDescent="0.2">
      <c r="A12" t="s">
        <v>110</v>
      </c>
      <c r="B12" s="127">
        <f t="shared" si="0"/>
        <v>1.1228070175438596</v>
      </c>
      <c r="C12" s="118">
        <f>53.4/62.7</f>
        <v>0.85167464114832525</v>
      </c>
      <c r="D12" s="25">
        <f>17/62.7</f>
        <v>0.27113237639553428</v>
      </c>
      <c r="E12" s="21">
        <f>0.43/47.1</f>
        <v>9.1295116772823776E-3</v>
      </c>
      <c r="F12" t="s">
        <v>119</v>
      </c>
      <c r="G12">
        <v>0</v>
      </c>
      <c r="H12" t="s">
        <v>275</v>
      </c>
      <c r="I12" s="22">
        <v>0.04</v>
      </c>
      <c r="J12">
        <v>0.13</v>
      </c>
      <c r="K12" s="22">
        <v>7.0000000000000007E-2</v>
      </c>
    </row>
    <row r="13" spans="1:12" hidden="1" x14ac:dyDescent="0.2">
      <c r="A13" t="s">
        <v>126</v>
      </c>
      <c r="B13" s="127">
        <f t="shared" si="0"/>
        <v>1.0999999999999999</v>
      </c>
      <c r="C13" s="66">
        <v>0.95</v>
      </c>
      <c r="D13" s="22">
        <v>0.15</v>
      </c>
      <c r="E13" s="22">
        <v>0</v>
      </c>
      <c r="F13" s="22" t="s">
        <v>111</v>
      </c>
      <c r="G13" s="22">
        <v>0</v>
      </c>
      <c r="H13" s="22" t="s">
        <v>275</v>
      </c>
      <c r="I13" s="22">
        <v>6.9000000000000006E-2</v>
      </c>
      <c r="J13" s="22"/>
      <c r="K13" s="22">
        <v>7.0000000000000007E-2</v>
      </c>
    </row>
    <row r="14" spans="1:12" hidden="1" x14ac:dyDescent="0.2">
      <c r="A14" t="s">
        <v>130</v>
      </c>
      <c r="B14" s="127">
        <f t="shared" si="0"/>
        <v>1.0958000000000001</v>
      </c>
      <c r="C14" s="66">
        <f t="shared" ref="C14:K18" si="1">C$9</f>
        <v>0.90580000000000005</v>
      </c>
      <c r="D14">
        <f t="shared" si="1"/>
        <v>0.19</v>
      </c>
      <c r="E14">
        <f t="shared" si="1"/>
        <v>0</v>
      </c>
      <c r="F14" t="str">
        <f t="shared" si="1"/>
        <v>coke - IPCC</v>
      </c>
      <c r="G14">
        <f t="shared" si="1"/>
        <v>0</v>
      </c>
      <c r="H14" t="str">
        <f t="shared" si="1"/>
        <v>charcoal - IPCC</v>
      </c>
      <c r="I14">
        <f t="shared" si="1"/>
        <v>7.975728E-2</v>
      </c>
      <c r="J14">
        <f t="shared" si="1"/>
        <v>7.1999999999999995E-2</v>
      </c>
      <c r="K14">
        <f t="shared" si="1"/>
        <v>7.4236999999999997E-2</v>
      </c>
    </row>
    <row r="15" spans="1:12" hidden="1" x14ac:dyDescent="0.2">
      <c r="A15" t="s">
        <v>131</v>
      </c>
      <c r="B15" s="127">
        <f t="shared" si="0"/>
        <v>1.0958000000000001</v>
      </c>
      <c r="C15" s="66">
        <f t="shared" si="1"/>
        <v>0.90580000000000005</v>
      </c>
      <c r="D15">
        <f t="shared" si="1"/>
        <v>0.19</v>
      </c>
      <c r="E15">
        <f t="shared" si="1"/>
        <v>0</v>
      </c>
      <c r="F15" t="str">
        <f t="shared" si="1"/>
        <v>coke - IPCC</v>
      </c>
      <c r="G15">
        <f t="shared" si="1"/>
        <v>0</v>
      </c>
      <c r="H15" t="str">
        <f t="shared" si="1"/>
        <v>charcoal - IPCC</v>
      </c>
      <c r="I15">
        <f t="shared" si="1"/>
        <v>7.975728E-2</v>
      </c>
      <c r="J15">
        <f t="shared" si="1"/>
        <v>7.1999999999999995E-2</v>
      </c>
      <c r="K15">
        <f t="shared" si="1"/>
        <v>7.4236999999999997E-2</v>
      </c>
    </row>
    <row r="16" spans="1:12" hidden="1" x14ac:dyDescent="0.2">
      <c r="A16" t="s">
        <v>132</v>
      </c>
      <c r="B16" s="127">
        <f t="shared" si="0"/>
        <v>1.0958000000000001</v>
      </c>
      <c r="C16" s="66">
        <f t="shared" si="1"/>
        <v>0.90580000000000005</v>
      </c>
      <c r="D16">
        <f t="shared" si="1"/>
        <v>0.19</v>
      </c>
      <c r="E16">
        <f t="shared" si="1"/>
        <v>0</v>
      </c>
      <c r="F16" t="str">
        <f t="shared" si="1"/>
        <v>coke - IPCC</v>
      </c>
      <c r="G16">
        <f t="shared" si="1"/>
        <v>0</v>
      </c>
      <c r="H16" t="str">
        <f t="shared" si="1"/>
        <v>charcoal - IPCC</v>
      </c>
      <c r="I16">
        <f t="shared" si="1"/>
        <v>7.975728E-2</v>
      </c>
      <c r="J16">
        <f t="shared" si="1"/>
        <v>7.1999999999999995E-2</v>
      </c>
      <c r="K16">
        <f t="shared" si="1"/>
        <v>7.4236999999999997E-2</v>
      </c>
    </row>
    <row r="17" spans="1:11" hidden="1" x14ac:dyDescent="0.2">
      <c r="A17" t="s">
        <v>133</v>
      </c>
      <c r="B17" s="127">
        <f t="shared" si="0"/>
        <v>1.0958000000000001</v>
      </c>
      <c r="C17" s="66">
        <f t="shared" si="1"/>
        <v>0.90580000000000005</v>
      </c>
      <c r="D17">
        <f t="shared" si="1"/>
        <v>0.19</v>
      </c>
      <c r="E17">
        <f t="shared" si="1"/>
        <v>0</v>
      </c>
      <c r="F17" t="str">
        <f t="shared" si="1"/>
        <v>coke - IPCC</v>
      </c>
      <c r="G17">
        <f t="shared" si="1"/>
        <v>0</v>
      </c>
      <c r="H17" t="str">
        <f t="shared" si="1"/>
        <v>charcoal - IPCC</v>
      </c>
      <c r="I17">
        <f t="shared" si="1"/>
        <v>7.975728E-2</v>
      </c>
      <c r="J17">
        <f t="shared" si="1"/>
        <v>7.1999999999999995E-2</v>
      </c>
      <c r="K17">
        <f t="shared" si="1"/>
        <v>7.4236999999999997E-2</v>
      </c>
    </row>
    <row r="18" spans="1:11" x14ac:dyDescent="0.2">
      <c r="A18" t="s">
        <v>135</v>
      </c>
      <c r="B18" s="127">
        <f>SUM(C18:D18)</f>
        <v>1.0958000000000001</v>
      </c>
      <c r="C18" s="66">
        <v>0.90580000000000005</v>
      </c>
      <c r="D18">
        <f>0.1169+0.0731</f>
        <v>0.19</v>
      </c>
      <c r="E18">
        <v>0</v>
      </c>
      <c r="F18" t="s">
        <v>136</v>
      </c>
      <c r="G18">
        <v>0</v>
      </c>
      <c r="H18" t="s">
        <v>275</v>
      </c>
      <c r="I18">
        <f>0.0757*0.913606</f>
        <v>6.9159974200000002E-2</v>
      </c>
      <c r="J18">
        <f t="shared" si="1"/>
        <v>7.1999999999999995E-2</v>
      </c>
      <c r="K18">
        <f t="shared" si="1"/>
        <v>7.4236999999999997E-2</v>
      </c>
    </row>
    <row r="19" spans="1:11" hidden="1" x14ac:dyDescent="0.2">
      <c r="A19" t="s">
        <v>150</v>
      </c>
      <c r="B19" s="127">
        <f t="shared" ref="B19:B24" si="2">SUM(C19:D19)</f>
        <v>1.0958000000000001</v>
      </c>
      <c r="C19" s="66">
        <f>0.9058</f>
        <v>0.90580000000000005</v>
      </c>
      <c r="D19">
        <f>0.1169+0.0731</f>
        <v>0.19</v>
      </c>
      <c r="E19">
        <v>0</v>
      </c>
      <c r="F19" t="s">
        <v>111</v>
      </c>
      <c r="G19">
        <v>0</v>
      </c>
      <c r="H19" t="s">
        <v>275</v>
      </c>
      <c r="I19" s="21">
        <f>0.9136*(0.0755+0.0118)</f>
        <v>7.975728E-2</v>
      </c>
      <c r="J19">
        <v>7.1999999999999995E-2</v>
      </c>
      <c r="K19">
        <v>7.4236999999999997E-2</v>
      </c>
    </row>
    <row r="20" spans="1:11" hidden="1" x14ac:dyDescent="0.2">
      <c r="A20" t="s">
        <v>157</v>
      </c>
      <c r="B20" s="127">
        <f t="shared" si="2"/>
        <v>1.0958000000000001</v>
      </c>
      <c r="C20" s="66">
        <f>0.9058</f>
        <v>0.90580000000000005</v>
      </c>
      <c r="D20">
        <f>0.1169+0.0731</f>
        <v>0.19</v>
      </c>
      <c r="E20">
        <v>0</v>
      </c>
      <c r="F20" t="s">
        <v>111</v>
      </c>
      <c r="G20">
        <v>0</v>
      </c>
      <c r="H20" t="s">
        <v>275</v>
      </c>
      <c r="I20" s="21">
        <f>0.9136*(0.0755+0.0118)</f>
        <v>7.975728E-2</v>
      </c>
      <c r="J20">
        <v>7.1999999999999995E-2</v>
      </c>
      <c r="K20">
        <v>7.4236999999999997E-2</v>
      </c>
    </row>
    <row r="21" spans="1:11" hidden="1" x14ac:dyDescent="0.2">
      <c r="A21" t="s">
        <v>151</v>
      </c>
      <c r="B21" s="127">
        <f t="shared" si="2"/>
        <v>1.1000000000000001</v>
      </c>
      <c r="C21" s="66">
        <v>0.9</v>
      </c>
      <c r="D21">
        <v>0.2</v>
      </c>
      <c r="E21" s="21">
        <f>0.4/47</f>
        <v>8.5106382978723406E-3</v>
      </c>
      <c r="F21" t="s">
        <v>123</v>
      </c>
      <c r="I21">
        <v>0.05</v>
      </c>
      <c r="J21">
        <v>0.1</v>
      </c>
      <c r="K21">
        <f>60*Ref!$C$12</f>
        <v>8.5657535468903354E-2</v>
      </c>
    </row>
    <row r="22" spans="1:11" hidden="1" x14ac:dyDescent="0.2">
      <c r="A22" t="s">
        <v>142</v>
      </c>
      <c r="B22" s="127">
        <f t="shared" si="2"/>
        <v>1.1280000000000001</v>
      </c>
      <c r="C22" s="66">
        <f>0.788</f>
        <v>0.78800000000000003</v>
      </c>
      <c r="D22">
        <v>0.34</v>
      </c>
      <c r="E22">
        <v>1E-3</v>
      </c>
      <c r="F22" t="s">
        <v>123</v>
      </c>
      <c r="I22">
        <v>0.03</v>
      </c>
      <c r="J22">
        <v>3.5000000000000003E-2</v>
      </c>
      <c r="K22">
        <f>49.5*Ref!C12</f>
        <v>7.0667466761845266E-2</v>
      </c>
    </row>
    <row r="23" spans="1:11" hidden="1" x14ac:dyDescent="0.2">
      <c r="A23" t="s">
        <v>152</v>
      </c>
      <c r="B23" s="127">
        <f t="shared" si="2"/>
        <v>0</v>
      </c>
      <c r="E23">
        <v>0</v>
      </c>
      <c r="F23" t="s">
        <v>123</v>
      </c>
    </row>
    <row r="24" spans="1:11" hidden="1" x14ac:dyDescent="0.2">
      <c r="A24" t="s">
        <v>155</v>
      </c>
      <c r="B24" s="128">
        <f t="shared" si="2"/>
        <v>0</v>
      </c>
      <c r="E24" s="21">
        <f>0.4/47.1</f>
        <v>8.4925690021231421E-3</v>
      </c>
      <c r="F24" t="s">
        <v>123</v>
      </c>
      <c r="J24">
        <v>0.09</v>
      </c>
    </row>
    <row r="25" spans="1:11" s="77" customFormat="1" ht="16" x14ac:dyDescent="0.2">
      <c r="A25" s="76" t="s">
        <v>197</v>
      </c>
      <c r="B25" s="116">
        <f>SUM(C25:D25)</f>
        <v>1.1000000000000001</v>
      </c>
      <c r="C25" s="119">
        <v>0.9</v>
      </c>
      <c r="D25" s="85">
        <v>0.2</v>
      </c>
      <c r="E25" s="85">
        <f>0.4/47</f>
        <v>8.5106382978723406E-3</v>
      </c>
      <c r="F25" s="77" t="s">
        <v>123</v>
      </c>
      <c r="G25" s="77">
        <v>0</v>
      </c>
      <c r="H25" s="77" t="s">
        <v>275</v>
      </c>
      <c r="I25" s="77">
        <v>0.05</v>
      </c>
      <c r="J25" s="77">
        <v>0.1</v>
      </c>
      <c r="K25" s="88">
        <v>7.4999999999999997E-2</v>
      </c>
    </row>
    <row r="26" spans="1:11" s="1" customFormat="1" ht="16" x14ac:dyDescent="0.2">
      <c r="A26" s="59" t="s">
        <v>290</v>
      </c>
      <c r="B26" s="126">
        <f t="shared" ref="B26:B27" si="3">SUM(C26:D26)</f>
        <v>1.1280000000000001</v>
      </c>
      <c r="C26" s="120">
        <f>0.788</f>
        <v>0.78800000000000003</v>
      </c>
      <c r="D26" s="61">
        <v>0.34</v>
      </c>
      <c r="E26" s="61">
        <v>1E-3</v>
      </c>
      <c r="F26" s="1" t="s">
        <v>123</v>
      </c>
      <c r="G26" s="86">
        <v>0</v>
      </c>
      <c r="H26" s="86" t="s">
        <v>275</v>
      </c>
      <c r="I26" s="1">
        <v>0.03</v>
      </c>
      <c r="J26" s="1">
        <v>3.5000000000000003E-2</v>
      </c>
      <c r="K26" s="88">
        <v>7.4999999999999997E-2</v>
      </c>
    </row>
    <row r="27" spans="1:11" s="1" customFormat="1" ht="16" x14ac:dyDescent="0.2">
      <c r="A27" s="59" t="s">
        <v>286</v>
      </c>
      <c r="B27" s="126">
        <f t="shared" si="3"/>
        <v>1.1280000000000001</v>
      </c>
      <c r="C27" s="120">
        <f>0.788</f>
        <v>0.78800000000000003</v>
      </c>
      <c r="D27" s="61">
        <v>0.34</v>
      </c>
      <c r="E27" s="61">
        <v>0</v>
      </c>
      <c r="F27" s="1" t="s">
        <v>123</v>
      </c>
      <c r="G27" s="1">
        <v>0</v>
      </c>
      <c r="H27" s="86" t="s">
        <v>275</v>
      </c>
      <c r="I27" s="1">
        <v>0.03</v>
      </c>
      <c r="J27" s="1">
        <v>0.03</v>
      </c>
      <c r="K27" s="88">
        <v>7.4999999999999997E-2</v>
      </c>
    </row>
    <row r="28" spans="1:11" ht="16" x14ac:dyDescent="0.2">
      <c r="A28" s="45" t="s">
        <v>198</v>
      </c>
      <c r="B28" s="21">
        <f>B$40</f>
        <v>1.0150000000000001</v>
      </c>
      <c r="C28" s="121">
        <f t="shared" ref="C28:K28" si="4">C$25</f>
        <v>0.9</v>
      </c>
      <c r="D28" s="21">
        <f t="shared" si="4"/>
        <v>0.2</v>
      </c>
      <c r="E28" s="21">
        <f t="shared" si="4"/>
        <v>8.5106382978723406E-3</v>
      </c>
      <c r="F28" t="str">
        <f t="shared" si="4"/>
        <v>natural gas - IPCC</v>
      </c>
      <c r="G28">
        <f t="shared" si="4"/>
        <v>0</v>
      </c>
      <c r="H28" t="str">
        <f t="shared" si="4"/>
        <v>charcoal - IPCC</v>
      </c>
      <c r="I28" s="21">
        <f t="shared" si="4"/>
        <v>0.05</v>
      </c>
      <c r="J28" s="21">
        <f t="shared" si="4"/>
        <v>0.1</v>
      </c>
      <c r="K28" s="21">
        <f t="shared" si="4"/>
        <v>7.4999999999999997E-2</v>
      </c>
    </row>
    <row r="29" spans="1:11" ht="16" x14ac:dyDescent="0.2">
      <c r="A29" s="45" t="s">
        <v>291</v>
      </c>
      <c r="B29" s="21">
        <f>B$41</f>
        <v>1.0899999999999999</v>
      </c>
      <c r="C29" s="121">
        <f>C$26</f>
        <v>0.78800000000000003</v>
      </c>
      <c r="D29" s="21">
        <f t="shared" ref="D29:K29" si="5">D$26</f>
        <v>0.34</v>
      </c>
      <c r="E29" s="21">
        <f t="shared" si="5"/>
        <v>1E-3</v>
      </c>
      <c r="F29" t="str">
        <f t="shared" si="5"/>
        <v>natural gas - IPCC</v>
      </c>
      <c r="G29">
        <f t="shared" si="5"/>
        <v>0</v>
      </c>
      <c r="H29" t="str">
        <f t="shared" si="5"/>
        <v>charcoal - IPCC</v>
      </c>
      <c r="I29" s="21">
        <f t="shared" si="5"/>
        <v>0.03</v>
      </c>
      <c r="J29" s="21">
        <f t="shared" si="5"/>
        <v>3.5000000000000003E-2</v>
      </c>
      <c r="K29" s="21">
        <f t="shared" si="5"/>
        <v>7.4999999999999997E-2</v>
      </c>
    </row>
    <row r="30" spans="1:11" ht="16" x14ac:dyDescent="0.2">
      <c r="A30" s="45" t="s">
        <v>199</v>
      </c>
      <c r="B30" s="21">
        <f t="shared" ref="B30" si="6">B$40</f>
        <v>1.0150000000000001</v>
      </c>
      <c r="C30" s="121">
        <f t="shared" ref="C30:K30" si="7">C$25</f>
        <v>0.9</v>
      </c>
      <c r="D30" s="21">
        <f t="shared" si="7"/>
        <v>0.2</v>
      </c>
      <c r="E30" s="21">
        <f t="shared" si="7"/>
        <v>8.5106382978723406E-3</v>
      </c>
      <c r="F30" t="str">
        <f t="shared" si="7"/>
        <v>natural gas - IPCC</v>
      </c>
      <c r="G30">
        <f t="shared" si="7"/>
        <v>0</v>
      </c>
      <c r="H30" t="str">
        <f t="shared" si="7"/>
        <v>charcoal - IPCC</v>
      </c>
      <c r="I30" s="21">
        <f t="shared" si="7"/>
        <v>0.05</v>
      </c>
      <c r="J30" s="21">
        <f t="shared" si="7"/>
        <v>0.1</v>
      </c>
      <c r="K30" s="21">
        <f t="shared" si="7"/>
        <v>7.4999999999999997E-2</v>
      </c>
    </row>
    <row r="31" spans="1:11" ht="16" x14ac:dyDescent="0.2">
      <c r="A31" s="45" t="s">
        <v>292</v>
      </c>
      <c r="B31" s="21">
        <f t="shared" ref="B31" si="8">B$41</f>
        <v>1.0899999999999999</v>
      </c>
      <c r="C31" s="121">
        <f t="shared" ref="C31:K31" si="9">C$26</f>
        <v>0.78800000000000003</v>
      </c>
      <c r="D31" s="21">
        <f t="shared" si="9"/>
        <v>0.34</v>
      </c>
      <c r="E31" s="21">
        <f t="shared" si="9"/>
        <v>1E-3</v>
      </c>
      <c r="F31" t="str">
        <f t="shared" si="9"/>
        <v>natural gas - IPCC</v>
      </c>
      <c r="G31">
        <f t="shared" si="9"/>
        <v>0</v>
      </c>
      <c r="H31" t="str">
        <f t="shared" si="9"/>
        <v>charcoal - IPCC</v>
      </c>
      <c r="I31" s="21">
        <f t="shared" si="9"/>
        <v>0.03</v>
      </c>
      <c r="J31" s="21">
        <f t="shared" si="9"/>
        <v>3.5000000000000003E-2</v>
      </c>
      <c r="K31" s="21">
        <f t="shared" si="9"/>
        <v>7.4999999999999997E-2</v>
      </c>
    </row>
    <row r="32" spans="1:11" ht="16" x14ac:dyDescent="0.2">
      <c r="A32" s="45" t="s">
        <v>288</v>
      </c>
      <c r="B32" s="21">
        <f>B$42</f>
        <v>1.1000000000000001</v>
      </c>
      <c r="C32" s="121">
        <f>C$27</f>
        <v>0.78800000000000003</v>
      </c>
      <c r="D32" s="21">
        <f t="shared" ref="D32:K32" si="10">D$27</f>
        <v>0.34</v>
      </c>
      <c r="E32" s="21">
        <f t="shared" si="10"/>
        <v>0</v>
      </c>
      <c r="F32" t="str">
        <f t="shared" si="10"/>
        <v>natural gas - IPCC</v>
      </c>
      <c r="G32">
        <f t="shared" si="10"/>
        <v>0</v>
      </c>
      <c r="H32" t="str">
        <f t="shared" si="10"/>
        <v>charcoal - IPCC</v>
      </c>
      <c r="I32" s="21">
        <f t="shared" si="10"/>
        <v>0.03</v>
      </c>
      <c r="J32" s="21">
        <f t="shared" si="10"/>
        <v>0.03</v>
      </c>
      <c r="K32" s="21">
        <f t="shared" si="10"/>
        <v>7.4999999999999997E-2</v>
      </c>
    </row>
    <row r="33" spans="1:11" ht="16" x14ac:dyDescent="0.2">
      <c r="A33" s="45" t="s">
        <v>200</v>
      </c>
      <c r="B33" s="21">
        <f t="shared" ref="B33:B35" si="11">B$40</f>
        <v>1.0150000000000001</v>
      </c>
      <c r="C33" s="121">
        <f t="shared" ref="C33:K35" si="12">C$25</f>
        <v>0.9</v>
      </c>
      <c r="D33" s="21">
        <f t="shared" si="12"/>
        <v>0.2</v>
      </c>
      <c r="E33" s="21">
        <f t="shared" si="12"/>
        <v>8.5106382978723406E-3</v>
      </c>
      <c r="F33" t="str">
        <f t="shared" si="12"/>
        <v>natural gas - IPCC</v>
      </c>
      <c r="G33">
        <f t="shared" si="12"/>
        <v>0</v>
      </c>
      <c r="H33" t="str">
        <f t="shared" si="12"/>
        <v>charcoal - IPCC</v>
      </c>
      <c r="I33" s="21">
        <f t="shared" si="12"/>
        <v>0.05</v>
      </c>
      <c r="J33" s="21">
        <f t="shared" si="12"/>
        <v>0.1</v>
      </c>
      <c r="K33" s="21">
        <f t="shared" si="12"/>
        <v>7.4999999999999997E-2</v>
      </c>
    </row>
    <row r="34" spans="1:11" ht="16" x14ac:dyDescent="0.2">
      <c r="A34" s="45" t="s">
        <v>201</v>
      </c>
      <c r="B34" s="21">
        <f t="shared" si="11"/>
        <v>1.0150000000000001</v>
      </c>
      <c r="C34" s="121">
        <f t="shared" si="12"/>
        <v>0.9</v>
      </c>
      <c r="D34" s="21">
        <f t="shared" si="12"/>
        <v>0.2</v>
      </c>
      <c r="E34" s="21">
        <f t="shared" si="12"/>
        <v>8.5106382978723406E-3</v>
      </c>
      <c r="F34" t="str">
        <f t="shared" si="12"/>
        <v>natural gas - IPCC</v>
      </c>
      <c r="G34">
        <f t="shared" si="12"/>
        <v>0</v>
      </c>
      <c r="H34" t="str">
        <f t="shared" si="12"/>
        <v>charcoal - IPCC</v>
      </c>
      <c r="I34" s="21">
        <f t="shared" si="12"/>
        <v>0.05</v>
      </c>
      <c r="J34" s="21">
        <f t="shared" si="12"/>
        <v>0.1</v>
      </c>
      <c r="K34" s="21">
        <f t="shared" si="12"/>
        <v>7.4999999999999997E-2</v>
      </c>
    </row>
    <row r="35" spans="1:11" ht="16" x14ac:dyDescent="0.2">
      <c r="A35" s="45" t="s">
        <v>172</v>
      </c>
      <c r="B35" s="21">
        <f t="shared" si="11"/>
        <v>1.0150000000000001</v>
      </c>
      <c r="C35" s="121">
        <f t="shared" si="12"/>
        <v>0.9</v>
      </c>
      <c r="D35" s="21">
        <f t="shared" si="12"/>
        <v>0.2</v>
      </c>
      <c r="E35" s="21">
        <f t="shared" si="12"/>
        <v>8.5106382978723406E-3</v>
      </c>
      <c r="F35" t="str">
        <f t="shared" si="12"/>
        <v>natural gas - IPCC</v>
      </c>
      <c r="G35">
        <f t="shared" si="12"/>
        <v>0</v>
      </c>
      <c r="H35" t="str">
        <f t="shared" si="12"/>
        <v>charcoal - IPCC</v>
      </c>
      <c r="I35" s="21">
        <f t="shared" si="12"/>
        <v>0.05</v>
      </c>
      <c r="J35" s="21">
        <f t="shared" si="12"/>
        <v>0.1</v>
      </c>
      <c r="K35" s="21">
        <f t="shared" si="12"/>
        <v>7.4999999999999997E-2</v>
      </c>
    </row>
    <row r="36" spans="1:11" ht="16" x14ac:dyDescent="0.2">
      <c r="A36" s="45" t="s">
        <v>173</v>
      </c>
      <c r="B36" s="21">
        <f t="shared" ref="B36:B37" si="13">B$41</f>
        <v>1.0899999999999999</v>
      </c>
      <c r="C36" s="121">
        <f t="shared" ref="C36:K37" si="14">C$26</f>
        <v>0.78800000000000003</v>
      </c>
      <c r="D36" s="21">
        <f t="shared" si="14"/>
        <v>0.34</v>
      </c>
      <c r="E36" s="21">
        <f t="shared" si="14"/>
        <v>1E-3</v>
      </c>
      <c r="F36" t="str">
        <f t="shared" si="14"/>
        <v>natural gas - IPCC</v>
      </c>
      <c r="G36">
        <f t="shared" si="14"/>
        <v>0</v>
      </c>
      <c r="H36" t="str">
        <f t="shared" si="14"/>
        <v>charcoal - IPCC</v>
      </c>
      <c r="I36" s="21">
        <f t="shared" si="14"/>
        <v>0.03</v>
      </c>
      <c r="J36" s="21">
        <f t="shared" si="14"/>
        <v>3.5000000000000003E-2</v>
      </c>
      <c r="K36" s="21">
        <f t="shared" si="14"/>
        <v>7.4999999999999997E-2</v>
      </c>
    </row>
    <row r="37" spans="1:11" ht="16" x14ac:dyDescent="0.2">
      <c r="A37" s="45" t="s">
        <v>174</v>
      </c>
      <c r="B37" s="21">
        <f t="shared" si="13"/>
        <v>1.0899999999999999</v>
      </c>
      <c r="C37" s="121">
        <f t="shared" si="14"/>
        <v>0.78800000000000003</v>
      </c>
      <c r="D37" s="21">
        <f t="shared" si="14"/>
        <v>0.34</v>
      </c>
      <c r="E37" s="21">
        <f t="shared" si="14"/>
        <v>1E-3</v>
      </c>
      <c r="F37" t="str">
        <f t="shared" si="14"/>
        <v>natural gas - IPCC</v>
      </c>
      <c r="G37">
        <f t="shared" si="14"/>
        <v>0</v>
      </c>
      <c r="H37" t="str">
        <f t="shared" si="14"/>
        <v>charcoal - IPCC</v>
      </c>
      <c r="I37" s="21">
        <f t="shared" si="14"/>
        <v>0.03</v>
      </c>
      <c r="J37" s="21">
        <f t="shared" si="14"/>
        <v>3.5000000000000003E-2</v>
      </c>
      <c r="K37" s="21">
        <f t="shared" si="14"/>
        <v>7.4999999999999997E-2</v>
      </c>
    </row>
    <row r="38" spans="1:11" ht="16" x14ac:dyDescent="0.2">
      <c r="A38" s="45" t="s">
        <v>175</v>
      </c>
      <c r="B38" s="21">
        <f t="shared" ref="B38:B39" si="15">B$42</f>
        <v>1.1000000000000001</v>
      </c>
      <c r="C38" s="121">
        <f t="shared" ref="C38:K42" si="16">C$27</f>
        <v>0.78800000000000003</v>
      </c>
      <c r="D38" s="21">
        <f t="shared" si="16"/>
        <v>0.34</v>
      </c>
      <c r="E38" s="21">
        <f t="shared" si="16"/>
        <v>0</v>
      </c>
      <c r="F38" t="str">
        <f t="shared" si="16"/>
        <v>natural gas - IPCC</v>
      </c>
      <c r="G38">
        <f t="shared" si="16"/>
        <v>0</v>
      </c>
      <c r="H38" t="str">
        <f t="shared" si="16"/>
        <v>charcoal - IPCC</v>
      </c>
      <c r="I38" s="21">
        <f t="shared" si="16"/>
        <v>0.03</v>
      </c>
      <c r="J38" s="21">
        <f t="shared" si="16"/>
        <v>0.03</v>
      </c>
      <c r="K38" s="21">
        <f t="shared" si="16"/>
        <v>7.4999999999999997E-2</v>
      </c>
    </row>
    <row r="39" spans="1:11" s="55" customFormat="1" ht="17" thickBot="1" x14ac:dyDescent="0.25">
      <c r="A39" s="56" t="s">
        <v>176</v>
      </c>
      <c r="B39" s="54">
        <f t="shared" si="15"/>
        <v>1.1000000000000001</v>
      </c>
      <c r="C39" s="122">
        <f t="shared" si="16"/>
        <v>0.78800000000000003</v>
      </c>
      <c r="D39" s="54">
        <f t="shared" si="16"/>
        <v>0.34</v>
      </c>
      <c r="E39" s="54">
        <f t="shared" si="16"/>
        <v>0</v>
      </c>
      <c r="F39" s="55" t="str">
        <f t="shared" si="16"/>
        <v>natural gas - IPCC</v>
      </c>
      <c r="G39" s="55">
        <f t="shared" si="16"/>
        <v>0</v>
      </c>
      <c r="H39" s="55" t="str">
        <f t="shared" si="16"/>
        <v>charcoal - IPCC</v>
      </c>
      <c r="I39" s="54">
        <f t="shared" si="16"/>
        <v>0.03</v>
      </c>
      <c r="J39" s="54">
        <f t="shared" si="16"/>
        <v>0.03</v>
      </c>
      <c r="K39" s="54">
        <f t="shared" si="16"/>
        <v>7.4999999999999997E-2</v>
      </c>
    </row>
    <row r="40" spans="1:11" s="1" customFormat="1" ht="16" x14ac:dyDescent="0.2">
      <c r="A40" s="59" t="s">
        <v>202</v>
      </c>
      <c r="B40" s="116">
        <f t="shared" ref="B40:B42" si="17">SUM(C40:D40)</f>
        <v>1.0150000000000001</v>
      </c>
      <c r="C40" s="120">
        <f>40.2*(1/0.04)/1000</f>
        <v>1.0050000000000001</v>
      </c>
      <c r="D40" s="61">
        <f>0.1*(1/0.01)/1000</f>
        <v>0.01</v>
      </c>
      <c r="E40" s="61">
        <v>0</v>
      </c>
      <c r="F40" s="1" t="s">
        <v>111</v>
      </c>
      <c r="G40" s="1">
        <v>0</v>
      </c>
      <c r="H40" s="1" t="s">
        <v>275</v>
      </c>
      <c r="I40" s="87">
        <v>0.05</v>
      </c>
      <c r="J40" s="61">
        <v>0.13</v>
      </c>
      <c r="K40" s="88">
        <v>7.4999999999999997E-2</v>
      </c>
    </row>
    <row r="41" spans="1:11" s="1" customFormat="1" ht="16" x14ac:dyDescent="0.2">
      <c r="A41" s="59" t="s">
        <v>203</v>
      </c>
      <c r="B41" s="126">
        <f t="shared" si="17"/>
        <v>1.0899999999999999</v>
      </c>
      <c r="C41" s="120">
        <v>0.95</v>
      </c>
      <c r="D41" s="61">
        <v>0.14000000000000001</v>
      </c>
      <c r="E41" s="61">
        <v>0</v>
      </c>
      <c r="F41" s="1" t="s">
        <v>111</v>
      </c>
      <c r="G41" s="1">
        <v>0</v>
      </c>
      <c r="H41" s="1" t="str">
        <f t="shared" si="16"/>
        <v>charcoal - IPCC</v>
      </c>
      <c r="I41" s="87">
        <v>0.05</v>
      </c>
      <c r="J41" s="61">
        <v>0.1278</v>
      </c>
      <c r="K41" s="88">
        <v>7.4999999999999997E-2</v>
      </c>
    </row>
    <row r="42" spans="1:11" s="1" customFormat="1" ht="16" x14ac:dyDescent="0.2">
      <c r="A42" s="59" t="s">
        <v>204</v>
      </c>
      <c r="B42" s="126">
        <f t="shared" si="17"/>
        <v>1.1000000000000001</v>
      </c>
      <c r="C42" s="120">
        <v>0.8</v>
      </c>
      <c r="D42" s="88">
        <v>0.3</v>
      </c>
      <c r="E42" s="61">
        <v>0</v>
      </c>
      <c r="F42" s="1" t="s">
        <v>111</v>
      </c>
      <c r="G42" s="1">
        <v>0</v>
      </c>
      <c r="H42" s="1" t="str">
        <f t="shared" si="16"/>
        <v>charcoal - IPCC</v>
      </c>
      <c r="I42" s="87">
        <v>0.05</v>
      </c>
      <c r="J42" s="61">
        <v>7.0000000000000007E-2</v>
      </c>
      <c r="K42" s="88">
        <v>7.4999999999999997E-2</v>
      </c>
    </row>
    <row r="43" spans="1:11" ht="16" x14ac:dyDescent="0.2">
      <c r="A43" s="45" t="s">
        <v>205</v>
      </c>
      <c r="B43" s="21">
        <f>B$40</f>
        <v>1.0150000000000001</v>
      </c>
      <c r="C43" s="121">
        <f>C$40</f>
        <v>1.0050000000000001</v>
      </c>
      <c r="D43" s="21">
        <f t="shared" ref="D43:K43" si="18">D$40</f>
        <v>0.01</v>
      </c>
      <c r="E43" s="21">
        <f t="shared" si="18"/>
        <v>0</v>
      </c>
      <c r="F43" t="str">
        <f t="shared" si="18"/>
        <v>coke - IPCC</v>
      </c>
      <c r="G43">
        <f t="shared" si="18"/>
        <v>0</v>
      </c>
      <c r="H43" t="str">
        <f t="shared" si="18"/>
        <v>charcoal - IPCC</v>
      </c>
      <c r="I43" s="21">
        <f t="shared" si="18"/>
        <v>0.05</v>
      </c>
      <c r="J43" s="21">
        <f t="shared" si="18"/>
        <v>0.13</v>
      </c>
      <c r="K43" s="21">
        <f t="shared" si="18"/>
        <v>7.4999999999999997E-2</v>
      </c>
    </row>
    <row r="44" spans="1:11" ht="16" x14ac:dyDescent="0.2">
      <c r="A44" s="45" t="s">
        <v>206</v>
      </c>
      <c r="B44" s="21">
        <f>B$41</f>
        <v>1.0899999999999999</v>
      </c>
      <c r="C44" s="121">
        <f>C$41</f>
        <v>0.95</v>
      </c>
      <c r="D44" s="21">
        <f t="shared" ref="D44:K44" si="19">D$41</f>
        <v>0.14000000000000001</v>
      </c>
      <c r="E44" s="21">
        <f t="shared" si="19"/>
        <v>0</v>
      </c>
      <c r="F44" t="str">
        <f t="shared" si="19"/>
        <v>coke - IPCC</v>
      </c>
      <c r="G44">
        <f t="shared" si="19"/>
        <v>0</v>
      </c>
      <c r="H44" t="str">
        <f t="shared" si="19"/>
        <v>charcoal - IPCC</v>
      </c>
      <c r="I44" s="21">
        <f t="shared" si="19"/>
        <v>0.05</v>
      </c>
      <c r="J44" s="21">
        <f t="shared" si="19"/>
        <v>0.1278</v>
      </c>
      <c r="K44" s="21">
        <f t="shared" si="19"/>
        <v>7.4999999999999997E-2</v>
      </c>
    </row>
    <row r="45" spans="1:11" ht="16" x14ac:dyDescent="0.2">
      <c r="A45" s="45" t="s">
        <v>207</v>
      </c>
      <c r="B45" s="21">
        <f t="shared" ref="B45:K45" si="20">B$40</f>
        <v>1.0150000000000001</v>
      </c>
      <c r="C45" s="121">
        <f t="shared" si="20"/>
        <v>1.0050000000000001</v>
      </c>
      <c r="D45" s="21">
        <f t="shared" si="20"/>
        <v>0.01</v>
      </c>
      <c r="E45" s="21">
        <f t="shared" si="20"/>
        <v>0</v>
      </c>
      <c r="F45" t="str">
        <f t="shared" si="20"/>
        <v>coke - IPCC</v>
      </c>
      <c r="G45">
        <f t="shared" si="20"/>
        <v>0</v>
      </c>
      <c r="H45" t="str">
        <f t="shared" si="20"/>
        <v>charcoal - IPCC</v>
      </c>
      <c r="I45" s="21">
        <f t="shared" si="20"/>
        <v>0.05</v>
      </c>
      <c r="J45" s="21">
        <f t="shared" si="20"/>
        <v>0.13</v>
      </c>
      <c r="K45" s="21">
        <f t="shared" si="20"/>
        <v>7.4999999999999997E-2</v>
      </c>
    </row>
    <row r="46" spans="1:11" ht="16" x14ac:dyDescent="0.2">
      <c r="A46" s="45" t="s">
        <v>208</v>
      </c>
      <c r="B46" s="21">
        <f t="shared" ref="B46:K46" si="21">B$41</f>
        <v>1.0899999999999999</v>
      </c>
      <c r="C46" s="121">
        <f t="shared" si="21"/>
        <v>0.95</v>
      </c>
      <c r="D46" s="21">
        <f t="shared" si="21"/>
        <v>0.14000000000000001</v>
      </c>
      <c r="E46" s="21">
        <f t="shared" si="21"/>
        <v>0</v>
      </c>
      <c r="F46" t="str">
        <f t="shared" si="21"/>
        <v>coke - IPCC</v>
      </c>
      <c r="G46">
        <f t="shared" si="21"/>
        <v>0</v>
      </c>
      <c r="H46" t="str">
        <f t="shared" si="21"/>
        <v>charcoal - IPCC</v>
      </c>
      <c r="I46" s="21">
        <f t="shared" si="21"/>
        <v>0.05</v>
      </c>
      <c r="J46" s="21">
        <f t="shared" si="21"/>
        <v>0.1278</v>
      </c>
      <c r="K46" s="21">
        <f t="shared" si="21"/>
        <v>7.4999999999999997E-2</v>
      </c>
    </row>
    <row r="47" spans="1:11" ht="16" x14ac:dyDescent="0.2">
      <c r="A47" s="45" t="s">
        <v>209</v>
      </c>
      <c r="B47" s="21">
        <f>B$42</f>
        <v>1.1000000000000001</v>
      </c>
      <c r="C47" s="121">
        <f>C$42</f>
        <v>0.8</v>
      </c>
      <c r="D47" s="21">
        <f t="shared" ref="D47:K47" si="22">D$42</f>
        <v>0.3</v>
      </c>
      <c r="E47" s="21">
        <f t="shared" si="22"/>
        <v>0</v>
      </c>
      <c r="F47" t="str">
        <f t="shared" si="22"/>
        <v>coke - IPCC</v>
      </c>
      <c r="G47">
        <f t="shared" si="22"/>
        <v>0</v>
      </c>
      <c r="H47" t="str">
        <f t="shared" si="22"/>
        <v>charcoal - IPCC</v>
      </c>
      <c r="I47" s="21">
        <f t="shared" si="22"/>
        <v>0.05</v>
      </c>
      <c r="J47" s="21">
        <f t="shared" si="22"/>
        <v>7.0000000000000007E-2</v>
      </c>
      <c r="K47" s="21">
        <f t="shared" si="22"/>
        <v>7.4999999999999997E-2</v>
      </c>
    </row>
    <row r="48" spans="1:11" ht="16" x14ac:dyDescent="0.2">
      <c r="A48" s="45" t="s">
        <v>210</v>
      </c>
      <c r="B48" s="21">
        <f t="shared" ref="B48:K50" si="23">B$40</f>
        <v>1.0150000000000001</v>
      </c>
      <c r="C48" s="121">
        <f t="shared" si="23"/>
        <v>1.0050000000000001</v>
      </c>
      <c r="D48" s="21">
        <f t="shared" si="23"/>
        <v>0.01</v>
      </c>
      <c r="E48" s="21">
        <f t="shared" si="23"/>
        <v>0</v>
      </c>
      <c r="F48" t="str">
        <f t="shared" si="23"/>
        <v>coke - IPCC</v>
      </c>
      <c r="G48">
        <f t="shared" si="23"/>
        <v>0</v>
      </c>
      <c r="H48" t="str">
        <f t="shared" si="23"/>
        <v>charcoal - IPCC</v>
      </c>
      <c r="I48" s="21">
        <f t="shared" si="23"/>
        <v>0.05</v>
      </c>
      <c r="J48" s="21">
        <f t="shared" si="23"/>
        <v>0.13</v>
      </c>
      <c r="K48" s="21">
        <f t="shared" si="23"/>
        <v>7.4999999999999997E-2</v>
      </c>
    </row>
    <row r="49" spans="1:11" ht="16" x14ac:dyDescent="0.2">
      <c r="A49" s="45" t="s">
        <v>211</v>
      </c>
      <c r="B49" s="21">
        <f t="shared" si="23"/>
        <v>1.0150000000000001</v>
      </c>
      <c r="C49" s="121">
        <f t="shared" si="23"/>
        <v>1.0050000000000001</v>
      </c>
      <c r="D49" s="21">
        <f t="shared" si="23"/>
        <v>0.01</v>
      </c>
      <c r="E49" s="21">
        <f t="shared" si="23"/>
        <v>0</v>
      </c>
      <c r="F49" t="str">
        <f t="shared" si="23"/>
        <v>coke - IPCC</v>
      </c>
      <c r="G49">
        <f t="shared" si="23"/>
        <v>0</v>
      </c>
      <c r="H49" t="str">
        <f t="shared" si="23"/>
        <v>charcoal - IPCC</v>
      </c>
      <c r="I49" s="21">
        <f t="shared" si="23"/>
        <v>0.05</v>
      </c>
      <c r="J49" s="21">
        <f t="shared" si="23"/>
        <v>0.13</v>
      </c>
      <c r="K49" s="21">
        <f t="shared" si="23"/>
        <v>7.4999999999999997E-2</v>
      </c>
    </row>
    <row r="50" spans="1:11" ht="16" x14ac:dyDescent="0.2">
      <c r="A50" s="45" t="s">
        <v>177</v>
      </c>
      <c r="B50" s="21">
        <f t="shared" si="23"/>
        <v>1.0150000000000001</v>
      </c>
      <c r="C50" s="121">
        <f t="shared" si="23"/>
        <v>1.0050000000000001</v>
      </c>
      <c r="D50" s="21">
        <f t="shared" si="23"/>
        <v>0.01</v>
      </c>
      <c r="E50" s="21">
        <f t="shared" si="23"/>
        <v>0</v>
      </c>
      <c r="F50" t="str">
        <f t="shared" si="23"/>
        <v>coke - IPCC</v>
      </c>
      <c r="G50">
        <f t="shared" si="23"/>
        <v>0</v>
      </c>
      <c r="H50" t="str">
        <f t="shared" si="23"/>
        <v>charcoal - IPCC</v>
      </c>
      <c r="I50" s="21">
        <f t="shared" si="23"/>
        <v>0.05</v>
      </c>
      <c r="J50" s="21">
        <f t="shared" si="23"/>
        <v>0.13</v>
      </c>
      <c r="K50" s="21">
        <f t="shared" si="23"/>
        <v>7.4999999999999997E-2</v>
      </c>
    </row>
    <row r="51" spans="1:11" ht="16" x14ac:dyDescent="0.2">
      <c r="A51" s="45" t="s">
        <v>178</v>
      </c>
      <c r="B51" s="21">
        <f t="shared" ref="B51:K52" si="24">B$41</f>
        <v>1.0899999999999999</v>
      </c>
      <c r="C51" s="121">
        <f t="shared" si="24"/>
        <v>0.95</v>
      </c>
      <c r="D51" s="21">
        <f t="shared" si="24"/>
        <v>0.14000000000000001</v>
      </c>
      <c r="E51" s="21">
        <f t="shared" si="24"/>
        <v>0</v>
      </c>
      <c r="F51" t="str">
        <f t="shared" si="24"/>
        <v>coke - IPCC</v>
      </c>
      <c r="G51">
        <f t="shared" si="24"/>
        <v>0</v>
      </c>
      <c r="H51" t="str">
        <f t="shared" si="24"/>
        <v>charcoal - IPCC</v>
      </c>
      <c r="I51" s="21">
        <f t="shared" si="24"/>
        <v>0.05</v>
      </c>
      <c r="J51" s="21">
        <f t="shared" si="24"/>
        <v>0.1278</v>
      </c>
      <c r="K51" s="21">
        <f t="shared" si="24"/>
        <v>7.4999999999999997E-2</v>
      </c>
    </row>
    <row r="52" spans="1:11" ht="16" x14ac:dyDescent="0.2">
      <c r="A52" s="45" t="s">
        <v>179</v>
      </c>
      <c r="B52" s="21">
        <f t="shared" si="24"/>
        <v>1.0899999999999999</v>
      </c>
      <c r="C52" s="121">
        <f t="shared" si="24"/>
        <v>0.95</v>
      </c>
      <c r="D52" s="21">
        <f t="shared" si="24"/>
        <v>0.14000000000000001</v>
      </c>
      <c r="E52" s="21">
        <f t="shared" si="24"/>
        <v>0</v>
      </c>
      <c r="F52" t="str">
        <f t="shared" si="24"/>
        <v>coke - IPCC</v>
      </c>
      <c r="G52">
        <f t="shared" si="24"/>
        <v>0</v>
      </c>
      <c r="H52" t="str">
        <f t="shared" si="24"/>
        <v>charcoal - IPCC</v>
      </c>
      <c r="I52" s="21">
        <f t="shared" si="24"/>
        <v>0.05</v>
      </c>
      <c r="J52" s="21">
        <f t="shared" si="24"/>
        <v>0.1278</v>
      </c>
      <c r="K52" s="21">
        <f t="shared" si="24"/>
        <v>7.4999999999999997E-2</v>
      </c>
    </row>
    <row r="53" spans="1:11" ht="16" x14ac:dyDescent="0.2">
      <c r="A53" s="45" t="s">
        <v>180</v>
      </c>
      <c r="B53" s="21">
        <f t="shared" ref="B53:K54" si="25">B$42</f>
        <v>1.1000000000000001</v>
      </c>
      <c r="C53" s="121">
        <f t="shared" si="25"/>
        <v>0.8</v>
      </c>
      <c r="D53" s="21">
        <f t="shared" si="25"/>
        <v>0.3</v>
      </c>
      <c r="E53" s="21">
        <f t="shared" si="25"/>
        <v>0</v>
      </c>
      <c r="F53" t="str">
        <f t="shared" si="25"/>
        <v>coke - IPCC</v>
      </c>
      <c r="G53">
        <f t="shared" si="25"/>
        <v>0</v>
      </c>
      <c r="H53" t="str">
        <f t="shared" si="25"/>
        <v>charcoal - IPCC</v>
      </c>
      <c r="I53" s="21">
        <f t="shared" si="25"/>
        <v>0.05</v>
      </c>
      <c r="J53" s="21">
        <f t="shared" si="25"/>
        <v>7.0000000000000007E-2</v>
      </c>
      <c r="K53" s="21">
        <f t="shared" si="25"/>
        <v>7.4999999999999997E-2</v>
      </c>
    </row>
    <row r="54" spans="1:11" s="55" customFormat="1" ht="17" thickBot="1" x14ac:dyDescent="0.25">
      <c r="A54" s="56" t="s">
        <v>181</v>
      </c>
      <c r="B54" s="54">
        <f t="shared" si="25"/>
        <v>1.1000000000000001</v>
      </c>
      <c r="C54" s="122">
        <f t="shared" si="25"/>
        <v>0.8</v>
      </c>
      <c r="D54" s="54">
        <f t="shared" si="25"/>
        <v>0.3</v>
      </c>
      <c r="E54" s="54">
        <f t="shared" si="25"/>
        <v>0</v>
      </c>
      <c r="F54" s="55" t="str">
        <f t="shared" si="25"/>
        <v>coke - IPCC</v>
      </c>
      <c r="G54" s="55">
        <f t="shared" si="25"/>
        <v>0</v>
      </c>
      <c r="H54" s="55" t="str">
        <f t="shared" si="25"/>
        <v>charcoal - IPCC</v>
      </c>
      <c r="I54" s="54">
        <f t="shared" si="25"/>
        <v>0.05</v>
      </c>
      <c r="J54" s="54">
        <f t="shared" si="25"/>
        <v>7.0000000000000007E-2</v>
      </c>
      <c r="K54" s="54">
        <f t="shared" si="25"/>
        <v>7.4999999999999997E-2</v>
      </c>
    </row>
    <row r="55" spans="1:11" s="1" customFormat="1" ht="16" x14ac:dyDescent="0.2">
      <c r="A55" s="59" t="s">
        <v>212</v>
      </c>
      <c r="B55" s="116">
        <f>SUM(C55:D55)</f>
        <v>1.105</v>
      </c>
      <c r="C55" s="120">
        <v>0.95</v>
      </c>
      <c r="D55" s="61">
        <v>0.155</v>
      </c>
      <c r="E55" s="61">
        <v>0.01</v>
      </c>
      <c r="F55" s="1" t="s">
        <v>111</v>
      </c>
      <c r="G55" s="1">
        <v>0</v>
      </c>
      <c r="H55" s="1" t="s">
        <v>275</v>
      </c>
      <c r="I55" s="88">
        <v>0.05</v>
      </c>
      <c r="J55" s="61">
        <v>0.2</v>
      </c>
      <c r="K55" s="88">
        <v>7.4999999999999997E-2</v>
      </c>
    </row>
    <row r="56" spans="1:11" ht="16" x14ac:dyDescent="0.2">
      <c r="A56" s="45" t="s">
        <v>213</v>
      </c>
      <c r="B56" s="51">
        <f>B$71</f>
        <v>1.0150000000000001</v>
      </c>
      <c r="C56" s="121">
        <f>C$55</f>
        <v>0.95</v>
      </c>
      <c r="D56" s="21">
        <f t="shared" ref="D56:K59" si="26">D$55</f>
        <v>0.155</v>
      </c>
      <c r="E56" s="21">
        <f t="shared" si="26"/>
        <v>0.01</v>
      </c>
      <c r="F56" t="str">
        <f t="shared" si="26"/>
        <v>coke - IPCC</v>
      </c>
      <c r="G56">
        <f t="shared" si="26"/>
        <v>0</v>
      </c>
      <c r="H56" t="str">
        <f t="shared" si="26"/>
        <v>charcoal - IPCC</v>
      </c>
      <c r="I56" s="21">
        <f t="shared" si="26"/>
        <v>0.05</v>
      </c>
      <c r="J56" s="21">
        <f t="shared" si="26"/>
        <v>0.2</v>
      </c>
      <c r="K56" s="21">
        <f t="shared" si="26"/>
        <v>7.4999999999999997E-2</v>
      </c>
    </row>
    <row r="57" spans="1:11" ht="16" x14ac:dyDescent="0.2">
      <c r="A57" s="45" t="s">
        <v>214</v>
      </c>
      <c r="B57" s="51">
        <f t="shared" ref="B57:B59" si="27">B$71</f>
        <v>1.0150000000000001</v>
      </c>
      <c r="C57" s="121">
        <f t="shared" ref="C57:C59" si="28">C$55</f>
        <v>0.95</v>
      </c>
      <c r="D57" s="21">
        <f t="shared" si="26"/>
        <v>0.155</v>
      </c>
      <c r="E57" s="21">
        <f t="shared" si="26"/>
        <v>0.01</v>
      </c>
      <c r="F57" t="str">
        <f t="shared" si="26"/>
        <v>coke - IPCC</v>
      </c>
      <c r="G57">
        <f t="shared" si="26"/>
        <v>0</v>
      </c>
      <c r="H57" t="str">
        <f t="shared" si="26"/>
        <v>charcoal - IPCC</v>
      </c>
      <c r="I57" s="21">
        <f t="shared" si="26"/>
        <v>0.05</v>
      </c>
      <c r="J57" s="21">
        <f t="shared" si="26"/>
        <v>0.2</v>
      </c>
      <c r="K57" s="21">
        <f t="shared" si="26"/>
        <v>7.4999999999999997E-2</v>
      </c>
    </row>
    <row r="58" spans="1:11" ht="16" x14ac:dyDescent="0.2">
      <c r="A58" s="45" t="s">
        <v>215</v>
      </c>
      <c r="B58" s="51">
        <f t="shared" si="27"/>
        <v>1.0150000000000001</v>
      </c>
      <c r="C58" s="121">
        <f t="shared" si="28"/>
        <v>0.95</v>
      </c>
      <c r="D58" s="21">
        <f t="shared" si="26"/>
        <v>0.155</v>
      </c>
      <c r="E58" s="21">
        <f t="shared" si="26"/>
        <v>0.01</v>
      </c>
      <c r="F58" t="str">
        <f t="shared" si="26"/>
        <v>coke - IPCC</v>
      </c>
      <c r="G58">
        <f t="shared" si="26"/>
        <v>0</v>
      </c>
      <c r="H58" t="str">
        <f t="shared" si="26"/>
        <v>charcoal - IPCC</v>
      </c>
      <c r="I58" s="21">
        <f t="shared" si="26"/>
        <v>0.05</v>
      </c>
      <c r="J58" s="21">
        <f t="shared" si="26"/>
        <v>0.2</v>
      </c>
      <c r="K58" s="21">
        <f t="shared" si="26"/>
        <v>7.4999999999999997E-2</v>
      </c>
    </row>
    <row r="59" spans="1:11" s="55" customFormat="1" ht="17" thickBot="1" x14ac:dyDescent="0.25">
      <c r="A59" s="56" t="s">
        <v>216</v>
      </c>
      <c r="B59" s="71">
        <f t="shared" si="27"/>
        <v>1.0150000000000001</v>
      </c>
      <c r="C59" s="122">
        <f t="shared" si="28"/>
        <v>0.95</v>
      </c>
      <c r="D59" s="54">
        <f t="shared" si="26"/>
        <v>0.155</v>
      </c>
      <c r="E59" s="54">
        <f t="shared" si="26"/>
        <v>0.01</v>
      </c>
      <c r="F59" s="55" t="str">
        <f t="shared" si="26"/>
        <v>coke - IPCC</v>
      </c>
      <c r="G59" s="55">
        <f t="shared" si="26"/>
        <v>0</v>
      </c>
      <c r="H59" s="55" t="str">
        <f t="shared" si="26"/>
        <v>charcoal - IPCC</v>
      </c>
      <c r="I59" s="54">
        <f t="shared" si="26"/>
        <v>0.05</v>
      </c>
      <c r="J59" s="54">
        <f t="shared" si="26"/>
        <v>0.2</v>
      </c>
      <c r="K59" s="54">
        <f t="shared" si="26"/>
        <v>7.4999999999999997E-2</v>
      </c>
    </row>
    <row r="60" spans="1:11" s="1" customFormat="1" ht="16" x14ac:dyDescent="0.2">
      <c r="A60" s="59" t="s">
        <v>217</v>
      </c>
      <c r="B60" s="116">
        <f>SUM(C60:D60)</f>
        <v>1.105</v>
      </c>
      <c r="C60" s="120">
        <v>0.95</v>
      </c>
      <c r="D60" s="88">
        <v>0.155</v>
      </c>
      <c r="E60" s="61">
        <v>0</v>
      </c>
      <c r="F60" s="1" t="s">
        <v>111</v>
      </c>
      <c r="G60" s="1">
        <v>0</v>
      </c>
      <c r="H60" s="1" t="s">
        <v>275</v>
      </c>
      <c r="I60" s="88">
        <v>0.05</v>
      </c>
      <c r="J60" s="88">
        <v>0.13</v>
      </c>
      <c r="K60" s="88">
        <v>7.4999999999999997E-2</v>
      </c>
    </row>
    <row r="61" spans="1:11" ht="16" x14ac:dyDescent="0.2">
      <c r="A61" s="45" t="s">
        <v>218</v>
      </c>
      <c r="B61" s="51">
        <f>B$71</f>
        <v>1.0150000000000001</v>
      </c>
      <c r="C61" s="121">
        <f>C$60</f>
        <v>0.95</v>
      </c>
      <c r="D61" s="21">
        <f t="shared" ref="D61:K64" si="29">D$60</f>
        <v>0.155</v>
      </c>
      <c r="E61" s="21">
        <f t="shared" si="29"/>
        <v>0</v>
      </c>
      <c r="F61" t="str">
        <f t="shared" si="29"/>
        <v>coke - IPCC</v>
      </c>
      <c r="G61">
        <f t="shared" si="29"/>
        <v>0</v>
      </c>
      <c r="H61" t="str">
        <f t="shared" si="29"/>
        <v>charcoal - IPCC</v>
      </c>
      <c r="I61" s="21">
        <f t="shared" si="29"/>
        <v>0.05</v>
      </c>
      <c r="J61" s="21">
        <f t="shared" si="29"/>
        <v>0.13</v>
      </c>
      <c r="K61" s="21">
        <f t="shared" si="29"/>
        <v>7.4999999999999997E-2</v>
      </c>
    </row>
    <row r="62" spans="1:11" ht="16" x14ac:dyDescent="0.2">
      <c r="A62" s="45" t="s">
        <v>219</v>
      </c>
      <c r="B62" s="51">
        <f t="shared" ref="B62:B64" si="30">B$71</f>
        <v>1.0150000000000001</v>
      </c>
      <c r="C62" s="121">
        <f t="shared" ref="C62:C64" si="31">C$60</f>
        <v>0.95</v>
      </c>
      <c r="D62" s="21">
        <f t="shared" si="29"/>
        <v>0.155</v>
      </c>
      <c r="E62" s="21">
        <f t="shared" si="29"/>
        <v>0</v>
      </c>
      <c r="F62" t="str">
        <f t="shared" si="29"/>
        <v>coke - IPCC</v>
      </c>
      <c r="G62">
        <f t="shared" si="29"/>
        <v>0</v>
      </c>
      <c r="H62" t="str">
        <f t="shared" si="29"/>
        <v>charcoal - IPCC</v>
      </c>
      <c r="I62" s="21">
        <f t="shared" si="29"/>
        <v>0.05</v>
      </c>
      <c r="J62" s="21">
        <f t="shared" si="29"/>
        <v>0.13</v>
      </c>
      <c r="K62" s="21">
        <f t="shared" si="29"/>
        <v>7.4999999999999997E-2</v>
      </c>
    </row>
    <row r="63" spans="1:11" ht="16" x14ac:dyDescent="0.2">
      <c r="A63" s="45" t="s">
        <v>220</v>
      </c>
      <c r="B63" s="51">
        <f t="shared" si="30"/>
        <v>1.0150000000000001</v>
      </c>
      <c r="C63" s="121">
        <f t="shared" si="31"/>
        <v>0.95</v>
      </c>
      <c r="D63" s="21">
        <f t="shared" si="29"/>
        <v>0.155</v>
      </c>
      <c r="E63" s="21">
        <f t="shared" si="29"/>
        <v>0</v>
      </c>
      <c r="F63" t="str">
        <f t="shared" si="29"/>
        <v>coke - IPCC</v>
      </c>
      <c r="G63">
        <f t="shared" si="29"/>
        <v>0</v>
      </c>
      <c r="H63" t="str">
        <f t="shared" si="29"/>
        <v>charcoal - IPCC</v>
      </c>
      <c r="I63" s="21">
        <f t="shared" si="29"/>
        <v>0.05</v>
      </c>
      <c r="J63" s="21">
        <f t="shared" si="29"/>
        <v>0.13</v>
      </c>
      <c r="K63" s="21">
        <f t="shared" si="29"/>
        <v>7.4999999999999997E-2</v>
      </c>
    </row>
    <row r="64" spans="1:11" s="55" customFormat="1" ht="17" thickBot="1" x14ac:dyDescent="0.25">
      <c r="A64" s="56" t="s">
        <v>221</v>
      </c>
      <c r="B64" s="71">
        <f t="shared" si="30"/>
        <v>1.0150000000000001</v>
      </c>
      <c r="C64" s="122">
        <f t="shared" si="31"/>
        <v>0.95</v>
      </c>
      <c r="D64" s="54">
        <f t="shared" si="29"/>
        <v>0.155</v>
      </c>
      <c r="E64" s="54">
        <f t="shared" si="29"/>
        <v>0</v>
      </c>
      <c r="F64" s="55" t="str">
        <f t="shared" si="29"/>
        <v>coke - IPCC</v>
      </c>
      <c r="G64" s="55">
        <f t="shared" si="29"/>
        <v>0</v>
      </c>
      <c r="H64" s="55" t="str">
        <f t="shared" si="29"/>
        <v>charcoal - IPCC</v>
      </c>
      <c r="I64" s="54">
        <f t="shared" si="29"/>
        <v>0.05</v>
      </c>
      <c r="J64" s="54">
        <f t="shared" si="29"/>
        <v>0.13</v>
      </c>
      <c r="K64" s="54">
        <f t="shared" si="29"/>
        <v>7.4999999999999997E-2</v>
      </c>
    </row>
    <row r="65" spans="1:12" s="1" customFormat="1" ht="16" x14ac:dyDescent="0.2">
      <c r="A65" s="59" t="s">
        <v>222</v>
      </c>
      <c r="B65" s="116">
        <f>SUM(C65:D65)</f>
        <v>1.1228070175438596</v>
      </c>
      <c r="C65" s="123">
        <f>53.4/62.7</f>
        <v>0.85167464114832525</v>
      </c>
      <c r="D65" s="74">
        <f>17/62.7</f>
        <v>0.27113237639553428</v>
      </c>
      <c r="E65" s="61">
        <f>0.43/47.1</f>
        <v>9.1295116772823776E-3</v>
      </c>
      <c r="F65" s="1" t="s">
        <v>123</v>
      </c>
      <c r="G65" s="1">
        <v>0</v>
      </c>
      <c r="H65" s="1" t="s">
        <v>275</v>
      </c>
      <c r="I65" s="88">
        <v>0.05</v>
      </c>
      <c r="J65" s="61">
        <v>0.13</v>
      </c>
      <c r="K65" s="88">
        <v>7.4999999999999997E-2</v>
      </c>
      <c r="L65" s="1" t="s">
        <v>251</v>
      </c>
    </row>
    <row r="66" spans="1:12" ht="16" x14ac:dyDescent="0.2">
      <c r="A66" s="45" t="s">
        <v>223</v>
      </c>
      <c r="B66" s="51">
        <f>B$71</f>
        <v>1.0150000000000001</v>
      </c>
      <c r="C66" s="121">
        <f>C$65</f>
        <v>0.85167464114832525</v>
      </c>
      <c r="D66" s="21">
        <f t="shared" ref="D66:K69" si="32">D$65</f>
        <v>0.27113237639553428</v>
      </c>
      <c r="E66" s="21">
        <f t="shared" si="32"/>
        <v>9.1295116772823776E-3</v>
      </c>
      <c r="F66" s="43" t="str">
        <f t="shared" si="32"/>
        <v>natural gas - IPCC</v>
      </c>
      <c r="G66" s="43">
        <f t="shared" si="32"/>
        <v>0</v>
      </c>
      <c r="H66" s="43" t="str">
        <f t="shared" si="32"/>
        <v>charcoal - IPCC</v>
      </c>
      <c r="I66" s="21">
        <f t="shared" si="32"/>
        <v>0.05</v>
      </c>
      <c r="J66" s="21">
        <f t="shared" si="32"/>
        <v>0.13</v>
      </c>
      <c r="K66" s="21">
        <f t="shared" si="32"/>
        <v>7.4999999999999997E-2</v>
      </c>
    </row>
    <row r="67" spans="1:12" ht="16" x14ac:dyDescent="0.2">
      <c r="A67" s="45" t="s">
        <v>224</v>
      </c>
      <c r="B67" s="51">
        <f t="shared" ref="B67:B69" si="33">B$71</f>
        <v>1.0150000000000001</v>
      </c>
      <c r="C67" s="121">
        <f t="shared" ref="C67:C69" si="34">C$65</f>
        <v>0.85167464114832525</v>
      </c>
      <c r="D67" s="21">
        <f t="shared" si="32"/>
        <v>0.27113237639553428</v>
      </c>
      <c r="E67" s="21">
        <f t="shared" si="32"/>
        <v>9.1295116772823776E-3</v>
      </c>
      <c r="F67" s="43" t="str">
        <f t="shared" si="32"/>
        <v>natural gas - IPCC</v>
      </c>
      <c r="G67" s="43">
        <f t="shared" si="32"/>
        <v>0</v>
      </c>
      <c r="H67" s="43" t="str">
        <f t="shared" si="32"/>
        <v>charcoal - IPCC</v>
      </c>
      <c r="I67" s="21">
        <f t="shared" si="32"/>
        <v>0.05</v>
      </c>
      <c r="J67" s="21">
        <f t="shared" si="32"/>
        <v>0.13</v>
      </c>
      <c r="K67" s="21">
        <f t="shared" si="32"/>
        <v>7.4999999999999997E-2</v>
      </c>
    </row>
    <row r="68" spans="1:12" ht="16" x14ac:dyDescent="0.2">
      <c r="A68" s="45" t="s">
        <v>225</v>
      </c>
      <c r="B68" s="51">
        <f t="shared" si="33"/>
        <v>1.0150000000000001</v>
      </c>
      <c r="C68" s="121">
        <f t="shared" si="34"/>
        <v>0.85167464114832525</v>
      </c>
      <c r="D68" s="21">
        <f t="shared" si="32"/>
        <v>0.27113237639553428</v>
      </c>
      <c r="E68" s="21">
        <f t="shared" si="32"/>
        <v>9.1295116772823776E-3</v>
      </c>
      <c r="F68" s="43" t="str">
        <f t="shared" si="32"/>
        <v>natural gas - IPCC</v>
      </c>
      <c r="G68" s="43">
        <v>1</v>
      </c>
      <c r="H68" s="43" t="str">
        <f t="shared" si="32"/>
        <v>charcoal - IPCC</v>
      </c>
      <c r="I68" s="21">
        <f>I$65</f>
        <v>0.05</v>
      </c>
      <c r="J68" s="21">
        <f t="shared" si="32"/>
        <v>0.13</v>
      </c>
      <c r="K68" s="21">
        <f t="shared" si="32"/>
        <v>7.4999999999999997E-2</v>
      </c>
    </row>
    <row r="69" spans="1:12" s="28" customFormat="1" ht="16" x14ac:dyDescent="0.2">
      <c r="A69" s="45" t="s">
        <v>226</v>
      </c>
      <c r="B69" s="51">
        <f t="shared" si="33"/>
        <v>1.0150000000000001</v>
      </c>
      <c r="C69" s="132">
        <f t="shared" si="34"/>
        <v>0.85167464114832525</v>
      </c>
      <c r="D69" s="29">
        <f t="shared" si="32"/>
        <v>0.27113237639553428</v>
      </c>
      <c r="E69" s="29">
        <f t="shared" si="32"/>
        <v>9.1295116772823776E-3</v>
      </c>
      <c r="F69" s="81" t="str">
        <f t="shared" si="32"/>
        <v>natural gas - IPCC</v>
      </c>
      <c r="G69" s="81">
        <f t="shared" si="32"/>
        <v>0</v>
      </c>
      <c r="H69" s="81" t="str">
        <f t="shared" si="32"/>
        <v>charcoal - IPCC</v>
      </c>
      <c r="I69" s="29">
        <f t="shared" si="32"/>
        <v>0.05</v>
      </c>
      <c r="J69" s="29">
        <f t="shared" si="32"/>
        <v>0.13</v>
      </c>
      <c r="K69" s="29">
        <f t="shared" si="32"/>
        <v>7.4999999999999997E-2</v>
      </c>
    </row>
    <row r="70" spans="1:12" s="55" customFormat="1" ht="17" thickBot="1" x14ac:dyDescent="0.25">
      <c r="A70" s="56" t="s">
        <v>282</v>
      </c>
      <c r="B70" s="51">
        <f>SUM(C70:D70)</f>
        <v>1.0999999999999999</v>
      </c>
      <c r="C70" s="122">
        <v>0.95</v>
      </c>
      <c r="D70" s="54">
        <v>0.15</v>
      </c>
      <c r="E70" s="54">
        <v>0</v>
      </c>
      <c r="F70" s="72" t="str">
        <f>F65</f>
        <v>natural gas - IPCC</v>
      </c>
      <c r="G70" s="72">
        <f>G65</f>
        <v>0</v>
      </c>
      <c r="H70" s="72" t="str">
        <f>H65</f>
        <v>charcoal - IPCC</v>
      </c>
      <c r="I70" s="54"/>
      <c r="J70" s="54">
        <f>0</f>
        <v>0</v>
      </c>
      <c r="K70" s="54">
        <f>C70*0.05*(16/12)</f>
        <v>6.3333333333333325E-2</v>
      </c>
    </row>
    <row r="71" spans="1:12" s="1" customFormat="1" ht="16" x14ac:dyDescent="0.2">
      <c r="A71" s="59" t="s">
        <v>227</v>
      </c>
      <c r="B71" s="126">
        <f>SUM(C71:D71)</f>
        <v>1.0150000000000001</v>
      </c>
      <c r="C71" s="120">
        <f>C40</f>
        <v>1.0050000000000001</v>
      </c>
      <c r="D71" s="120">
        <f>D40</f>
        <v>0.01</v>
      </c>
      <c r="E71" s="88">
        <v>0</v>
      </c>
      <c r="F71" s="65" t="s">
        <v>111</v>
      </c>
      <c r="G71" s="65">
        <v>0</v>
      </c>
      <c r="H71" s="65" t="s">
        <v>275</v>
      </c>
      <c r="I71" s="88">
        <v>0.05</v>
      </c>
      <c r="J71" s="88">
        <v>0.2</v>
      </c>
      <c r="K71" s="88">
        <v>7.0000000000000007E-2</v>
      </c>
    </row>
    <row r="72" spans="1:12" ht="16" x14ac:dyDescent="0.2">
      <c r="A72" s="45" t="s">
        <v>228</v>
      </c>
      <c r="B72" s="51">
        <f>B$71</f>
        <v>1.0150000000000001</v>
      </c>
      <c r="C72" s="124">
        <f>C$71</f>
        <v>1.0050000000000001</v>
      </c>
      <c r="D72" s="51">
        <f t="shared" ref="D72:K75" si="35">D$71</f>
        <v>0.01</v>
      </c>
      <c r="E72" s="51">
        <f t="shared" si="35"/>
        <v>0</v>
      </c>
      <c r="F72" s="89" t="str">
        <f t="shared" si="35"/>
        <v>coke - IPCC</v>
      </c>
      <c r="G72" s="89">
        <f t="shared" si="35"/>
        <v>0</v>
      </c>
      <c r="H72" s="89" t="str">
        <f t="shared" si="35"/>
        <v>charcoal - IPCC</v>
      </c>
      <c r="I72" s="51">
        <f t="shared" si="35"/>
        <v>0.05</v>
      </c>
      <c r="J72" s="51">
        <f t="shared" si="35"/>
        <v>0.2</v>
      </c>
      <c r="K72" s="51">
        <f t="shared" si="35"/>
        <v>7.0000000000000007E-2</v>
      </c>
    </row>
    <row r="73" spans="1:12" ht="16" x14ac:dyDescent="0.2">
      <c r="A73" s="45" t="s">
        <v>229</v>
      </c>
      <c r="B73" s="51">
        <f t="shared" ref="B73:C75" si="36">B$71</f>
        <v>1.0150000000000001</v>
      </c>
      <c r="C73" s="124">
        <f t="shared" si="36"/>
        <v>1.0050000000000001</v>
      </c>
      <c r="D73" s="51">
        <f t="shared" si="35"/>
        <v>0.01</v>
      </c>
      <c r="E73" s="51">
        <f t="shared" si="35"/>
        <v>0</v>
      </c>
      <c r="F73" s="89" t="str">
        <f t="shared" si="35"/>
        <v>coke - IPCC</v>
      </c>
      <c r="G73" s="89">
        <f t="shared" si="35"/>
        <v>0</v>
      </c>
      <c r="H73" s="89" t="str">
        <f t="shared" si="35"/>
        <v>charcoal - IPCC</v>
      </c>
      <c r="I73" s="51">
        <f t="shared" si="35"/>
        <v>0.05</v>
      </c>
      <c r="J73" s="51">
        <f t="shared" si="35"/>
        <v>0.2</v>
      </c>
      <c r="K73" s="51">
        <f t="shared" si="35"/>
        <v>7.0000000000000007E-2</v>
      </c>
    </row>
    <row r="74" spans="1:12" ht="16" x14ac:dyDescent="0.2">
      <c r="A74" s="45" t="s">
        <v>230</v>
      </c>
      <c r="B74" s="51">
        <f t="shared" si="36"/>
        <v>1.0150000000000001</v>
      </c>
      <c r="C74" s="124">
        <f t="shared" si="36"/>
        <v>1.0050000000000001</v>
      </c>
      <c r="D74" s="51">
        <f t="shared" si="35"/>
        <v>0.01</v>
      </c>
      <c r="E74" s="51">
        <f t="shared" si="35"/>
        <v>0</v>
      </c>
      <c r="F74" s="89" t="str">
        <f t="shared" si="35"/>
        <v>coke - IPCC</v>
      </c>
      <c r="G74" s="89">
        <f t="shared" si="35"/>
        <v>0</v>
      </c>
      <c r="H74" s="89" t="str">
        <f t="shared" si="35"/>
        <v>charcoal - IPCC</v>
      </c>
      <c r="I74" s="51">
        <f t="shared" si="35"/>
        <v>0.05</v>
      </c>
      <c r="J74" s="51">
        <f t="shared" si="35"/>
        <v>0.2</v>
      </c>
      <c r="K74" s="51">
        <f t="shared" si="35"/>
        <v>7.0000000000000007E-2</v>
      </c>
    </row>
    <row r="75" spans="1:12" s="55" customFormat="1" ht="17" thickBot="1" x14ac:dyDescent="0.25">
      <c r="A75" s="56" t="s">
        <v>231</v>
      </c>
      <c r="B75" s="71">
        <f t="shared" si="36"/>
        <v>1.0150000000000001</v>
      </c>
      <c r="C75" s="125">
        <f t="shared" si="36"/>
        <v>1.0050000000000001</v>
      </c>
      <c r="D75" s="71">
        <f t="shared" si="35"/>
        <v>0.01</v>
      </c>
      <c r="E75" s="71">
        <f t="shared" si="35"/>
        <v>0</v>
      </c>
      <c r="F75" s="90" t="str">
        <f t="shared" si="35"/>
        <v>coke - IPCC</v>
      </c>
      <c r="G75" s="90">
        <f t="shared" si="35"/>
        <v>0</v>
      </c>
      <c r="H75" s="90" t="str">
        <f t="shared" si="35"/>
        <v>charcoal - IPCC</v>
      </c>
      <c r="I75" s="71">
        <f t="shared" si="35"/>
        <v>0.05</v>
      </c>
      <c r="J75" s="71">
        <f t="shared" si="35"/>
        <v>0.2</v>
      </c>
      <c r="K75" s="71">
        <f t="shared" si="35"/>
        <v>7.0000000000000007E-2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80"/>
  <sheetViews>
    <sheetView topLeftCell="A44" workbookViewId="0">
      <selection activeCell="E69" sqref="E69"/>
    </sheetView>
  </sheetViews>
  <sheetFormatPr baseColWidth="10" defaultColWidth="10.1640625" defaultRowHeight="15" x14ac:dyDescent="0.2"/>
  <cols>
    <col min="1" max="1" width="24.1640625" customWidth="1"/>
    <col min="2" max="2" width="15" style="5" bestFit="1" customWidth="1"/>
    <col min="3" max="3" width="17.83203125" style="5" bestFit="1" customWidth="1"/>
    <col min="4" max="4" width="15.83203125" style="5" bestFit="1" customWidth="1"/>
    <col min="5" max="5" width="19" style="5" bestFit="1" customWidth="1"/>
    <col min="6" max="6" width="17.83203125" style="5" bestFit="1" customWidth="1"/>
    <col min="7" max="7" width="28.5" style="5" bestFit="1" customWidth="1"/>
    <col min="8" max="16384" width="10.1640625" style="5"/>
  </cols>
  <sheetData>
    <row r="1" spans="1:4" s="1" customFormat="1" x14ac:dyDescent="0.2">
      <c r="A1" s="1" t="s">
        <v>0</v>
      </c>
      <c r="B1" s="19" t="s">
        <v>59</v>
      </c>
      <c r="C1" s="18" t="s">
        <v>9</v>
      </c>
      <c r="D1" s="1" t="s">
        <v>80</v>
      </c>
    </row>
    <row r="2" spans="1:4" x14ac:dyDescent="0.2">
      <c r="A2" s="2" t="s">
        <v>1</v>
      </c>
      <c r="C2" s="19" t="s">
        <v>75</v>
      </c>
    </row>
    <row r="3" spans="1:4" x14ac:dyDescent="0.2">
      <c r="A3" s="2" t="s">
        <v>2</v>
      </c>
    </row>
    <row r="4" spans="1:4" x14ac:dyDescent="0.2">
      <c r="A4" t="s">
        <v>3</v>
      </c>
    </row>
    <row r="5" spans="1:4" hidden="1" x14ac:dyDescent="0.2">
      <c r="A5" t="s">
        <v>55</v>
      </c>
      <c r="B5" s="5">
        <f>B6</f>
        <v>0.87</v>
      </c>
      <c r="C5" s="5">
        <v>2</v>
      </c>
    </row>
    <row r="6" spans="1:4" hidden="1" x14ac:dyDescent="0.2">
      <c r="A6" t="s">
        <v>106</v>
      </c>
      <c r="B6" s="5">
        <f>B7</f>
        <v>0.87</v>
      </c>
      <c r="C6" s="5">
        <f>8.2*0.3264</f>
        <v>2.6764799999999997</v>
      </c>
    </row>
    <row r="7" spans="1:4" hidden="1" x14ac:dyDescent="0.2">
      <c r="A7" t="s">
        <v>107</v>
      </c>
      <c r="B7" s="5">
        <v>0.87</v>
      </c>
      <c r="C7" s="5">
        <v>1.3869199999999999</v>
      </c>
    </row>
    <row r="8" spans="1:4" hidden="1" x14ac:dyDescent="0.2">
      <c r="A8" t="s">
        <v>108</v>
      </c>
      <c r="B8" s="24">
        <f>B7</f>
        <v>0.87</v>
      </c>
      <c r="C8" s="24">
        <f>C7</f>
        <v>1.3869199999999999</v>
      </c>
    </row>
    <row r="9" spans="1:4" hidden="1" x14ac:dyDescent="0.2">
      <c r="A9" t="s">
        <v>109</v>
      </c>
      <c r="B9" s="24">
        <f>B8</f>
        <v>0.87</v>
      </c>
      <c r="C9" s="24">
        <f>8.2*0.3264</f>
        <v>2.6764799999999997</v>
      </c>
    </row>
    <row r="10" spans="1:4" hidden="1" x14ac:dyDescent="0.2">
      <c r="A10" t="s">
        <v>110</v>
      </c>
      <c r="B10" s="24">
        <f>B9</f>
        <v>0.87</v>
      </c>
      <c r="C10" s="24">
        <v>1.3869199999999999</v>
      </c>
    </row>
    <row r="11" spans="1:4" hidden="1" x14ac:dyDescent="0.2">
      <c r="A11" t="s">
        <v>130</v>
      </c>
      <c r="B11">
        <f t="shared" ref="B11:C15" si="0">B$7</f>
        <v>0.87</v>
      </c>
      <c r="C11">
        <f t="shared" si="0"/>
        <v>1.3869199999999999</v>
      </c>
    </row>
    <row r="12" spans="1:4" hidden="1" x14ac:dyDescent="0.2">
      <c r="A12" t="s">
        <v>131</v>
      </c>
      <c r="B12">
        <f t="shared" si="0"/>
        <v>0.87</v>
      </c>
      <c r="C12">
        <f t="shared" si="0"/>
        <v>1.3869199999999999</v>
      </c>
    </row>
    <row r="13" spans="1:4" hidden="1" x14ac:dyDescent="0.2">
      <c r="A13" t="s">
        <v>132</v>
      </c>
      <c r="B13">
        <f t="shared" si="0"/>
        <v>0.87</v>
      </c>
      <c r="C13">
        <f t="shared" si="0"/>
        <v>1.3869199999999999</v>
      </c>
    </row>
    <row r="14" spans="1:4" hidden="1" x14ac:dyDescent="0.2">
      <c r="A14" t="s">
        <v>133</v>
      </c>
      <c r="B14">
        <f t="shared" si="0"/>
        <v>0.87</v>
      </c>
      <c r="C14">
        <f t="shared" si="0"/>
        <v>1.3869199999999999</v>
      </c>
    </row>
    <row r="15" spans="1:4" hidden="1" x14ac:dyDescent="0.2">
      <c r="A15" t="s">
        <v>135</v>
      </c>
      <c r="B15">
        <f t="shared" si="0"/>
        <v>0.87</v>
      </c>
      <c r="C15">
        <f t="shared" si="0"/>
        <v>1.3869199999999999</v>
      </c>
    </row>
    <row r="16" spans="1:4" hidden="1" x14ac:dyDescent="0.2">
      <c r="A16" t="s">
        <v>126</v>
      </c>
      <c r="B16" s="24">
        <f>B15</f>
        <v>0.87</v>
      </c>
      <c r="C16" s="24">
        <f>8.2*0.3264</f>
        <v>2.6764799999999997</v>
      </c>
    </row>
    <row r="17" spans="1:4" hidden="1" x14ac:dyDescent="0.2">
      <c r="A17" t="s">
        <v>150</v>
      </c>
      <c r="B17" s="5">
        <v>0.87</v>
      </c>
      <c r="C17" s="5">
        <v>1.3869199999999999</v>
      </c>
    </row>
    <row r="18" spans="1:4" hidden="1" x14ac:dyDescent="0.2">
      <c r="A18" t="s">
        <v>157</v>
      </c>
      <c r="B18" s="5">
        <v>0.87</v>
      </c>
      <c r="C18" s="5">
        <v>1.3869199999999999</v>
      </c>
    </row>
    <row r="19" spans="1:4" hidden="1" x14ac:dyDescent="0.2">
      <c r="A19" t="s">
        <v>151</v>
      </c>
    </row>
    <row r="20" spans="1:4" hidden="1" x14ac:dyDescent="0.2">
      <c r="A20" t="s">
        <v>142</v>
      </c>
    </row>
    <row r="21" spans="1:4" hidden="1" x14ac:dyDescent="0.2">
      <c r="A21" t="s">
        <v>252</v>
      </c>
      <c r="B21" s="5">
        <v>0.87</v>
      </c>
      <c r="C21" s="5">
        <f>150*Ref!B$18</f>
        <v>0.54</v>
      </c>
      <c r="D21" s="33" t="s">
        <v>253</v>
      </c>
    </row>
    <row r="22" spans="1:4" hidden="1" x14ac:dyDescent="0.2">
      <c r="A22" t="s">
        <v>152</v>
      </c>
      <c r="B22" s="5">
        <v>0.87</v>
      </c>
      <c r="C22" s="5">
        <f>53*Ref!B$18</f>
        <v>0.1908</v>
      </c>
      <c r="D22" s="33" t="s">
        <v>253</v>
      </c>
    </row>
    <row r="23" spans="1:4" hidden="1" x14ac:dyDescent="0.2">
      <c r="A23" t="s">
        <v>255</v>
      </c>
      <c r="B23" s="5">
        <v>0.87</v>
      </c>
      <c r="C23" s="5">
        <f>0.464/Ref!C$12*Ref!B$18</f>
        <v>1.1700546770503895</v>
      </c>
      <c r="D23" t="s">
        <v>254</v>
      </c>
    </row>
    <row r="24" spans="1:4" hidden="1" x14ac:dyDescent="0.2">
      <c r="A24" t="s">
        <v>256</v>
      </c>
      <c r="B24" s="5">
        <v>0.87</v>
      </c>
      <c r="C24" s="5">
        <f>0.639/Ref!C$12*Ref!B$18</f>
        <v>1.6113468505068942</v>
      </c>
      <c r="D24" t="s">
        <v>254</v>
      </c>
    </row>
    <row r="25" spans="1:4" hidden="1" x14ac:dyDescent="0.2">
      <c r="A25" t="s">
        <v>155</v>
      </c>
    </row>
    <row r="26" spans="1:4" hidden="1" x14ac:dyDescent="0.2">
      <c r="A26" t="s">
        <v>167</v>
      </c>
      <c r="B26" s="5">
        <v>0.87</v>
      </c>
      <c r="C26" s="5">
        <v>1.3869199999999999</v>
      </c>
    </row>
    <row r="27" spans="1:4" hidden="1" x14ac:dyDescent="0.2">
      <c r="A27" t="s">
        <v>168</v>
      </c>
      <c r="B27" s="5">
        <v>0.87</v>
      </c>
      <c r="C27" s="5">
        <v>1.3869199999999999</v>
      </c>
    </row>
    <row r="28" spans="1:4" hidden="1" x14ac:dyDescent="0.2">
      <c r="A28" t="s">
        <v>164</v>
      </c>
      <c r="B28" s="5">
        <v>0.87</v>
      </c>
      <c r="C28" s="5">
        <v>1.3869199999999999</v>
      </c>
    </row>
    <row r="29" spans="1:4" s="77" customFormat="1" ht="16" x14ac:dyDescent="0.2">
      <c r="A29" s="76" t="s">
        <v>197</v>
      </c>
      <c r="B29" s="85">
        <f t="shared" ref="B29:C29" si="1">B$7</f>
        <v>0.87</v>
      </c>
      <c r="C29" s="85">
        <f t="shared" si="1"/>
        <v>1.3869199999999999</v>
      </c>
    </row>
    <row r="30" spans="1:4" s="1" customFormat="1" ht="16" x14ac:dyDescent="0.2">
      <c r="A30" s="59" t="s">
        <v>290</v>
      </c>
      <c r="B30" s="91">
        <v>0.87</v>
      </c>
      <c r="C30" s="91">
        <f>0.464/Ref!C$12*Ref!B$18</f>
        <v>1.1700546770503895</v>
      </c>
      <c r="D30" t="s">
        <v>254</v>
      </c>
    </row>
    <row r="31" spans="1:4" s="1" customFormat="1" ht="16" x14ac:dyDescent="0.2">
      <c r="A31" s="59" t="s">
        <v>286</v>
      </c>
      <c r="B31" s="91">
        <v>0.87</v>
      </c>
      <c r="C31" s="91">
        <f>150*Ref!B$18</f>
        <v>0.54</v>
      </c>
      <c r="D31" s="33" t="s">
        <v>253</v>
      </c>
    </row>
    <row r="32" spans="1:4" customFormat="1" ht="16" x14ac:dyDescent="0.2">
      <c r="A32" s="45" t="s">
        <v>198</v>
      </c>
      <c r="B32" s="21">
        <f>B$29</f>
        <v>0.87</v>
      </c>
      <c r="C32" s="21">
        <f>C$29</f>
        <v>1.3869199999999999</v>
      </c>
    </row>
    <row r="33" spans="1:3" customFormat="1" ht="16" x14ac:dyDescent="0.2">
      <c r="A33" s="45" t="s">
        <v>291</v>
      </c>
      <c r="B33" s="21">
        <f>B$30</f>
        <v>0.87</v>
      </c>
      <c r="C33" s="21">
        <f>C$30</f>
        <v>1.1700546770503895</v>
      </c>
    </row>
    <row r="34" spans="1:3" customFormat="1" ht="16" x14ac:dyDescent="0.2">
      <c r="A34" s="45" t="s">
        <v>199</v>
      </c>
      <c r="B34" s="21">
        <f>B$29</f>
        <v>0.87</v>
      </c>
      <c r="C34" s="21">
        <f>C$29</f>
        <v>1.3869199999999999</v>
      </c>
    </row>
    <row r="35" spans="1:3" customFormat="1" ht="16" x14ac:dyDescent="0.2">
      <c r="A35" s="45" t="s">
        <v>292</v>
      </c>
      <c r="B35" s="21">
        <f>B$30</f>
        <v>0.87</v>
      </c>
      <c r="C35" s="21">
        <f>C$30</f>
        <v>1.1700546770503895</v>
      </c>
    </row>
    <row r="36" spans="1:3" customFormat="1" ht="16" x14ac:dyDescent="0.2">
      <c r="A36" s="45" t="s">
        <v>288</v>
      </c>
      <c r="B36" s="21">
        <f>B$31</f>
        <v>0.87</v>
      </c>
      <c r="C36" s="21">
        <f>C$31</f>
        <v>0.54</v>
      </c>
    </row>
    <row r="37" spans="1:3" customFormat="1" ht="16" x14ac:dyDescent="0.2">
      <c r="A37" s="45" t="s">
        <v>200</v>
      </c>
      <c r="B37" s="21">
        <f t="shared" ref="B37:C39" si="2">B$29</f>
        <v>0.87</v>
      </c>
      <c r="C37" s="21">
        <f t="shared" si="2"/>
        <v>1.3869199999999999</v>
      </c>
    </row>
    <row r="38" spans="1:3" customFormat="1" ht="16" x14ac:dyDescent="0.2">
      <c r="A38" s="45" t="s">
        <v>201</v>
      </c>
      <c r="B38" s="21">
        <f t="shared" si="2"/>
        <v>0.87</v>
      </c>
      <c r="C38" s="21">
        <f t="shared" si="2"/>
        <v>1.3869199999999999</v>
      </c>
    </row>
    <row r="39" spans="1:3" customFormat="1" ht="16" x14ac:dyDescent="0.2">
      <c r="A39" s="45" t="s">
        <v>172</v>
      </c>
      <c r="B39" s="21">
        <f t="shared" si="2"/>
        <v>0.87</v>
      </c>
      <c r="C39" s="21">
        <f t="shared" si="2"/>
        <v>1.3869199999999999</v>
      </c>
    </row>
    <row r="40" spans="1:3" customFormat="1" ht="16" x14ac:dyDescent="0.2">
      <c r="A40" s="45" t="s">
        <v>173</v>
      </c>
      <c r="B40" s="21">
        <f>B$30</f>
        <v>0.87</v>
      </c>
      <c r="C40" s="21">
        <f>C$30</f>
        <v>1.1700546770503895</v>
      </c>
    </row>
    <row r="41" spans="1:3" customFormat="1" ht="16" x14ac:dyDescent="0.2">
      <c r="A41" s="45" t="s">
        <v>174</v>
      </c>
      <c r="B41" s="21">
        <f>B$30</f>
        <v>0.87</v>
      </c>
      <c r="C41" s="21">
        <f>C$30</f>
        <v>1.1700546770503895</v>
      </c>
    </row>
    <row r="42" spans="1:3" customFormat="1" ht="16" x14ac:dyDescent="0.2">
      <c r="A42" s="45" t="s">
        <v>175</v>
      </c>
      <c r="B42" s="21">
        <f>B$31</f>
        <v>0.87</v>
      </c>
      <c r="C42" s="21">
        <f>C$31</f>
        <v>0.54</v>
      </c>
    </row>
    <row r="43" spans="1:3" s="55" customFormat="1" ht="17" thickBot="1" x14ac:dyDescent="0.25">
      <c r="A43" s="56" t="s">
        <v>176</v>
      </c>
      <c r="B43" s="54">
        <f>B$31</f>
        <v>0.87</v>
      </c>
      <c r="C43" s="54">
        <f>C$31</f>
        <v>0.54</v>
      </c>
    </row>
    <row r="44" spans="1:3" s="1" customFormat="1" ht="16" x14ac:dyDescent="0.2">
      <c r="A44" s="59" t="s">
        <v>202</v>
      </c>
      <c r="B44" s="91">
        <f>0.87</f>
        <v>0.87</v>
      </c>
      <c r="C44" s="91">
        <f>8.2*0.3264</f>
        <v>2.6764799999999997</v>
      </c>
    </row>
    <row r="45" spans="1:3" s="1" customFormat="1" ht="16" x14ac:dyDescent="0.2">
      <c r="A45" s="59" t="s">
        <v>203</v>
      </c>
      <c r="B45" s="92">
        <f t="shared" ref="B45:C45" si="3">B$7</f>
        <v>0.87</v>
      </c>
      <c r="C45" s="92">
        <f t="shared" si="3"/>
        <v>1.3869199999999999</v>
      </c>
    </row>
    <row r="46" spans="1:3" s="1" customFormat="1" ht="16" x14ac:dyDescent="0.2">
      <c r="A46" s="59" t="s">
        <v>204</v>
      </c>
      <c r="B46" s="93">
        <v>0.87</v>
      </c>
      <c r="C46" s="93">
        <f>0.464/Ref!C$12*Ref!B$18</f>
        <v>1.1700546770503895</v>
      </c>
    </row>
    <row r="47" spans="1:3" customFormat="1" ht="16" x14ac:dyDescent="0.2">
      <c r="A47" s="45" t="s">
        <v>205</v>
      </c>
      <c r="B47" s="21">
        <f>B$44</f>
        <v>0.87</v>
      </c>
      <c r="C47" s="21">
        <f>C$44</f>
        <v>2.6764799999999997</v>
      </c>
    </row>
    <row r="48" spans="1:3" customFormat="1" ht="16" x14ac:dyDescent="0.2">
      <c r="A48" s="45" t="s">
        <v>206</v>
      </c>
      <c r="B48" s="21">
        <f>B$45</f>
        <v>0.87</v>
      </c>
      <c r="C48" s="21">
        <f>C$45</f>
        <v>1.3869199999999999</v>
      </c>
    </row>
    <row r="49" spans="1:3" customFormat="1" ht="16" x14ac:dyDescent="0.2">
      <c r="A49" s="45" t="s">
        <v>207</v>
      </c>
      <c r="B49" s="21">
        <f>B$44</f>
        <v>0.87</v>
      </c>
      <c r="C49" s="21">
        <f>C$44</f>
        <v>2.6764799999999997</v>
      </c>
    </row>
    <row r="50" spans="1:3" customFormat="1" ht="16" x14ac:dyDescent="0.2">
      <c r="A50" s="45" t="s">
        <v>208</v>
      </c>
      <c r="B50" s="21">
        <f>B$45</f>
        <v>0.87</v>
      </c>
      <c r="C50" s="21">
        <f>C$45</f>
        <v>1.3869199999999999</v>
      </c>
    </row>
    <row r="51" spans="1:3" customFormat="1" ht="16" x14ac:dyDescent="0.2">
      <c r="A51" s="45" t="s">
        <v>209</v>
      </c>
      <c r="B51" s="21">
        <f>B$46</f>
        <v>0.87</v>
      </c>
      <c r="C51" s="21">
        <f>C$46</f>
        <v>1.1700546770503895</v>
      </c>
    </row>
    <row r="52" spans="1:3" customFormat="1" ht="16" x14ac:dyDescent="0.2">
      <c r="A52" s="45" t="s">
        <v>210</v>
      </c>
      <c r="B52" s="21">
        <f t="shared" ref="B52:C54" si="4">B$44</f>
        <v>0.87</v>
      </c>
      <c r="C52" s="21">
        <f t="shared" si="4"/>
        <v>2.6764799999999997</v>
      </c>
    </row>
    <row r="53" spans="1:3" customFormat="1" ht="16" x14ac:dyDescent="0.2">
      <c r="A53" s="45" t="s">
        <v>211</v>
      </c>
      <c r="B53" s="21">
        <f t="shared" si="4"/>
        <v>0.87</v>
      </c>
      <c r="C53" s="21">
        <f t="shared" si="4"/>
        <v>2.6764799999999997</v>
      </c>
    </row>
    <row r="54" spans="1:3" customFormat="1" ht="16" x14ac:dyDescent="0.2">
      <c r="A54" s="45" t="s">
        <v>177</v>
      </c>
      <c r="B54" s="21">
        <f t="shared" si="4"/>
        <v>0.87</v>
      </c>
      <c r="C54" s="21">
        <f t="shared" si="4"/>
        <v>2.6764799999999997</v>
      </c>
    </row>
    <row r="55" spans="1:3" customFormat="1" ht="16" x14ac:dyDescent="0.2">
      <c r="A55" s="45" t="s">
        <v>178</v>
      </c>
      <c r="B55" s="21">
        <f>B$45</f>
        <v>0.87</v>
      </c>
      <c r="C55" s="21">
        <f>C$45</f>
        <v>1.3869199999999999</v>
      </c>
    </row>
    <row r="56" spans="1:3" customFormat="1" ht="16" x14ac:dyDescent="0.2">
      <c r="A56" s="45" t="s">
        <v>179</v>
      </c>
      <c r="B56" s="21">
        <f>B$45</f>
        <v>0.87</v>
      </c>
      <c r="C56" s="21">
        <f>C$45</f>
        <v>1.3869199999999999</v>
      </c>
    </row>
    <row r="57" spans="1:3" customFormat="1" ht="16" x14ac:dyDescent="0.2">
      <c r="A57" s="45" t="s">
        <v>180</v>
      </c>
      <c r="B57" s="21">
        <f t="shared" ref="B57:C58" si="5">B$46</f>
        <v>0.87</v>
      </c>
      <c r="C57" s="21">
        <f t="shared" si="5"/>
        <v>1.1700546770503895</v>
      </c>
    </row>
    <row r="58" spans="1:3" s="55" customFormat="1" ht="17" thickBot="1" x14ac:dyDescent="0.25">
      <c r="A58" s="56" t="s">
        <v>181</v>
      </c>
      <c r="B58" s="54">
        <f t="shared" si="5"/>
        <v>0.87</v>
      </c>
      <c r="C58" s="54">
        <f t="shared" si="5"/>
        <v>1.1700546770503895</v>
      </c>
    </row>
    <row r="59" spans="1:3" s="1" customFormat="1" ht="16" x14ac:dyDescent="0.2">
      <c r="A59" s="59" t="s">
        <v>212</v>
      </c>
      <c r="B59" s="94">
        <f t="shared" ref="B59:C59" si="6">B$7</f>
        <v>0.87</v>
      </c>
      <c r="C59" s="94">
        <f t="shared" si="6"/>
        <v>1.3869199999999999</v>
      </c>
    </row>
    <row r="60" spans="1:3" customFormat="1" ht="16" x14ac:dyDescent="0.2">
      <c r="A60" s="45" t="s">
        <v>213</v>
      </c>
      <c r="B60" s="21">
        <f>B$59</f>
        <v>0.87</v>
      </c>
      <c r="C60" s="21">
        <f t="shared" ref="C60:C63" si="7">C$59</f>
        <v>1.3869199999999999</v>
      </c>
    </row>
    <row r="61" spans="1:3" customFormat="1" ht="16" x14ac:dyDescent="0.2">
      <c r="A61" s="45" t="s">
        <v>214</v>
      </c>
      <c r="B61" s="21">
        <f t="shared" ref="B61:B63" si="8">B$59</f>
        <v>0.87</v>
      </c>
      <c r="C61" s="21">
        <f t="shared" si="7"/>
        <v>1.3869199999999999</v>
      </c>
    </row>
    <row r="62" spans="1:3" customFormat="1" ht="16" x14ac:dyDescent="0.2">
      <c r="A62" s="45" t="s">
        <v>215</v>
      </c>
      <c r="B62" s="21">
        <f t="shared" si="8"/>
        <v>0.87</v>
      </c>
      <c r="C62" s="21">
        <f t="shared" si="7"/>
        <v>1.3869199999999999</v>
      </c>
    </row>
    <row r="63" spans="1:3" s="55" customFormat="1" ht="17" thickBot="1" x14ac:dyDescent="0.25">
      <c r="A63" s="56" t="s">
        <v>216</v>
      </c>
      <c r="B63" s="54">
        <f t="shared" si="8"/>
        <v>0.87</v>
      </c>
      <c r="C63" s="54">
        <f t="shared" si="7"/>
        <v>1.3869199999999999</v>
      </c>
    </row>
    <row r="64" spans="1:3" s="1" customFormat="1" ht="16" x14ac:dyDescent="0.2">
      <c r="A64" s="59" t="s">
        <v>217</v>
      </c>
      <c r="B64" s="93">
        <f>0.87</f>
        <v>0.87</v>
      </c>
      <c r="C64" s="93">
        <f>8.2*0.3264</f>
        <v>2.6764799999999997</v>
      </c>
    </row>
    <row r="65" spans="1:3" customFormat="1" ht="16" x14ac:dyDescent="0.2">
      <c r="A65" s="45" t="s">
        <v>218</v>
      </c>
      <c r="B65" s="21">
        <f>B$64</f>
        <v>0.87</v>
      </c>
      <c r="C65" s="21">
        <f t="shared" ref="C65:C68" si="9">C$64</f>
        <v>2.6764799999999997</v>
      </c>
    </row>
    <row r="66" spans="1:3" customFormat="1" ht="16" x14ac:dyDescent="0.2">
      <c r="A66" s="45" t="s">
        <v>219</v>
      </c>
      <c r="B66" s="21">
        <f t="shared" ref="B66:B68" si="10">B$64</f>
        <v>0.87</v>
      </c>
      <c r="C66" s="21">
        <f t="shared" si="9"/>
        <v>2.6764799999999997</v>
      </c>
    </row>
    <row r="67" spans="1:3" customFormat="1" ht="16" x14ac:dyDescent="0.2">
      <c r="A67" s="45" t="s">
        <v>220</v>
      </c>
      <c r="B67" s="21">
        <f t="shared" si="10"/>
        <v>0.87</v>
      </c>
      <c r="C67" s="21">
        <f t="shared" si="9"/>
        <v>2.6764799999999997</v>
      </c>
    </row>
    <row r="68" spans="1:3" s="55" customFormat="1" ht="17" thickBot="1" x14ac:dyDescent="0.25">
      <c r="A68" s="56" t="s">
        <v>221</v>
      </c>
      <c r="B68" s="54">
        <f t="shared" si="10"/>
        <v>0.87</v>
      </c>
      <c r="C68" s="54">
        <f t="shared" si="9"/>
        <v>2.6764799999999997</v>
      </c>
    </row>
    <row r="69" spans="1:3" s="1" customFormat="1" ht="16" x14ac:dyDescent="0.2">
      <c r="A69" s="59" t="s">
        <v>222</v>
      </c>
      <c r="B69" s="92">
        <f t="shared" ref="B69:C69" si="11">B$7</f>
        <v>0.87</v>
      </c>
      <c r="C69" s="92">
        <f t="shared" si="11"/>
        <v>1.3869199999999999</v>
      </c>
    </row>
    <row r="70" spans="1:3" customFormat="1" ht="16" x14ac:dyDescent="0.2">
      <c r="A70" s="45" t="s">
        <v>223</v>
      </c>
      <c r="B70" s="21">
        <f>B$69</f>
        <v>0.87</v>
      </c>
      <c r="C70" s="21">
        <f t="shared" ref="C70:C73" si="12">C$69</f>
        <v>1.3869199999999999</v>
      </c>
    </row>
    <row r="71" spans="1:3" customFormat="1" ht="16" x14ac:dyDescent="0.2">
      <c r="A71" s="45" t="s">
        <v>224</v>
      </c>
      <c r="B71" s="21">
        <f t="shared" ref="B71:B73" si="13">B$69</f>
        <v>0.87</v>
      </c>
      <c r="C71" s="21">
        <f t="shared" si="12"/>
        <v>1.3869199999999999</v>
      </c>
    </row>
    <row r="72" spans="1:3" customFormat="1" ht="16" x14ac:dyDescent="0.2">
      <c r="A72" s="45" t="s">
        <v>225</v>
      </c>
      <c r="B72" s="21">
        <f t="shared" si="13"/>
        <v>0.87</v>
      </c>
      <c r="C72" s="21">
        <f t="shared" si="12"/>
        <v>1.3869199999999999</v>
      </c>
    </row>
    <row r="73" spans="1:3" s="28" customFormat="1" ht="16" x14ac:dyDescent="0.2">
      <c r="A73" s="45" t="s">
        <v>226</v>
      </c>
      <c r="B73" s="29">
        <f t="shared" si="13"/>
        <v>0.87</v>
      </c>
      <c r="C73" s="29">
        <f t="shared" si="12"/>
        <v>1.3869199999999999</v>
      </c>
    </row>
    <row r="74" spans="1:3" s="55" customFormat="1" ht="17" thickBot="1" x14ac:dyDescent="0.25">
      <c r="A74" s="56" t="s">
        <v>282</v>
      </c>
      <c r="B74" s="54">
        <v>1</v>
      </c>
      <c r="C74" s="54">
        <f>0.54</f>
        <v>0.54</v>
      </c>
    </row>
    <row r="75" spans="1:3" s="1" customFormat="1" ht="16" x14ac:dyDescent="0.2">
      <c r="A75" s="59" t="s">
        <v>227</v>
      </c>
      <c r="B75" s="93">
        <f>0.87</f>
        <v>0.87</v>
      </c>
      <c r="C75" s="93">
        <f>8.2*0.3264</f>
        <v>2.6764799999999997</v>
      </c>
    </row>
    <row r="76" spans="1:3" customFormat="1" ht="16" x14ac:dyDescent="0.2">
      <c r="A76" s="45" t="s">
        <v>228</v>
      </c>
      <c r="B76" s="21">
        <f>B$75</f>
        <v>0.87</v>
      </c>
      <c r="C76" s="21">
        <f t="shared" ref="C76:C79" si="14">C$75</f>
        <v>2.6764799999999997</v>
      </c>
    </row>
    <row r="77" spans="1:3" customFormat="1" ht="16" x14ac:dyDescent="0.2">
      <c r="A77" s="45" t="s">
        <v>229</v>
      </c>
      <c r="B77" s="21">
        <f t="shared" ref="B77:B79" si="15">B$75</f>
        <v>0.87</v>
      </c>
      <c r="C77" s="21">
        <f t="shared" si="14"/>
        <v>2.6764799999999997</v>
      </c>
    </row>
    <row r="78" spans="1:3" customFormat="1" ht="16" x14ac:dyDescent="0.2">
      <c r="A78" s="45" t="s">
        <v>230</v>
      </c>
      <c r="B78" s="21">
        <f t="shared" si="15"/>
        <v>0.87</v>
      </c>
      <c r="C78" s="21">
        <f t="shared" si="14"/>
        <v>2.6764799999999997</v>
      </c>
    </row>
    <row r="79" spans="1:3" s="55" customFormat="1" ht="17" thickBot="1" x14ac:dyDescent="0.25">
      <c r="A79" s="56" t="s">
        <v>231</v>
      </c>
      <c r="B79" s="54">
        <f t="shared" si="15"/>
        <v>0.87</v>
      </c>
      <c r="C79" s="54">
        <f t="shared" si="14"/>
        <v>2.6764799999999997</v>
      </c>
    </row>
    <row r="80" spans="1:3" customFormat="1" x14ac:dyDescent="0.2"/>
  </sheetData>
  <hyperlinks>
    <hyperlink ref="D22" r:id="rId1" xr:uid="{00000000-0004-0000-0600-000000000000}"/>
    <hyperlink ref="D21" r:id="rId2" xr:uid="{00000000-0004-0000-0600-000001000000}"/>
    <hyperlink ref="D31" r:id="rId3" xr:uid="{00000000-0004-0000-0600-000002000000}"/>
  </hyperlinks>
  <pageMargins left="0.7" right="0.7" top="0.75" bottom="0.75" header="0.3" footer="0.3"/>
  <pageSetup paperSize="9" orientation="portrait"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3"/>
  <sheetViews>
    <sheetView workbookViewId="0">
      <selection activeCell="G40" sqref="G40"/>
    </sheetView>
  </sheetViews>
  <sheetFormatPr baseColWidth="10" defaultColWidth="10.1640625" defaultRowHeight="15" x14ac:dyDescent="0.2"/>
  <cols>
    <col min="1" max="1" width="23.33203125" customWidth="1"/>
    <col min="2" max="2" width="13.1640625" style="5" bestFit="1" customWidth="1"/>
    <col min="3" max="3" width="13.1640625" style="5" customWidth="1"/>
    <col min="4" max="4" width="15.83203125" style="5" bestFit="1" customWidth="1"/>
    <col min="5" max="5" width="19" style="5" bestFit="1" customWidth="1"/>
    <col min="6" max="6" width="17.83203125" style="5" bestFit="1" customWidth="1"/>
    <col min="7" max="7" width="28.5" style="5" bestFit="1" customWidth="1"/>
    <col min="8" max="8" width="20.5" style="5" bestFit="1" customWidth="1"/>
    <col min="9" max="9" width="11" style="5" bestFit="1" customWidth="1"/>
    <col min="10" max="16384" width="10.1640625" style="5"/>
  </cols>
  <sheetData>
    <row r="1" spans="1:10" x14ac:dyDescent="0.2">
      <c r="A1" s="1" t="s">
        <v>0</v>
      </c>
      <c r="B1" s="17" t="s">
        <v>58</v>
      </c>
      <c r="C1" s="17" t="s">
        <v>82</v>
      </c>
      <c r="D1" s="1" t="s">
        <v>60</v>
      </c>
      <c r="E1" s="1" t="s">
        <v>2</v>
      </c>
      <c r="F1" s="1" t="s">
        <v>128</v>
      </c>
      <c r="G1" s="1"/>
      <c r="H1" s="1"/>
      <c r="I1" s="1"/>
      <c r="J1" s="1"/>
    </row>
    <row r="2" spans="1:10" x14ac:dyDescent="0.2">
      <c r="A2" s="2" t="s">
        <v>1</v>
      </c>
      <c r="B2" s="19" t="s">
        <v>67</v>
      </c>
      <c r="C2" s="19" t="s">
        <v>83</v>
      </c>
      <c r="G2" s="17"/>
    </row>
    <row r="3" spans="1:10" x14ac:dyDescent="0.2">
      <c r="A3" s="2" t="s">
        <v>2</v>
      </c>
    </row>
    <row r="4" spans="1:10" x14ac:dyDescent="0.2">
      <c r="A4" t="s">
        <v>3</v>
      </c>
      <c r="B4" s="5">
        <v>1</v>
      </c>
      <c r="C4" s="5">
        <v>0</v>
      </c>
      <c r="D4" s="19" t="s">
        <v>123</v>
      </c>
    </row>
    <row r="5" spans="1:10" hidden="1" x14ac:dyDescent="0.2">
      <c r="A5" t="s">
        <v>55</v>
      </c>
      <c r="B5" s="5">
        <v>0.32</v>
      </c>
      <c r="C5" s="5">
        <v>0</v>
      </c>
      <c r="D5" s="19" t="s">
        <v>123</v>
      </c>
    </row>
    <row r="6" spans="1:10" hidden="1" x14ac:dyDescent="0.2">
      <c r="A6" t="s">
        <v>106</v>
      </c>
      <c r="B6" s="5">
        <v>1</v>
      </c>
      <c r="C6" s="5">
        <v>0</v>
      </c>
      <c r="D6" t="s">
        <v>260</v>
      </c>
      <c r="F6" s="5">
        <f>533/1278</f>
        <v>0.41705790297339596</v>
      </c>
    </row>
    <row r="7" spans="1:10" hidden="1" x14ac:dyDescent="0.2">
      <c r="A7" t="s">
        <v>107</v>
      </c>
      <c r="B7" s="5">
        <v>0.32</v>
      </c>
      <c r="C7" s="5">
        <v>0</v>
      </c>
      <c r="D7" t="s">
        <v>261</v>
      </c>
      <c r="F7" s="5">
        <f>57.7/129.5</f>
        <v>0.44555984555984557</v>
      </c>
    </row>
    <row r="8" spans="1:10" hidden="1" x14ac:dyDescent="0.2">
      <c r="A8" t="s">
        <v>108</v>
      </c>
      <c r="B8" s="34">
        <v>0.4773</v>
      </c>
      <c r="C8" s="41">
        <v>0</v>
      </c>
      <c r="D8" t="s">
        <v>123</v>
      </c>
      <c r="E8" s="19" t="s">
        <v>76</v>
      </c>
      <c r="F8" s="5">
        <f>90.4/189.6</f>
        <v>0.47679324894514774</v>
      </c>
    </row>
    <row r="9" spans="1:10" hidden="1" x14ac:dyDescent="0.2">
      <c r="A9" t="s">
        <v>109</v>
      </c>
      <c r="B9" s="34">
        <v>0.27550000000000002</v>
      </c>
      <c r="C9" s="41">
        <v>0</v>
      </c>
      <c r="D9" t="s">
        <v>117</v>
      </c>
      <c r="E9" s="19" t="s">
        <v>76</v>
      </c>
      <c r="F9" s="5">
        <f>93.6/340</f>
        <v>0.2752941176470588</v>
      </c>
    </row>
    <row r="10" spans="1:10" hidden="1" x14ac:dyDescent="0.2">
      <c r="A10" t="s">
        <v>110</v>
      </c>
      <c r="B10" s="5">
        <f>18/39</f>
        <v>0.46153846153846156</v>
      </c>
      <c r="C10" s="5">
        <v>0</v>
      </c>
      <c r="D10" t="s">
        <v>119</v>
      </c>
      <c r="F10" s="5">
        <f>376/868</f>
        <v>0.43317972350230416</v>
      </c>
    </row>
    <row r="11" spans="1:10" hidden="1" x14ac:dyDescent="0.2">
      <c r="A11" t="s">
        <v>126</v>
      </c>
      <c r="B11" s="34">
        <f>127/328.7</f>
        <v>0.38637055065409187</v>
      </c>
      <c r="C11" s="5">
        <v>0</v>
      </c>
      <c r="D11" s="19" t="s">
        <v>114</v>
      </c>
      <c r="F11" s="5">
        <f>127.5/328.7</f>
        <v>0.38789169455430483</v>
      </c>
    </row>
    <row r="12" spans="1:10" hidden="1" x14ac:dyDescent="0.2">
      <c r="A12" t="s">
        <v>127</v>
      </c>
      <c r="F12" s="5">
        <f>48/126.8</f>
        <v>0.37854889589905366</v>
      </c>
    </row>
    <row r="13" spans="1:10" hidden="1" x14ac:dyDescent="0.2">
      <c r="A13" t="s">
        <v>130</v>
      </c>
      <c r="B13">
        <f t="shared" ref="B13:F17" si="0">B$7</f>
        <v>0.32</v>
      </c>
      <c r="C13">
        <f t="shared" si="0"/>
        <v>0</v>
      </c>
      <c r="D13" t="str">
        <f t="shared" si="0"/>
        <v>electricity PROXY fuel mix (1:1 energy:mass unit)- Eurofer Electricity 2010</v>
      </c>
      <c r="E13">
        <f t="shared" si="0"/>
        <v>0</v>
      </c>
      <c r="F13">
        <f t="shared" si="0"/>
        <v>0.44555984555984557</v>
      </c>
    </row>
    <row r="14" spans="1:10" hidden="1" x14ac:dyDescent="0.2">
      <c r="A14" t="s">
        <v>131</v>
      </c>
      <c r="B14">
        <f t="shared" si="0"/>
        <v>0.32</v>
      </c>
      <c r="C14">
        <f t="shared" si="0"/>
        <v>0</v>
      </c>
      <c r="D14" t="str">
        <f t="shared" si="0"/>
        <v>electricity PROXY fuel mix (1:1 energy:mass unit)- Eurofer Electricity 2010</v>
      </c>
      <c r="E14">
        <f t="shared" si="0"/>
        <v>0</v>
      </c>
      <c r="F14">
        <f t="shared" si="0"/>
        <v>0.44555984555984557</v>
      </c>
    </row>
    <row r="15" spans="1:10" hidden="1" x14ac:dyDescent="0.2">
      <c r="A15" t="s">
        <v>132</v>
      </c>
      <c r="B15">
        <f t="shared" si="0"/>
        <v>0.32</v>
      </c>
      <c r="C15">
        <f t="shared" si="0"/>
        <v>0</v>
      </c>
      <c r="D15" t="str">
        <f t="shared" si="0"/>
        <v>electricity PROXY fuel mix (1:1 energy:mass unit)- Eurofer Electricity 2010</v>
      </c>
      <c r="E15">
        <f t="shared" si="0"/>
        <v>0</v>
      </c>
      <c r="F15">
        <f t="shared" si="0"/>
        <v>0.44555984555984557</v>
      </c>
    </row>
    <row r="16" spans="1:10" hidden="1" x14ac:dyDescent="0.2">
      <c r="A16" t="s">
        <v>133</v>
      </c>
      <c r="B16">
        <f t="shared" si="0"/>
        <v>0.32</v>
      </c>
      <c r="C16">
        <f t="shared" si="0"/>
        <v>0</v>
      </c>
      <c r="D16" t="str">
        <f t="shared" si="0"/>
        <v>electricity PROXY fuel mix (1:1 energy:mass unit)- Eurofer Electricity 2010</v>
      </c>
      <c r="E16">
        <f t="shared" si="0"/>
        <v>0</v>
      </c>
      <c r="F16">
        <f t="shared" si="0"/>
        <v>0.44555984555984557</v>
      </c>
    </row>
    <row r="17" spans="1:6" hidden="1" x14ac:dyDescent="0.2">
      <c r="A17" t="s">
        <v>135</v>
      </c>
      <c r="B17">
        <f t="shared" si="0"/>
        <v>0.32</v>
      </c>
      <c r="C17">
        <f t="shared" si="0"/>
        <v>0</v>
      </c>
      <c r="D17" t="s">
        <v>124</v>
      </c>
      <c r="E17">
        <f t="shared" si="0"/>
        <v>0</v>
      </c>
      <c r="F17">
        <f t="shared" si="0"/>
        <v>0.44555984555984557</v>
      </c>
    </row>
    <row r="18" spans="1:6" hidden="1" x14ac:dyDescent="0.2">
      <c r="A18" t="s">
        <v>150</v>
      </c>
      <c r="B18" s="5">
        <v>1</v>
      </c>
      <c r="D18" t="s">
        <v>262</v>
      </c>
    </row>
    <row r="19" spans="1:6" hidden="1" x14ac:dyDescent="0.2">
      <c r="A19" t="s">
        <v>157</v>
      </c>
      <c r="B19" s="5">
        <v>1</v>
      </c>
      <c r="D19" t="s">
        <v>263</v>
      </c>
    </row>
    <row r="20" spans="1:6" hidden="1" x14ac:dyDescent="0.2">
      <c r="A20" t="s">
        <v>167</v>
      </c>
      <c r="B20" s="5">
        <v>1</v>
      </c>
      <c r="D20" t="s">
        <v>262</v>
      </c>
    </row>
    <row r="21" spans="1:6" hidden="1" x14ac:dyDescent="0.2">
      <c r="A21" t="s">
        <v>168</v>
      </c>
      <c r="B21" s="5">
        <v>1</v>
      </c>
      <c r="D21" t="s">
        <v>263</v>
      </c>
    </row>
    <row r="22" spans="1:6" hidden="1" x14ac:dyDescent="0.2">
      <c r="A22" t="s">
        <v>164</v>
      </c>
      <c r="B22" s="5">
        <v>1</v>
      </c>
      <c r="D22" t="s">
        <v>261</v>
      </c>
    </row>
    <row r="23" spans="1:6" s="77" customFormat="1" ht="16" x14ac:dyDescent="0.2">
      <c r="A23" s="76" t="s">
        <v>197</v>
      </c>
      <c r="B23" s="95">
        <v>1</v>
      </c>
      <c r="C23" s="77">
        <v>0</v>
      </c>
      <c r="D23" s="78" t="s">
        <v>264</v>
      </c>
    </row>
    <row r="24" spans="1:6" s="1" customFormat="1" ht="16" x14ac:dyDescent="0.2">
      <c r="A24" s="59" t="s">
        <v>290</v>
      </c>
      <c r="B24" s="5">
        <v>1</v>
      </c>
      <c r="C24" s="1">
        <v>0</v>
      </c>
      <c r="D24" t="s">
        <v>265</v>
      </c>
    </row>
    <row r="25" spans="1:6" s="1" customFormat="1" ht="16" x14ac:dyDescent="0.2">
      <c r="A25" s="59" t="s">
        <v>286</v>
      </c>
      <c r="B25" s="5">
        <v>1</v>
      </c>
      <c r="C25" s="1">
        <v>0</v>
      </c>
      <c r="D25" t="s">
        <v>266</v>
      </c>
    </row>
    <row r="26" spans="1:6" customFormat="1" ht="16" x14ac:dyDescent="0.2">
      <c r="A26" s="45" t="s">
        <v>198</v>
      </c>
      <c r="B26" s="5">
        <f>B$23</f>
        <v>1</v>
      </c>
      <c r="C26" s="5">
        <f t="shared" ref="C26:D26" si="1">C$23</f>
        <v>0</v>
      </c>
      <c r="D26" s="5" t="str">
        <f t="shared" si="1"/>
        <v>electricity PROXY - EU 2016</v>
      </c>
    </row>
    <row r="27" spans="1:6" customFormat="1" ht="16" x14ac:dyDescent="0.2">
      <c r="A27" s="45" t="s">
        <v>291</v>
      </c>
      <c r="B27" s="5">
        <f>B$24</f>
        <v>1</v>
      </c>
      <c r="C27" s="5">
        <f t="shared" ref="C27:D27" si="2">C$24</f>
        <v>0</v>
      </c>
      <c r="D27" s="5" t="str">
        <f t="shared" si="2"/>
        <v>electricity PROXY - EU 2030</v>
      </c>
    </row>
    <row r="28" spans="1:6" customFormat="1" ht="16" x14ac:dyDescent="0.2">
      <c r="A28" s="45" t="s">
        <v>199</v>
      </c>
      <c r="B28" s="5">
        <f t="shared" ref="B28:D28" si="3">B$23</f>
        <v>1</v>
      </c>
      <c r="C28" s="5">
        <f t="shared" si="3"/>
        <v>0</v>
      </c>
      <c r="D28" s="5" t="str">
        <f t="shared" si="3"/>
        <v>electricity PROXY - EU 2016</v>
      </c>
    </row>
    <row r="29" spans="1:6" customFormat="1" ht="16" x14ac:dyDescent="0.2">
      <c r="A29" s="45" t="s">
        <v>292</v>
      </c>
      <c r="B29" s="5">
        <f t="shared" ref="B29:D29" si="4">B$24</f>
        <v>1</v>
      </c>
      <c r="C29" s="5">
        <f t="shared" si="4"/>
        <v>0</v>
      </c>
      <c r="D29" s="5" t="str">
        <f t="shared" si="4"/>
        <v>electricity PROXY - EU 2030</v>
      </c>
    </row>
    <row r="30" spans="1:6" customFormat="1" ht="16" x14ac:dyDescent="0.2">
      <c r="A30" s="45" t="s">
        <v>288</v>
      </c>
      <c r="B30" s="5">
        <f>B$25</f>
        <v>1</v>
      </c>
      <c r="C30" s="5">
        <f t="shared" ref="C30:D30" si="5">C$25</f>
        <v>0</v>
      </c>
      <c r="D30" s="5" t="str">
        <f t="shared" si="5"/>
        <v>electricity PROXY - EU 2040</v>
      </c>
    </row>
    <row r="31" spans="1:6" customFormat="1" ht="16" x14ac:dyDescent="0.2">
      <c r="A31" s="45" t="s">
        <v>200</v>
      </c>
      <c r="B31" s="5">
        <f t="shared" ref="B31:D33" si="6">B$23</f>
        <v>1</v>
      </c>
      <c r="C31" s="5">
        <f t="shared" si="6"/>
        <v>0</v>
      </c>
      <c r="D31" s="5" t="str">
        <f t="shared" si="6"/>
        <v>electricity PROXY - EU 2016</v>
      </c>
    </row>
    <row r="32" spans="1:6" customFormat="1" ht="16" x14ac:dyDescent="0.2">
      <c r="A32" s="45" t="s">
        <v>201</v>
      </c>
      <c r="B32" s="5">
        <f t="shared" si="6"/>
        <v>1</v>
      </c>
      <c r="C32" s="5">
        <f t="shared" si="6"/>
        <v>0</v>
      </c>
      <c r="D32" s="5" t="str">
        <f t="shared" si="6"/>
        <v>electricity PROXY - EU 2016</v>
      </c>
    </row>
    <row r="33" spans="1:4" customFormat="1" ht="16" x14ac:dyDescent="0.2">
      <c r="A33" s="45" t="s">
        <v>172</v>
      </c>
      <c r="B33" s="5">
        <f t="shared" si="6"/>
        <v>1</v>
      </c>
      <c r="C33" s="5">
        <f t="shared" si="6"/>
        <v>0</v>
      </c>
      <c r="D33" s="5" t="str">
        <f t="shared" si="6"/>
        <v>electricity PROXY - EU 2016</v>
      </c>
    </row>
    <row r="34" spans="1:4" customFormat="1" ht="16" x14ac:dyDescent="0.2">
      <c r="A34" s="45" t="s">
        <v>173</v>
      </c>
      <c r="B34" s="5">
        <f t="shared" ref="B34:D35" si="7">B$24</f>
        <v>1</v>
      </c>
      <c r="C34" s="5">
        <f t="shared" si="7"/>
        <v>0</v>
      </c>
      <c r="D34" s="5" t="str">
        <f t="shared" si="7"/>
        <v>electricity PROXY - EU 2030</v>
      </c>
    </row>
    <row r="35" spans="1:4" customFormat="1" ht="16" x14ac:dyDescent="0.2">
      <c r="A35" s="45" t="s">
        <v>174</v>
      </c>
      <c r="B35" s="5">
        <f t="shared" si="7"/>
        <v>1</v>
      </c>
      <c r="C35" s="5">
        <f t="shared" si="7"/>
        <v>0</v>
      </c>
      <c r="D35" s="5" t="str">
        <f t="shared" si="7"/>
        <v>electricity PROXY - EU 2030</v>
      </c>
    </row>
    <row r="36" spans="1:4" customFormat="1" ht="16" x14ac:dyDescent="0.2">
      <c r="A36" s="45" t="s">
        <v>175</v>
      </c>
      <c r="B36" s="5">
        <f t="shared" ref="B36:D37" si="8">B$25</f>
        <v>1</v>
      </c>
      <c r="C36" s="5">
        <f t="shared" si="8"/>
        <v>0</v>
      </c>
      <c r="D36" s="5" t="str">
        <f t="shared" si="8"/>
        <v>electricity PROXY - EU 2040</v>
      </c>
    </row>
    <row r="37" spans="1:4" s="55" customFormat="1" ht="17" thickBot="1" x14ac:dyDescent="0.25">
      <c r="A37" s="56" t="s">
        <v>176</v>
      </c>
      <c r="B37" s="96">
        <f t="shared" si="8"/>
        <v>1</v>
      </c>
      <c r="C37" s="96">
        <f t="shared" si="8"/>
        <v>0</v>
      </c>
      <c r="D37" s="96" t="str">
        <f t="shared" si="8"/>
        <v>electricity PROXY - EU 2040</v>
      </c>
    </row>
    <row r="38" spans="1:4" s="1" customFormat="1" ht="16" x14ac:dyDescent="0.2">
      <c r="A38" s="59" t="s">
        <v>202</v>
      </c>
      <c r="B38" s="1">
        <v>1</v>
      </c>
      <c r="C38" s="1">
        <v>0</v>
      </c>
      <c r="D38" t="s">
        <v>267</v>
      </c>
    </row>
    <row r="39" spans="1:4" s="1" customFormat="1" ht="16" x14ac:dyDescent="0.2">
      <c r="A39" s="59" t="s">
        <v>203</v>
      </c>
      <c r="B39" s="1">
        <v>1</v>
      </c>
      <c r="C39" s="1">
        <v>0</v>
      </c>
      <c r="D39" t="s">
        <v>268</v>
      </c>
    </row>
    <row r="40" spans="1:4" s="1" customFormat="1" ht="16" x14ac:dyDescent="0.2">
      <c r="A40" s="59" t="s">
        <v>204</v>
      </c>
      <c r="B40" s="1">
        <v>1</v>
      </c>
      <c r="C40" s="1">
        <v>0</v>
      </c>
      <c r="D40" t="s">
        <v>269</v>
      </c>
    </row>
    <row r="41" spans="1:4" customFormat="1" ht="16" x14ac:dyDescent="0.2">
      <c r="A41" s="45" t="s">
        <v>205</v>
      </c>
      <c r="B41">
        <f>B$38</f>
        <v>1</v>
      </c>
      <c r="C41">
        <f t="shared" ref="C41:D43" si="9">C$38</f>
        <v>0</v>
      </c>
      <c r="D41" t="str">
        <f t="shared" si="9"/>
        <v>electricity PROXY - CN 2016</v>
      </c>
    </row>
    <row r="42" spans="1:4" customFormat="1" ht="16" x14ac:dyDescent="0.2">
      <c r="A42" s="45" t="s">
        <v>206</v>
      </c>
      <c r="B42">
        <f>B$39</f>
        <v>1</v>
      </c>
      <c r="C42">
        <f t="shared" ref="C42:D42" si="10">C$39</f>
        <v>0</v>
      </c>
      <c r="D42" t="str">
        <f t="shared" si="10"/>
        <v>electricity PROXY - CN 2030</v>
      </c>
    </row>
    <row r="43" spans="1:4" customFormat="1" ht="16" x14ac:dyDescent="0.2">
      <c r="A43" s="45" t="s">
        <v>207</v>
      </c>
      <c r="B43">
        <f>B$38</f>
        <v>1</v>
      </c>
      <c r="C43">
        <f t="shared" si="9"/>
        <v>0</v>
      </c>
      <c r="D43" t="str">
        <f t="shared" si="9"/>
        <v>electricity PROXY - CN 2016</v>
      </c>
    </row>
    <row r="44" spans="1:4" customFormat="1" ht="16" x14ac:dyDescent="0.2">
      <c r="A44" s="45" t="s">
        <v>208</v>
      </c>
      <c r="B44">
        <f t="shared" ref="B44:D44" si="11">B$39</f>
        <v>1</v>
      </c>
      <c r="C44">
        <f t="shared" si="11"/>
        <v>0</v>
      </c>
      <c r="D44" t="str">
        <f t="shared" si="11"/>
        <v>electricity PROXY - CN 2030</v>
      </c>
    </row>
    <row r="45" spans="1:4" customFormat="1" ht="16" x14ac:dyDescent="0.2">
      <c r="A45" s="45" t="s">
        <v>209</v>
      </c>
      <c r="B45">
        <f>B$40</f>
        <v>1</v>
      </c>
      <c r="C45">
        <f t="shared" ref="C45:D45" si="12">C$40</f>
        <v>0</v>
      </c>
      <c r="D45" t="str">
        <f t="shared" si="12"/>
        <v>electricity PROXY - CN 2040</v>
      </c>
    </row>
    <row r="46" spans="1:4" customFormat="1" ht="16" x14ac:dyDescent="0.2">
      <c r="A46" s="45" t="s">
        <v>210</v>
      </c>
      <c r="B46">
        <f>B$38</f>
        <v>1</v>
      </c>
      <c r="C46">
        <f t="shared" ref="C46:D48" si="13">C$38</f>
        <v>0</v>
      </c>
      <c r="D46" t="str">
        <f t="shared" si="13"/>
        <v>electricity PROXY - CN 2016</v>
      </c>
    </row>
    <row r="47" spans="1:4" customFormat="1" ht="16" x14ac:dyDescent="0.2">
      <c r="A47" s="45" t="s">
        <v>211</v>
      </c>
      <c r="B47">
        <f>B$38</f>
        <v>1</v>
      </c>
      <c r="C47">
        <f t="shared" si="13"/>
        <v>0</v>
      </c>
      <c r="D47" t="str">
        <f t="shared" si="13"/>
        <v>electricity PROXY - CN 2016</v>
      </c>
    </row>
    <row r="48" spans="1:4" customFormat="1" ht="16" x14ac:dyDescent="0.2">
      <c r="A48" s="45" t="s">
        <v>177</v>
      </c>
      <c r="B48">
        <f>B$38</f>
        <v>1</v>
      </c>
      <c r="C48">
        <f t="shared" si="13"/>
        <v>0</v>
      </c>
      <c r="D48" t="str">
        <f t="shared" si="13"/>
        <v>electricity PROXY - CN 2016</v>
      </c>
    </row>
    <row r="49" spans="1:4" customFormat="1" ht="16" x14ac:dyDescent="0.2">
      <c r="A49" s="45" t="s">
        <v>178</v>
      </c>
      <c r="B49">
        <f t="shared" ref="B49:D50" si="14">B$39</f>
        <v>1</v>
      </c>
      <c r="C49">
        <f t="shared" si="14"/>
        <v>0</v>
      </c>
      <c r="D49" t="str">
        <f t="shared" si="14"/>
        <v>electricity PROXY - CN 2030</v>
      </c>
    </row>
    <row r="50" spans="1:4" customFormat="1" ht="16" x14ac:dyDescent="0.2">
      <c r="A50" s="45" t="s">
        <v>179</v>
      </c>
      <c r="B50">
        <f t="shared" si="14"/>
        <v>1</v>
      </c>
      <c r="C50">
        <f t="shared" si="14"/>
        <v>0</v>
      </c>
      <c r="D50" t="str">
        <f t="shared" si="14"/>
        <v>electricity PROXY - CN 2030</v>
      </c>
    </row>
    <row r="51" spans="1:4" customFormat="1" ht="16" x14ac:dyDescent="0.2">
      <c r="A51" s="45" t="s">
        <v>180</v>
      </c>
      <c r="B51">
        <f t="shared" ref="B51:D52" si="15">B$40</f>
        <v>1</v>
      </c>
      <c r="C51">
        <f t="shared" si="15"/>
        <v>0</v>
      </c>
      <c r="D51" t="str">
        <f t="shared" si="15"/>
        <v>electricity PROXY - CN 2040</v>
      </c>
    </row>
    <row r="52" spans="1:4" s="55" customFormat="1" ht="17" thickBot="1" x14ac:dyDescent="0.25">
      <c r="A52" s="56" t="s">
        <v>181</v>
      </c>
      <c r="B52" s="55">
        <f t="shared" si="15"/>
        <v>1</v>
      </c>
      <c r="C52" s="55">
        <f t="shared" si="15"/>
        <v>0</v>
      </c>
      <c r="D52" s="55" t="str">
        <f t="shared" si="15"/>
        <v>electricity PROXY - CN 2040</v>
      </c>
    </row>
    <row r="53" spans="1:4" s="1" customFormat="1" ht="16" x14ac:dyDescent="0.2">
      <c r="A53" s="59" t="s">
        <v>212</v>
      </c>
      <c r="B53" s="1">
        <v>1</v>
      </c>
      <c r="C53" s="1">
        <v>0</v>
      </c>
      <c r="D53" t="s">
        <v>270</v>
      </c>
    </row>
    <row r="54" spans="1:4" customFormat="1" ht="16" x14ac:dyDescent="0.2">
      <c r="A54" s="45" t="s">
        <v>213</v>
      </c>
      <c r="B54">
        <f>B$53</f>
        <v>1</v>
      </c>
      <c r="C54">
        <f t="shared" ref="C54:D57" si="16">C$53</f>
        <v>0</v>
      </c>
      <c r="D54" t="str">
        <f t="shared" si="16"/>
        <v>electricity PROXY - JP 2016</v>
      </c>
    </row>
    <row r="55" spans="1:4" customFormat="1" ht="16" x14ac:dyDescent="0.2">
      <c r="A55" s="45" t="s">
        <v>214</v>
      </c>
      <c r="B55">
        <f t="shared" ref="B55:B57" si="17">B$53</f>
        <v>1</v>
      </c>
      <c r="C55">
        <f t="shared" si="16"/>
        <v>0</v>
      </c>
      <c r="D55" t="str">
        <f t="shared" si="16"/>
        <v>electricity PROXY - JP 2016</v>
      </c>
    </row>
    <row r="56" spans="1:4" customFormat="1" ht="16" x14ac:dyDescent="0.2">
      <c r="A56" s="45" t="s">
        <v>215</v>
      </c>
      <c r="B56">
        <f t="shared" si="17"/>
        <v>1</v>
      </c>
      <c r="C56">
        <f t="shared" si="16"/>
        <v>0</v>
      </c>
      <c r="D56" t="str">
        <f t="shared" si="16"/>
        <v>electricity PROXY - JP 2016</v>
      </c>
    </row>
    <row r="57" spans="1:4" s="55" customFormat="1" ht="17" thickBot="1" x14ac:dyDescent="0.25">
      <c r="A57" s="56" t="s">
        <v>216</v>
      </c>
      <c r="B57" s="55">
        <f t="shared" si="17"/>
        <v>1</v>
      </c>
      <c r="C57" s="55">
        <f t="shared" si="16"/>
        <v>0</v>
      </c>
      <c r="D57" s="55" t="str">
        <f t="shared" si="16"/>
        <v>electricity PROXY - JP 2016</v>
      </c>
    </row>
    <row r="58" spans="1:4" s="1" customFormat="1" ht="16" x14ac:dyDescent="0.2">
      <c r="A58" s="59" t="s">
        <v>217</v>
      </c>
      <c r="B58" s="1">
        <v>1</v>
      </c>
      <c r="C58" s="1">
        <v>0</v>
      </c>
      <c r="D58" t="s">
        <v>271</v>
      </c>
    </row>
    <row r="59" spans="1:4" customFormat="1" ht="16" x14ac:dyDescent="0.2">
      <c r="A59" s="45" t="s">
        <v>218</v>
      </c>
      <c r="B59" s="50">
        <f>B$58</f>
        <v>1</v>
      </c>
      <c r="C59" s="50">
        <f t="shared" ref="C59:D62" si="18">C$58</f>
        <v>0</v>
      </c>
      <c r="D59" s="50" t="str">
        <f t="shared" si="18"/>
        <v>electricity PROXY - RU 2016</v>
      </c>
    </row>
    <row r="60" spans="1:4" customFormat="1" ht="16" x14ac:dyDescent="0.2">
      <c r="A60" s="45" t="s">
        <v>219</v>
      </c>
      <c r="B60" s="50">
        <f t="shared" ref="B60:B62" si="19">B$58</f>
        <v>1</v>
      </c>
      <c r="C60" s="50">
        <f t="shared" si="18"/>
        <v>0</v>
      </c>
      <c r="D60" s="50" t="str">
        <f t="shared" si="18"/>
        <v>electricity PROXY - RU 2016</v>
      </c>
    </row>
    <row r="61" spans="1:4" customFormat="1" ht="16" x14ac:dyDescent="0.2">
      <c r="A61" s="45" t="s">
        <v>220</v>
      </c>
      <c r="B61" s="50">
        <f t="shared" si="19"/>
        <v>1</v>
      </c>
      <c r="C61" s="50">
        <f t="shared" si="18"/>
        <v>0</v>
      </c>
      <c r="D61" s="50" t="str">
        <f t="shared" si="18"/>
        <v>electricity PROXY - RU 2016</v>
      </c>
    </row>
    <row r="62" spans="1:4" s="55" customFormat="1" ht="17" thickBot="1" x14ac:dyDescent="0.25">
      <c r="A62" s="56" t="s">
        <v>221</v>
      </c>
      <c r="B62" s="69">
        <f t="shared" si="19"/>
        <v>1</v>
      </c>
      <c r="C62" s="69">
        <f t="shared" si="18"/>
        <v>0</v>
      </c>
      <c r="D62" s="69" t="str">
        <f t="shared" si="18"/>
        <v>electricity PROXY - RU 2016</v>
      </c>
    </row>
    <row r="63" spans="1:4" s="1" customFormat="1" ht="16" x14ac:dyDescent="0.2">
      <c r="A63" s="59" t="s">
        <v>222</v>
      </c>
      <c r="B63" s="1">
        <v>1</v>
      </c>
      <c r="C63" s="1">
        <v>0</v>
      </c>
      <c r="D63" t="s">
        <v>272</v>
      </c>
    </row>
    <row r="64" spans="1:4" customFormat="1" ht="16" x14ac:dyDescent="0.2">
      <c r="A64" s="45" t="s">
        <v>223</v>
      </c>
      <c r="B64" s="50">
        <f>B$63</f>
        <v>1</v>
      </c>
      <c r="C64" s="50">
        <f t="shared" ref="C64:D67" si="20">C$63</f>
        <v>0</v>
      </c>
      <c r="D64" s="50" t="str">
        <f t="shared" si="20"/>
        <v>electricity PROXY - US 2016</v>
      </c>
    </row>
    <row r="65" spans="1:4" customFormat="1" ht="16" x14ac:dyDescent="0.2">
      <c r="A65" s="45" t="s">
        <v>224</v>
      </c>
      <c r="B65" s="50">
        <f t="shared" ref="B65:B67" si="21">B$63</f>
        <v>1</v>
      </c>
      <c r="C65" s="50">
        <f t="shared" si="20"/>
        <v>0</v>
      </c>
      <c r="D65" s="50" t="str">
        <f t="shared" si="20"/>
        <v>electricity PROXY - US 2016</v>
      </c>
    </row>
    <row r="66" spans="1:4" customFormat="1" ht="16" x14ac:dyDescent="0.2">
      <c r="A66" s="45" t="s">
        <v>225</v>
      </c>
      <c r="B66" s="50">
        <f t="shared" si="21"/>
        <v>1</v>
      </c>
      <c r="C66" s="50">
        <f t="shared" si="20"/>
        <v>0</v>
      </c>
      <c r="D66" s="50" t="str">
        <f t="shared" si="20"/>
        <v>electricity PROXY - US 2016</v>
      </c>
    </row>
    <row r="67" spans="1:4" s="55" customFormat="1" ht="17" thickBot="1" x14ac:dyDescent="0.25">
      <c r="A67" s="56" t="s">
        <v>226</v>
      </c>
      <c r="B67" s="69">
        <f t="shared" si="21"/>
        <v>1</v>
      </c>
      <c r="C67" s="69">
        <f t="shared" si="20"/>
        <v>0</v>
      </c>
      <c r="D67" s="69" t="str">
        <f t="shared" si="20"/>
        <v>electricity PROXY - US 2016</v>
      </c>
    </row>
    <row r="68" spans="1:4" s="1" customFormat="1" ht="16" x14ac:dyDescent="0.2">
      <c r="A68" s="59" t="s">
        <v>227</v>
      </c>
      <c r="B68" s="1">
        <v>1</v>
      </c>
      <c r="C68" s="1">
        <v>0</v>
      </c>
      <c r="D68" t="s">
        <v>273</v>
      </c>
    </row>
    <row r="69" spans="1:4" customFormat="1" ht="16" x14ac:dyDescent="0.2">
      <c r="A69" s="45" t="s">
        <v>228</v>
      </c>
      <c r="B69" s="50">
        <f>B$68</f>
        <v>1</v>
      </c>
      <c r="C69" s="50">
        <f t="shared" ref="C69:D72" si="22">C$68</f>
        <v>0</v>
      </c>
      <c r="D69" s="50" t="str">
        <f t="shared" si="22"/>
        <v>electricity PROXY - IN 2016</v>
      </c>
    </row>
    <row r="70" spans="1:4" customFormat="1" ht="16" x14ac:dyDescent="0.2">
      <c r="A70" s="45" t="s">
        <v>229</v>
      </c>
      <c r="B70" s="50">
        <f t="shared" ref="B70:B72" si="23">B$68</f>
        <v>1</v>
      </c>
      <c r="C70" s="50">
        <f t="shared" si="22"/>
        <v>0</v>
      </c>
      <c r="D70" s="50" t="str">
        <f t="shared" si="22"/>
        <v>electricity PROXY - IN 2016</v>
      </c>
    </row>
    <row r="71" spans="1:4" customFormat="1" ht="16" x14ac:dyDescent="0.2">
      <c r="A71" s="45" t="s">
        <v>230</v>
      </c>
      <c r="B71" s="50">
        <f t="shared" si="23"/>
        <v>1</v>
      </c>
      <c r="C71" s="50">
        <f t="shared" si="22"/>
        <v>0</v>
      </c>
      <c r="D71" s="50" t="str">
        <f t="shared" si="22"/>
        <v>electricity PROXY - IN 2016</v>
      </c>
    </row>
    <row r="72" spans="1:4" s="55" customFormat="1" ht="17" thickBot="1" x14ac:dyDescent="0.25">
      <c r="A72" s="56" t="s">
        <v>231</v>
      </c>
      <c r="B72" s="69">
        <f t="shared" si="23"/>
        <v>1</v>
      </c>
      <c r="C72" s="69">
        <f t="shared" si="22"/>
        <v>0</v>
      </c>
      <c r="D72" s="69" t="str">
        <f t="shared" si="22"/>
        <v>electricity PROXY - IN 2016</v>
      </c>
    </row>
    <row r="73" spans="1:4" customFormat="1" x14ac:dyDescent="0.2"/>
  </sheetData>
  <pageMargins left="0.7" right="0.7" top="0.75" bottom="0.75" header="0.3" footer="0.3"/>
  <pageSetup paperSize="9" orientation="portrait" r:id="rId1"/>
  <ignoredErrors>
    <ignoredError sqref="B28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73"/>
  <sheetViews>
    <sheetView topLeftCell="A37" workbookViewId="0">
      <selection activeCell="D32" sqref="D32"/>
    </sheetView>
  </sheetViews>
  <sheetFormatPr baseColWidth="10" defaultColWidth="8.83203125" defaultRowHeight="15" x14ac:dyDescent="0.2"/>
  <cols>
    <col min="1" max="1" width="23.33203125" customWidth="1"/>
    <col min="2" max="2" width="13.1640625" style="5" bestFit="1" customWidth="1"/>
    <col min="3" max="3" width="13.1640625" style="5" customWidth="1"/>
    <col min="4" max="4" width="15.83203125" style="5" bestFit="1" customWidth="1"/>
    <col min="5" max="5" width="19" style="5" bestFit="1" customWidth="1"/>
    <col min="6" max="6" width="17.83203125" style="5" bestFit="1" customWidth="1"/>
  </cols>
  <sheetData>
    <row r="1" spans="1:6" x14ac:dyDescent="0.2">
      <c r="A1" s="1" t="s">
        <v>0</v>
      </c>
      <c r="B1" s="17" t="s">
        <v>58</v>
      </c>
      <c r="C1" s="17" t="s">
        <v>82</v>
      </c>
      <c r="D1" s="1" t="s">
        <v>60</v>
      </c>
      <c r="E1" s="1" t="s">
        <v>2</v>
      </c>
      <c r="F1" s="1" t="s">
        <v>128</v>
      </c>
    </row>
    <row r="2" spans="1:6" x14ac:dyDescent="0.2">
      <c r="A2" s="2" t="s">
        <v>1</v>
      </c>
      <c r="B2" s="19" t="s">
        <v>67</v>
      </c>
      <c r="C2" s="19" t="s">
        <v>83</v>
      </c>
    </row>
    <row r="3" spans="1:6" x14ac:dyDescent="0.2">
      <c r="A3" s="2" t="s">
        <v>2</v>
      </c>
    </row>
    <row r="4" spans="1:6" x14ac:dyDescent="0.2">
      <c r="A4" t="s">
        <v>3</v>
      </c>
    </row>
    <row r="5" spans="1:6" hidden="1" x14ac:dyDescent="0.2">
      <c r="A5" t="s">
        <v>55</v>
      </c>
      <c r="B5" s="5">
        <v>0.32</v>
      </c>
      <c r="C5" s="5">
        <v>0</v>
      </c>
      <c r="D5" s="19" t="s">
        <v>123</v>
      </c>
    </row>
    <row r="6" spans="1:6" hidden="1" x14ac:dyDescent="0.2">
      <c r="A6" t="s">
        <v>106</v>
      </c>
      <c r="B6" s="5">
        <v>1</v>
      </c>
      <c r="C6" s="5">
        <v>0</v>
      </c>
      <c r="D6" t="s">
        <v>134</v>
      </c>
      <c r="F6" s="5">
        <f>533/1278</f>
        <v>0.41705790297339596</v>
      </c>
    </row>
    <row r="7" spans="1:6" hidden="1" x14ac:dyDescent="0.2">
      <c r="A7" t="s">
        <v>107</v>
      </c>
      <c r="B7" s="5">
        <v>0.32</v>
      </c>
      <c r="C7" s="5">
        <v>0</v>
      </c>
      <c r="D7" t="s">
        <v>170</v>
      </c>
      <c r="F7" s="5">
        <f>57.7/129.5</f>
        <v>0.44555984555984557</v>
      </c>
    </row>
    <row r="8" spans="1:6" hidden="1" x14ac:dyDescent="0.2">
      <c r="A8" t="s">
        <v>108</v>
      </c>
      <c r="B8" s="34">
        <v>0.4773</v>
      </c>
      <c r="C8" s="41">
        <v>0</v>
      </c>
      <c r="D8" t="s">
        <v>123</v>
      </c>
      <c r="E8" s="19" t="s">
        <v>76</v>
      </c>
      <c r="F8" s="5">
        <f>90.4/189.6</f>
        <v>0.47679324894514774</v>
      </c>
    </row>
    <row r="9" spans="1:6" hidden="1" x14ac:dyDescent="0.2">
      <c r="A9" t="s">
        <v>109</v>
      </c>
      <c r="B9" s="34">
        <v>0.27550000000000002</v>
      </c>
      <c r="C9" s="41">
        <v>0</v>
      </c>
      <c r="D9" t="s">
        <v>117</v>
      </c>
      <c r="E9" s="19" t="s">
        <v>76</v>
      </c>
      <c r="F9" s="5">
        <f>93.6/340</f>
        <v>0.2752941176470588</v>
      </c>
    </row>
    <row r="10" spans="1:6" hidden="1" x14ac:dyDescent="0.2">
      <c r="A10" t="s">
        <v>110</v>
      </c>
      <c r="B10" s="5">
        <f>18/39</f>
        <v>0.46153846153846156</v>
      </c>
      <c r="C10" s="5">
        <v>0</v>
      </c>
      <c r="D10" t="s">
        <v>119</v>
      </c>
      <c r="F10" s="5">
        <f>376/868</f>
        <v>0.43317972350230416</v>
      </c>
    </row>
    <row r="11" spans="1:6" hidden="1" x14ac:dyDescent="0.2">
      <c r="A11" t="s">
        <v>126</v>
      </c>
      <c r="B11" s="34">
        <f>127/328.7</f>
        <v>0.38637055065409187</v>
      </c>
      <c r="C11" s="5">
        <v>0</v>
      </c>
      <c r="D11" s="19" t="s">
        <v>114</v>
      </c>
      <c r="F11" s="5">
        <f>127.5/328.7</f>
        <v>0.38789169455430483</v>
      </c>
    </row>
    <row r="12" spans="1:6" hidden="1" x14ac:dyDescent="0.2">
      <c r="A12" t="s">
        <v>127</v>
      </c>
      <c r="F12" s="5">
        <f>48/126.8</f>
        <v>0.37854889589905366</v>
      </c>
    </row>
    <row r="13" spans="1:6" hidden="1" x14ac:dyDescent="0.2">
      <c r="A13" t="s">
        <v>130</v>
      </c>
      <c r="B13">
        <f t="shared" ref="B13:F17" si="0">B$7</f>
        <v>0.32</v>
      </c>
      <c r="C13">
        <f t="shared" si="0"/>
        <v>0</v>
      </c>
      <c r="D13" t="str">
        <f t="shared" si="0"/>
        <v>PROXY fuel mix (1:1 energy:mass unit)- Eurofer Electricity 2010</v>
      </c>
      <c r="E13">
        <f t="shared" si="0"/>
        <v>0</v>
      </c>
      <c r="F13">
        <f t="shared" si="0"/>
        <v>0.44555984555984557</v>
      </c>
    </row>
    <row r="14" spans="1:6" hidden="1" x14ac:dyDescent="0.2">
      <c r="A14" t="s">
        <v>131</v>
      </c>
      <c r="B14">
        <f t="shared" si="0"/>
        <v>0.32</v>
      </c>
      <c r="C14">
        <f t="shared" si="0"/>
        <v>0</v>
      </c>
      <c r="D14" t="str">
        <f t="shared" si="0"/>
        <v>PROXY fuel mix (1:1 energy:mass unit)- Eurofer Electricity 2010</v>
      </c>
      <c r="E14">
        <f t="shared" si="0"/>
        <v>0</v>
      </c>
      <c r="F14">
        <f t="shared" si="0"/>
        <v>0.44555984555984557</v>
      </c>
    </row>
    <row r="15" spans="1:6" hidden="1" x14ac:dyDescent="0.2">
      <c r="A15" t="s">
        <v>132</v>
      </c>
      <c r="B15">
        <f t="shared" si="0"/>
        <v>0.32</v>
      </c>
      <c r="C15">
        <f t="shared" si="0"/>
        <v>0</v>
      </c>
      <c r="D15" t="str">
        <f t="shared" si="0"/>
        <v>PROXY fuel mix (1:1 energy:mass unit)- Eurofer Electricity 2010</v>
      </c>
      <c r="E15">
        <f t="shared" si="0"/>
        <v>0</v>
      </c>
      <c r="F15">
        <f t="shared" si="0"/>
        <v>0.44555984555984557</v>
      </c>
    </row>
    <row r="16" spans="1:6" hidden="1" x14ac:dyDescent="0.2">
      <c r="A16" t="s">
        <v>133</v>
      </c>
      <c r="B16">
        <f t="shared" si="0"/>
        <v>0.32</v>
      </c>
      <c r="C16">
        <f t="shared" si="0"/>
        <v>0</v>
      </c>
      <c r="D16" t="str">
        <f t="shared" si="0"/>
        <v>PROXY fuel mix (1:1 energy:mass unit)- Eurofer Electricity 2010</v>
      </c>
      <c r="E16">
        <f t="shared" si="0"/>
        <v>0</v>
      </c>
      <c r="F16">
        <f t="shared" si="0"/>
        <v>0.44555984555984557</v>
      </c>
    </row>
    <row r="17" spans="1:6" hidden="1" x14ac:dyDescent="0.2">
      <c r="A17" t="s">
        <v>135</v>
      </c>
      <c r="B17">
        <f t="shared" si="0"/>
        <v>0.32</v>
      </c>
      <c r="C17">
        <f t="shared" si="0"/>
        <v>0</v>
      </c>
      <c r="D17" t="s">
        <v>124</v>
      </c>
      <c r="E17">
        <f t="shared" si="0"/>
        <v>0</v>
      </c>
      <c r="F17">
        <f t="shared" si="0"/>
        <v>0.44555984555984557</v>
      </c>
    </row>
    <row r="18" spans="1:6" hidden="1" x14ac:dyDescent="0.2">
      <c r="A18" t="s">
        <v>150</v>
      </c>
      <c r="B18" s="5">
        <v>1</v>
      </c>
      <c r="D18" t="s">
        <v>171</v>
      </c>
    </row>
    <row r="19" spans="1:6" hidden="1" x14ac:dyDescent="0.2">
      <c r="A19" t="s">
        <v>157</v>
      </c>
      <c r="B19" s="5">
        <v>1</v>
      </c>
      <c r="D19" t="s">
        <v>169</v>
      </c>
    </row>
    <row r="20" spans="1:6" hidden="1" x14ac:dyDescent="0.2">
      <c r="A20" t="s">
        <v>167</v>
      </c>
      <c r="B20" s="5">
        <v>1</v>
      </c>
      <c r="D20" t="s">
        <v>171</v>
      </c>
    </row>
    <row r="21" spans="1:6" hidden="1" x14ac:dyDescent="0.2">
      <c r="A21" t="s">
        <v>168</v>
      </c>
      <c r="B21" s="5">
        <v>1</v>
      </c>
      <c r="D21" t="s">
        <v>169</v>
      </c>
    </row>
    <row r="22" spans="1:6" hidden="1" x14ac:dyDescent="0.2">
      <c r="A22" t="s">
        <v>164</v>
      </c>
      <c r="B22" s="5">
        <v>1</v>
      </c>
      <c r="D22" t="s">
        <v>170</v>
      </c>
    </row>
    <row r="23" spans="1:6" s="1" customFormat="1" ht="17.25" customHeight="1" x14ac:dyDescent="0.2">
      <c r="A23" s="76" t="s">
        <v>197</v>
      </c>
      <c r="B23" s="112">
        <v>0.8</v>
      </c>
      <c r="C23" s="77">
        <v>0</v>
      </c>
      <c r="D23" s="78" t="str">
        <f t="shared" ref="D23:D25" si="1">D$53</f>
        <v>natural gas - IPCC</v>
      </c>
      <c r="E23" s="77"/>
      <c r="F23" s="77"/>
    </row>
    <row r="24" spans="1:6" s="1" customFormat="1" ht="16" x14ac:dyDescent="0.2">
      <c r="A24" s="59" t="s">
        <v>290</v>
      </c>
      <c r="B24" s="109">
        <v>0.85</v>
      </c>
      <c r="C24" s="1">
        <v>0</v>
      </c>
      <c r="D24" t="str">
        <f t="shared" si="1"/>
        <v>natural gas - IPCC</v>
      </c>
    </row>
    <row r="25" spans="1:6" s="1" customFormat="1" ht="16" x14ac:dyDescent="0.2">
      <c r="A25" s="59" t="s">
        <v>286</v>
      </c>
      <c r="B25" s="109">
        <v>0.9</v>
      </c>
      <c r="C25" s="1">
        <v>0</v>
      </c>
      <c r="D25" t="str">
        <f t="shared" si="1"/>
        <v>natural gas - IPCC</v>
      </c>
    </row>
    <row r="26" spans="1:6" ht="16" x14ac:dyDescent="0.2">
      <c r="A26" s="45" t="s">
        <v>198</v>
      </c>
      <c r="B26" s="15">
        <f>B$23</f>
        <v>0.8</v>
      </c>
      <c r="C26" s="5">
        <f t="shared" ref="C26" si="2">C$23</f>
        <v>0</v>
      </c>
      <c r="D26" t="s">
        <v>275</v>
      </c>
      <c r="E26"/>
      <c r="F26"/>
    </row>
    <row r="27" spans="1:6" ht="16" x14ac:dyDescent="0.2">
      <c r="A27" s="45" t="s">
        <v>291</v>
      </c>
      <c r="B27" s="15">
        <f>B$24</f>
        <v>0.85</v>
      </c>
      <c r="C27" s="5">
        <f t="shared" ref="C27" si="3">C$24</f>
        <v>0</v>
      </c>
      <c r="D27" t="s">
        <v>275</v>
      </c>
      <c r="E27"/>
      <c r="F27"/>
    </row>
    <row r="28" spans="1:6" ht="16" x14ac:dyDescent="0.2">
      <c r="A28" s="45" t="s">
        <v>199</v>
      </c>
      <c r="B28" s="15">
        <f t="shared" ref="B28:C28" si="4">B$23</f>
        <v>0.8</v>
      </c>
      <c r="C28" s="5">
        <f t="shared" si="4"/>
        <v>0</v>
      </c>
      <c r="D28" t="s">
        <v>275</v>
      </c>
      <c r="E28"/>
      <c r="F28"/>
    </row>
    <row r="29" spans="1:6" ht="16" x14ac:dyDescent="0.2">
      <c r="A29" s="45" t="s">
        <v>292</v>
      </c>
      <c r="B29" s="15">
        <f t="shared" ref="B29:C29" si="5">B$24</f>
        <v>0.85</v>
      </c>
      <c r="C29" s="5">
        <f t="shared" si="5"/>
        <v>0</v>
      </c>
      <c r="D29" s="5" t="s">
        <v>275</v>
      </c>
      <c r="E29"/>
      <c r="F29"/>
    </row>
    <row r="30" spans="1:6" ht="16" x14ac:dyDescent="0.2">
      <c r="A30" s="45" t="s">
        <v>288</v>
      </c>
      <c r="B30" s="15">
        <f>B$25</f>
        <v>0.9</v>
      </c>
      <c r="C30" s="5">
        <f t="shared" ref="C30" si="6">C$25</f>
        <v>0</v>
      </c>
      <c r="D30" s="5" t="s">
        <v>275</v>
      </c>
      <c r="E30"/>
      <c r="F30"/>
    </row>
    <row r="31" spans="1:6" ht="16" x14ac:dyDescent="0.2">
      <c r="A31" s="45" t="s">
        <v>200</v>
      </c>
      <c r="B31" s="15">
        <f t="shared" ref="B31:D33" si="7">B$23</f>
        <v>0.8</v>
      </c>
      <c r="C31" s="5">
        <f t="shared" si="7"/>
        <v>0</v>
      </c>
      <c r="D31" s="5" t="s">
        <v>275</v>
      </c>
      <c r="E31"/>
      <c r="F31"/>
    </row>
    <row r="32" spans="1:6" ht="16" x14ac:dyDescent="0.2">
      <c r="A32" s="45" t="s">
        <v>201</v>
      </c>
      <c r="B32" s="15">
        <f t="shared" si="7"/>
        <v>0.8</v>
      </c>
      <c r="C32" s="5">
        <f t="shared" si="7"/>
        <v>0</v>
      </c>
      <c r="D32" s="47" t="s">
        <v>274</v>
      </c>
      <c r="E32"/>
      <c r="F32"/>
    </row>
    <row r="33" spans="1:6" ht="16" x14ac:dyDescent="0.2">
      <c r="A33" s="45" t="s">
        <v>172</v>
      </c>
      <c r="B33" s="15">
        <f t="shared" si="7"/>
        <v>0.8</v>
      </c>
      <c r="C33" s="5">
        <f t="shared" si="7"/>
        <v>0</v>
      </c>
      <c r="D33" s="5" t="str">
        <f t="shared" si="7"/>
        <v>natural gas - IPCC</v>
      </c>
      <c r="E33"/>
      <c r="F33"/>
    </row>
    <row r="34" spans="1:6" ht="16" x14ac:dyDescent="0.2">
      <c r="A34" s="45" t="s">
        <v>173</v>
      </c>
      <c r="B34" s="15">
        <f t="shared" ref="B34:D35" si="8">B$24</f>
        <v>0.85</v>
      </c>
      <c r="C34" s="5">
        <f t="shared" si="8"/>
        <v>0</v>
      </c>
      <c r="D34" s="5" t="str">
        <f t="shared" si="8"/>
        <v>natural gas - IPCC</v>
      </c>
      <c r="E34"/>
      <c r="F34"/>
    </row>
    <row r="35" spans="1:6" ht="16" x14ac:dyDescent="0.2">
      <c r="A35" s="45" t="s">
        <v>174</v>
      </c>
      <c r="B35" s="15">
        <f t="shared" si="8"/>
        <v>0.85</v>
      </c>
      <c r="C35" s="5">
        <f t="shared" si="8"/>
        <v>0</v>
      </c>
      <c r="D35" s="5" t="s">
        <v>275</v>
      </c>
      <c r="E35"/>
      <c r="F35"/>
    </row>
    <row r="36" spans="1:6" ht="16" x14ac:dyDescent="0.2">
      <c r="A36" s="45" t="s">
        <v>175</v>
      </c>
      <c r="B36" s="15">
        <f t="shared" ref="B36:D37" si="9">B$25</f>
        <v>0.9</v>
      </c>
      <c r="C36" s="5">
        <f t="shared" si="9"/>
        <v>0</v>
      </c>
      <c r="D36" s="5" t="str">
        <f t="shared" si="9"/>
        <v>natural gas - IPCC</v>
      </c>
      <c r="E36"/>
      <c r="F36"/>
    </row>
    <row r="37" spans="1:6" ht="17" thickBot="1" x14ac:dyDescent="0.25">
      <c r="A37" s="56" t="s">
        <v>176</v>
      </c>
      <c r="B37" s="113">
        <f t="shared" si="9"/>
        <v>0.9</v>
      </c>
      <c r="C37" s="96">
        <f t="shared" si="9"/>
        <v>0</v>
      </c>
      <c r="D37" s="96" t="s">
        <v>275</v>
      </c>
      <c r="E37" s="55"/>
      <c r="F37" s="55"/>
    </row>
    <row r="38" spans="1:6" s="1" customFormat="1" ht="16" x14ac:dyDescent="0.2">
      <c r="A38" s="59" t="s">
        <v>202</v>
      </c>
      <c r="B38" s="112">
        <v>0.8</v>
      </c>
      <c r="C38" s="1">
        <v>0</v>
      </c>
      <c r="D38" s="1" t="s">
        <v>114</v>
      </c>
    </row>
    <row r="39" spans="1:6" s="1" customFormat="1" ht="16" x14ac:dyDescent="0.2">
      <c r="A39" s="59" t="s">
        <v>203</v>
      </c>
      <c r="B39" s="109">
        <v>0.85</v>
      </c>
      <c r="C39" s="1">
        <v>0</v>
      </c>
      <c r="D39" s="1" t="s">
        <v>114</v>
      </c>
    </row>
    <row r="40" spans="1:6" s="1" customFormat="1" ht="16" x14ac:dyDescent="0.2">
      <c r="A40" s="59" t="s">
        <v>204</v>
      </c>
      <c r="B40" s="109">
        <v>0.9</v>
      </c>
      <c r="C40" s="1">
        <v>0</v>
      </c>
      <c r="D40" s="1" t="s">
        <v>114</v>
      </c>
    </row>
    <row r="41" spans="1:6" ht="16" x14ac:dyDescent="0.2">
      <c r="A41" s="45" t="s">
        <v>205</v>
      </c>
      <c r="B41" s="43">
        <f>B$38</f>
        <v>0.8</v>
      </c>
      <c r="C41">
        <f t="shared" ref="C41:C43" si="10">C$38</f>
        <v>0</v>
      </c>
      <c r="D41" t="s">
        <v>275</v>
      </c>
      <c r="E41"/>
      <c r="F41"/>
    </row>
    <row r="42" spans="1:6" ht="16" x14ac:dyDescent="0.2">
      <c r="A42" s="45" t="s">
        <v>206</v>
      </c>
      <c r="B42" s="43">
        <f>B$39</f>
        <v>0.85</v>
      </c>
      <c r="C42">
        <f t="shared" ref="C42" si="11">C$39</f>
        <v>0</v>
      </c>
      <c r="D42" t="s">
        <v>275</v>
      </c>
      <c r="E42"/>
      <c r="F42"/>
    </row>
    <row r="43" spans="1:6" ht="16" x14ac:dyDescent="0.2">
      <c r="A43" s="45" t="s">
        <v>207</v>
      </c>
      <c r="B43" s="43">
        <f>B$38</f>
        <v>0.8</v>
      </c>
      <c r="C43">
        <f t="shared" si="10"/>
        <v>0</v>
      </c>
      <c r="D43" t="s">
        <v>275</v>
      </c>
      <c r="E43"/>
      <c r="F43"/>
    </row>
    <row r="44" spans="1:6" ht="16" x14ac:dyDescent="0.2">
      <c r="A44" s="45" t="s">
        <v>208</v>
      </c>
      <c r="B44" s="43">
        <f t="shared" ref="B44:C44" si="12">B$39</f>
        <v>0.85</v>
      </c>
      <c r="C44">
        <f t="shared" si="12"/>
        <v>0</v>
      </c>
      <c r="D44" t="s">
        <v>275</v>
      </c>
      <c r="E44"/>
      <c r="F44"/>
    </row>
    <row r="45" spans="1:6" ht="16" x14ac:dyDescent="0.2">
      <c r="A45" s="45" t="s">
        <v>209</v>
      </c>
      <c r="B45" s="43">
        <f>B$40</f>
        <v>0.9</v>
      </c>
      <c r="C45">
        <f t="shared" ref="C45" si="13">C$40</f>
        <v>0</v>
      </c>
      <c r="D45" t="s">
        <v>275</v>
      </c>
      <c r="E45"/>
      <c r="F45"/>
    </row>
    <row r="46" spans="1:6" ht="16" x14ac:dyDescent="0.2">
      <c r="A46" s="45" t="s">
        <v>210</v>
      </c>
      <c r="B46" s="43">
        <f>B$38</f>
        <v>0.8</v>
      </c>
      <c r="C46">
        <f t="shared" ref="C46:C48" si="14">C$38</f>
        <v>0</v>
      </c>
      <c r="D46" t="s">
        <v>275</v>
      </c>
      <c r="E46"/>
      <c r="F46"/>
    </row>
    <row r="47" spans="1:6" ht="16" x14ac:dyDescent="0.2">
      <c r="A47" s="45" t="s">
        <v>211</v>
      </c>
      <c r="B47" s="43">
        <f>B$38</f>
        <v>0.8</v>
      </c>
      <c r="C47">
        <f t="shared" si="14"/>
        <v>0</v>
      </c>
      <c r="D47" s="47" t="s">
        <v>274</v>
      </c>
      <c r="E47"/>
      <c r="F47"/>
    </row>
    <row r="48" spans="1:6" ht="16" x14ac:dyDescent="0.2">
      <c r="A48" s="45" t="s">
        <v>177</v>
      </c>
      <c r="B48" s="43">
        <f>B$38</f>
        <v>0.8</v>
      </c>
      <c r="C48">
        <f t="shared" si="14"/>
        <v>0</v>
      </c>
      <c r="D48" t="str">
        <f>D$38</f>
        <v>coal coking - IPCC</v>
      </c>
      <c r="E48"/>
      <c r="F48"/>
    </row>
    <row r="49" spans="1:6" ht="16" x14ac:dyDescent="0.2">
      <c r="A49" s="45" t="s">
        <v>178</v>
      </c>
      <c r="B49" s="43">
        <f t="shared" ref="B49:D50" si="15">B$39</f>
        <v>0.85</v>
      </c>
      <c r="C49">
        <f t="shared" si="15"/>
        <v>0</v>
      </c>
      <c r="D49" t="str">
        <f t="shared" si="15"/>
        <v>coal coking - IPCC</v>
      </c>
      <c r="E49"/>
      <c r="F49"/>
    </row>
    <row r="50" spans="1:6" ht="16" x14ac:dyDescent="0.2">
      <c r="A50" s="45" t="s">
        <v>179</v>
      </c>
      <c r="B50" s="43">
        <f t="shared" si="15"/>
        <v>0.85</v>
      </c>
      <c r="C50">
        <f t="shared" si="15"/>
        <v>0</v>
      </c>
      <c r="D50" t="s">
        <v>275</v>
      </c>
      <c r="E50"/>
      <c r="F50"/>
    </row>
    <row r="51" spans="1:6" ht="16" x14ac:dyDescent="0.2">
      <c r="A51" s="45" t="s">
        <v>180</v>
      </c>
      <c r="B51" s="43">
        <f t="shared" ref="B51:D52" si="16">B$40</f>
        <v>0.9</v>
      </c>
      <c r="C51">
        <f t="shared" si="16"/>
        <v>0</v>
      </c>
      <c r="D51" t="str">
        <f t="shared" si="16"/>
        <v>coal coking - IPCC</v>
      </c>
      <c r="E51"/>
      <c r="F51"/>
    </row>
    <row r="52" spans="1:6" ht="17" thickBot="1" x14ac:dyDescent="0.25">
      <c r="A52" s="56" t="s">
        <v>181</v>
      </c>
      <c r="B52" s="72">
        <f t="shared" si="16"/>
        <v>0.9</v>
      </c>
      <c r="C52" s="55">
        <f t="shared" si="16"/>
        <v>0</v>
      </c>
      <c r="D52" s="55" t="s">
        <v>275</v>
      </c>
      <c r="E52" s="55"/>
      <c r="F52" s="55"/>
    </row>
    <row r="53" spans="1:6" s="1" customFormat="1" ht="16" x14ac:dyDescent="0.2">
      <c r="A53" s="59" t="s">
        <v>212</v>
      </c>
      <c r="B53" s="104">
        <v>0.8</v>
      </c>
      <c r="C53" s="1">
        <v>0</v>
      </c>
      <c r="D53" s="1" t="s">
        <v>123</v>
      </c>
    </row>
    <row r="54" spans="1:6" ht="16" x14ac:dyDescent="0.2">
      <c r="A54" s="45" t="s">
        <v>213</v>
      </c>
      <c r="B54" s="43">
        <f>B$53</f>
        <v>0.8</v>
      </c>
      <c r="C54">
        <f t="shared" ref="C54:C57" si="17">C$53</f>
        <v>0</v>
      </c>
      <c r="D54" t="s">
        <v>275</v>
      </c>
      <c r="E54"/>
      <c r="F54"/>
    </row>
    <row r="55" spans="1:6" ht="16" x14ac:dyDescent="0.2">
      <c r="A55" s="45" t="s">
        <v>214</v>
      </c>
      <c r="B55" s="43">
        <f t="shared" ref="B55:B57" si="18">B$53</f>
        <v>0.8</v>
      </c>
      <c r="C55">
        <f t="shared" si="17"/>
        <v>0</v>
      </c>
      <c r="D55" t="s">
        <v>275</v>
      </c>
      <c r="E55"/>
      <c r="F55"/>
    </row>
    <row r="56" spans="1:6" ht="16" x14ac:dyDescent="0.2">
      <c r="A56" s="45" t="s">
        <v>215</v>
      </c>
      <c r="B56" s="43">
        <f t="shared" si="18"/>
        <v>0.8</v>
      </c>
      <c r="C56">
        <f t="shared" si="17"/>
        <v>0</v>
      </c>
      <c r="D56" t="s">
        <v>275</v>
      </c>
      <c r="E56"/>
      <c r="F56"/>
    </row>
    <row r="57" spans="1:6" ht="17" thickBot="1" x14ac:dyDescent="0.25">
      <c r="A57" s="56" t="s">
        <v>216</v>
      </c>
      <c r="B57" s="72">
        <f t="shared" si="18"/>
        <v>0.8</v>
      </c>
      <c r="C57" s="55">
        <f t="shared" si="17"/>
        <v>0</v>
      </c>
      <c r="D57" s="53" t="s">
        <v>274</v>
      </c>
      <c r="E57" s="55"/>
      <c r="F57" s="55"/>
    </row>
    <row r="58" spans="1:6" s="1" customFormat="1" ht="16" x14ac:dyDescent="0.2">
      <c r="A58" s="59" t="s">
        <v>217</v>
      </c>
      <c r="B58" s="43">
        <f>B$53</f>
        <v>0.8</v>
      </c>
      <c r="C58" s="1">
        <v>0</v>
      </c>
      <c r="D58" s="1" t="s">
        <v>123</v>
      </c>
    </row>
    <row r="59" spans="1:6" ht="16" x14ac:dyDescent="0.2">
      <c r="A59" s="45" t="s">
        <v>218</v>
      </c>
      <c r="B59" s="89">
        <f>B$58</f>
        <v>0.8</v>
      </c>
      <c r="C59" s="50">
        <f t="shared" ref="C59:C62" si="19">C$58</f>
        <v>0</v>
      </c>
      <c r="D59" s="50" t="s">
        <v>275</v>
      </c>
      <c r="E59"/>
      <c r="F59"/>
    </row>
    <row r="60" spans="1:6" ht="16" x14ac:dyDescent="0.2">
      <c r="A60" s="45" t="s">
        <v>219</v>
      </c>
      <c r="B60" s="89">
        <f t="shared" ref="B60:B62" si="20">B$58</f>
        <v>0.8</v>
      </c>
      <c r="C60" s="50">
        <f t="shared" si="19"/>
        <v>0</v>
      </c>
      <c r="D60" s="50" t="s">
        <v>275</v>
      </c>
      <c r="E60"/>
      <c r="F60"/>
    </row>
    <row r="61" spans="1:6" ht="16" x14ac:dyDescent="0.2">
      <c r="A61" s="45" t="s">
        <v>220</v>
      </c>
      <c r="B61" s="89">
        <f t="shared" si="20"/>
        <v>0.8</v>
      </c>
      <c r="C61" s="50">
        <f t="shared" si="19"/>
        <v>0</v>
      </c>
      <c r="D61" s="50" t="s">
        <v>275</v>
      </c>
      <c r="E61"/>
      <c r="F61"/>
    </row>
    <row r="62" spans="1:6" ht="17" thickBot="1" x14ac:dyDescent="0.25">
      <c r="A62" s="56" t="s">
        <v>221</v>
      </c>
      <c r="B62" s="90">
        <f t="shared" si="20"/>
        <v>0.8</v>
      </c>
      <c r="C62" s="69">
        <f t="shared" si="19"/>
        <v>0</v>
      </c>
      <c r="D62" s="53" t="s">
        <v>274</v>
      </c>
      <c r="E62" s="55"/>
      <c r="F62" s="55"/>
    </row>
    <row r="63" spans="1:6" s="1" customFormat="1" ht="16" x14ac:dyDescent="0.2">
      <c r="A63" s="59" t="s">
        <v>222</v>
      </c>
      <c r="B63" s="43">
        <f>B$53</f>
        <v>0.8</v>
      </c>
      <c r="C63" s="1">
        <v>0</v>
      </c>
      <c r="D63" s="1" t="s">
        <v>123</v>
      </c>
    </row>
    <row r="64" spans="1:6" ht="16" x14ac:dyDescent="0.2">
      <c r="A64" s="45" t="s">
        <v>223</v>
      </c>
      <c r="B64" s="89">
        <f>B$63</f>
        <v>0.8</v>
      </c>
      <c r="C64" s="50">
        <f t="shared" ref="C64:C67" si="21">C$63</f>
        <v>0</v>
      </c>
      <c r="D64" s="50" t="s">
        <v>275</v>
      </c>
      <c r="E64"/>
      <c r="F64"/>
    </row>
    <row r="65" spans="1:6" ht="16" x14ac:dyDescent="0.2">
      <c r="A65" s="45" t="s">
        <v>224</v>
      </c>
      <c r="B65" s="89">
        <f t="shared" ref="B65:B67" si="22">B$63</f>
        <v>0.8</v>
      </c>
      <c r="C65" s="50">
        <f t="shared" si="21"/>
        <v>0</v>
      </c>
      <c r="D65" s="50" t="s">
        <v>275</v>
      </c>
      <c r="E65"/>
      <c r="F65"/>
    </row>
    <row r="66" spans="1:6" ht="16" x14ac:dyDescent="0.2">
      <c r="A66" s="45" t="s">
        <v>225</v>
      </c>
      <c r="B66" s="89">
        <f t="shared" si="22"/>
        <v>0.8</v>
      </c>
      <c r="C66" s="50">
        <f t="shared" si="21"/>
        <v>0</v>
      </c>
      <c r="D66" s="50" t="s">
        <v>275</v>
      </c>
      <c r="E66"/>
      <c r="F66"/>
    </row>
    <row r="67" spans="1:6" ht="17" thickBot="1" x14ac:dyDescent="0.25">
      <c r="A67" s="56" t="s">
        <v>226</v>
      </c>
      <c r="B67" s="90">
        <f t="shared" si="22"/>
        <v>0.8</v>
      </c>
      <c r="C67" s="69">
        <f t="shared" si="21"/>
        <v>0</v>
      </c>
      <c r="D67" s="53" t="s">
        <v>274</v>
      </c>
      <c r="E67" s="55"/>
      <c r="F67" s="55"/>
    </row>
    <row r="68" spans="1:6" s="1" customFormat="1" ht="16" x14ac:dyDescent="0.2">
      <c r="A68" s="59" t="s">
        <v>227</v>
      </c>
      <c r="B68" s="43">
        <f>B$53</f>
        <v>0.8</v>
      </c>
      <c r="C68" s="1">
        <v>0</v>
      </c>
      <c r="D68" s="1" t="s">
        <v>114</v>
      </c>
    </row>
    <row r="69" spans="1:6" ht="16" x14ac:dyDescent="0.2">
      <c r="A69" s="45" t="s">
        <v>228</v>
      </c>
      <c r="B69" s="89">
        <f>B$68</f>
        <v>0.8</v>
      </c>
      <c r="C69" s="50">
        <f t="shared" ref="C69:C72" si="23">C$68</f>
        <v>0</v>
      </c>
      <c r="D69" s="50" t="s">
        <v>275</v>
      </c>
      <c r="E69"/>
      <c r="F69"/>
    </row>
    <row r="70" spans="1:6" ht="16" x14ac:dyDescent="0.2">
      <c r="A70" s="45" t="s">
        <v>229</v>
      </c>
      <c r="B70" s="89">
        <f t="shared" ref="B70:B72" si="24">B$68</f>
        <v>0.8</v>
      </c>
      <c r="C70" s="50">
        <f t="shared" si="23"/>
        <v>0</v>
      </c>
      <c r="D70" s="50" t="s">
        <v>275</v>
      </c>
      <c r="E70"/>
      <c r="F70"/>
    </row>
    <row r="71" spans="1:6" ht="16" x14ac:dyDescent="0.2">
      <c r="A71" s="45" t="s">
        <v>230</v>
      </c>
      <c r="B71" s="89">
        <f t="shared" si="24"/>
        <v>0.8</v>
      </c>
      <c r="C71" s="50">
        <f t="shared" si="23"/>
        <v>0</v>
      </c>
      <c r="D71" s="50" t="s">
        <v>275</v>
      </c>
      <c r="E71"/>
      <c r="F71"/>
    </row>
    <row r="72" spans="1:6" ht="17" thickBot="1" x14ac:dyDescent="0.25">
      <c r="A72" s="56" t="s">
        <v>231</v>
      </c>
      <c r="B72" s="90">
        <f t="shared" si="24"/>
        <v>0.8</v>
      </c>
      <c r="C72" s="69">
        <f t="shared" si="23"/>
        <v>0</v>
      </c>
      <c r="D72" s="53" t="s">
        <v>274</v>
      </c>
      <c r="E72" s="55"/>
      <c r="F72" s="55"/>
    </row>
    <row r="73" spans="1:6" x14ac:dyDescent="0.2">
      <c r="B73"/>
      <c r="C73"/>
      <c r="D73"/>
      <c r="E73"/>
      <c r="F7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Coke</vt:lpstr>
      <vt:lpstr>Lime</vt:lpstr>
      <vt:lpstr>Pellets</vt:lpstr>
      <vt:lpstr>Sinter</vt:lpstr>
      <vt:lpstr>Iron</vt:lpstr>
      <vt:lpstr>Steel</vt:lpstr>
      <vt:lpstr>Oxygen</vt:lpstr>
      <vt:lpstr>Electricity</vt:lpstr>
      <vt:lpstr>Heat</vt:lpstr>
      <vt:lpstr>CO2 Capture</vt:lpstr>
      <vt:lpstr>CO2 Storage</vt:lpstr>
      <vt:lpstr>Fuel</vt:lpstr>
      <vt:lpstr>EAF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Microsoft Office User</cp:lastModifiedBy>
  <dcterms:created xsi:type="dcterms:W3CDTF">2019-04-04T16:15:53Z</dcterms:created>
  <dcterms:modified xsi:type="dcterms:W3CDTF">2019-06-25T22:07:00Z</dcterms:modified>
</cp:coreProperties>
</file>