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chemicals/"/>
    </mc:Choice>
  </mc:AlternateContent>
  <xr:revisionPtr revIDLastSave="0" documentId="13_ncr:1_{3560641F-52C2-F641-B2A7-FDB0C754BDFE}" xr6:coauthVersionLast="45" xr6:coauthVersionMax="45" xr10:uidLastSave="{00000000-0000-0000-0000-000000000000}"/>
  <bookViews>
    <workbookView xWindow="5420" yWindow="460" windowWidth="23060" windowHeight="21120" activeTab="1" xr2:uid="{1483755D-88C4-4C40-84D3-8DC236B12E83}"/>
  </bookViews>
  <sheets>
    <sheet name="eth-box" sheetId="1" r:id="rId1"/>
    <sheet name="eth-stoich" sheetId="2" r:id="rId2"/>
    <sheet name="NH3-box" sheetId="4" r:id="rId3"/>
    <sheet name="Ref" sheetId="3" r:id="rId4"/>
  </sheets>
  <externalReferences>
    <externalReference r:id="rId5"/>
  </externalReferences>
  <definedNames>
    <definedName name="title11">[1]Title!$F$18</definedName>
    <definedName name="title115">[1]Title!$F$122</definedName>
    <definedName name="title116">[1]Title!$F$123</definedName>
    <definedName name="title9">[1]Title!$F$16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F5" i="4"/>
  <c r="F4" i="4"/>
  <c r="C5" i="4"/>
  <c r="B5" i="4"/>
  <c r="C4" i="4"/>
  <c r="B4" i="4"/>
  <c r="I5" i="4"/>
  <c r="G5" i="4"/>
  <c r="E5" i="4"/>
  <c r="D5" i="4"/>
  <c r="I4" i="4"/>
  <c r="D4" i="4"/>
  <c r="H4" i="4"/>
  <c r="G4" i="4"/>
  <c r="E4" i="4"/>
  <c r="L4" i="1"/>
  <c r="L4" i="2"/>
  <c r="E8" i="3"/>
  <c r="E7" i="3"/>
  <c r="E6" i="3"/>
  <c r="E5" i="3"/>
  <c r="K4" i="1"/>
  <c r="J4" i="1"/>
  <c r="I4" i="1"/>
  <c r="H4" i="1"/>
  <c r="G4" i="1"/>
  <c r="F4" i="1"/>
  <c r="D4" i="1"/>
  <c r="E4" i="1"/>
  <c r="C4" i="1"/>
  <c r="B21" i="3"/>
  <c r="B20" i="3"/>
  <c r="B19" i="3"/>
  <c r="B18" i="3"/>
  <c r="C12" i="3"/>
  <c r="C11" i="3"/>
  <c r="B10" i="3"/>
  <c r="C10" i="3"/>
  <c r="C9" i="3"/>
  <c r="C8" i="3"/>
  <c r="C7" i="3"/>
  <c r="C6" i="3"/>
  <c r="C5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5ABA4161-9316-6B4E-A7BA-E5EEC9D8E7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96% methane (2.5 ethane, 1.5% N2)</t>
        </r>
      </text>
    </comment>
    <comment ref="C4" authorId="0" shapeId="0" xr:uid="{C6921B58-30CC-BE47-9D44-A721A37A3E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89.1% CO2 stream.
</t>
        </r>
      </text>
    </comment>
    <comment ref="F4" authorId="0" shapeId="0" xr:uid="{70659D19-2B4F-F841-948E-7FB7AEC927E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45% MDEA, 5% Piperazine, 50% water</t>
        </r>
      </text>
    </comment>
    <comment ref="G4" authorId="0" shapeId="0" xr:uid="{0F7D9DF2-EDDA-A344-92E5-8D7C57EBB8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71.25% H2</t>
        </r>
      </text>
    </comment>
    <comment ref="B5" authorId="0" shapeId="0" xr:uid="{EE092259-D343-674B-8EE8-F25F5EE78C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96% methane (2.5 ethane, 1.5% N2)</t>
        </r>
      </text>
    </comment>
    <comment ref="C5" authorId="0" shapeId="0" xr:uid="{7EF533EE-8698-564A-8B88-D6D740A6A5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89.1% CO2 stream.
</t>
        </r>
      </text>
    </comment>
    <comment ref="F5" authorId="0" shapeId="0" xr:uid="{586B68EA-C059-7A4B-A89E-2FF67F557F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45% MDEA, 5% Piperazine, 50% water</t>
        </r>
      </text>
    </comment>
    <comment ref="G5" authorId="0" shapeId="0" xr:uid="{8BB425A9-9B9A-A54B-BADA-4A0898C54F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71.25% H2</t>
        </r>
      </text>
    </comment>
    <comment ref="H5" authorId="0" shapeId="0" xr:uid="{EE8D6430-E765-C94E-9B97-DBE12234AF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29.0986 is a value adjustment for the removal of the carriers (non CO2 of CO2 stream, non-MDEA of MDEA stream, non CH4 of CH4 stream)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7A33C265-16ED-3841-9586-7F9AB745AAFA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<sst xmlns="http://schemas.openxmlformats.org/spreadsheetml/2006/main" count="97" uniqueCount="76">
  <si>
    <t>scenario</t>
  </si>
  <si>
    <t>meta-unit</t>
  </si>
  <si>
    <t>meta-notes</t>
  </si>
  <si>
    <t>ethanol prod</t>
  </si>
  <si>
    <t>CO2 ratio</t>
  </si>
  <si>
    <t>digestate prod</t>
  </si>
  <si>
    <t>enzyme use</t>
  </si>
  <si>
    <t>NH3 use</t>
  </si>
  <si>
    <t>yeast use</t>
  </si>
  <si>
    <t>water use</t>
  </si>
  <si>
    <t>electricity use</t>
  </si>
  <si>
    <t>steam use</t>
  </si>
  <si>
    <t>wastewater prod</t>
  </si>
  <si>
    <t>t/t ethanol</t>
  </si>
  <si>
    <t>FAO-Maize</t>
  </si>
  <si>
    <t>biomass type</t>
  </si>
  <si>
    <t>Starch Content</t>
  </si>
  <si>
    <t>Starch Recovery</t>
  </si>
  <si>
    <t>Starch to Glucose</t>
  </si>
  <si>
    <t>Ethanol Recovery</t>
  </si>
  <si>
    <t>Enzyme Use</t>
  </si>
  <si>
    <t>Ammonia Use</t>
  </si>
  <si>
    <t>Yeast use</t>
  </si>
  <si>
    <t>t/t starch</t>
  </si>
  <si>
    <t>% total starch</t>
  </si>
  <si>
    <t>% total ethanol</t>
  </si>
  <si>
    <t>t/t recovered starch</t>
  </si>
  <si>
    <t>t/t glucose</t>
  </si>
  <si>
    <t>kWh/t ethanol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</si>
  <si>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</si>
  <si>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</si>
  <si>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</si>
  <si>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</si>
  <si>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</si>
  <si>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</si>
  <si>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</si>
  <si>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</si>
  <si>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</si>
  <si>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</si>
  <si>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</si>
  <si>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</si>
  <si>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</si>
  <si>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</si>
  <si>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</si>
  <si>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</si>
  <si>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</si>
  <si>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</si>
  <si>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</si>
  <si>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short ton in metric tonnes</t>
  </si>
  <si>
    <t xml:space="preserve"> </t>
  </si>
  <si>
    <t>Maize</t>
  </si>
  <si>
    <t>t/t dry biomass</t>
  </si>
  <si>
    <t>t glucose/t starch</t>
  </si>
  <si>
    <t>Water Use</t>
  </si>
  <si>
    <t>kWh/t recovered starch</t>
  </si>
  <si>
    <t>MJ/L</t>
  </si>
  <si>
    <t>Kg/L</t>
  </si>
  <si>
    <t>FAO Transport Tool Conversions</t>
  </si>
  <si>
    <t>Ammonia Prod</t>
  </si>
  <si>
    <t>CO2 Prod</t>
  </si>
  <si>
    <t>Steam Demand</t>
  </si>
  <si>
    <t>Air Demand</t>
  </si>
  <si>
    <t>MDEA demand</t>
  </si>
  <si>
    <t>Purge Prod</t>
  </si>
  <si>
    <t>Bottoms Prod</t>
  </si>
  <si>
    <t>Electricity Demand</t>
  </si>
  <si>
    <t>t NH3 / t CH4</t>
  </si>
  <si>
    <t>t CO2 / t CH4</t>
  </si>
  <si>
    <t>t steam / t NH3</t>
  </si>
  <si>
    <t>t Air / t NH3</t>
  </si>
  <si>
    <t>t MDEA / t CO2</t>
  </si>
  <si>
    <t>t Purge / t NH3</t>
  </si>
  <si>
    <t>t Bottoms / t NH3</t>
  </si>
  <si>
    <t>GJ Electricity / t NH3</t>
  </si>
  <si>
    <t>Akash</t>
  </si>
  <si>
    <t>Akash-Pure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</si>
</sst>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_(* #,##0.00_);_(* \(#,##0.00\);_(* &quot;-&quot;??_);_(@_)"/>
    <numFmt numFmtId="168" formatCode="_(* #,##0.000_);_(* \(#,##0.000\);_(* &quot;-&quot;??_);_(@_)"/>
  </numFmts>
  <fonts count="12" x14ac:knownFonts="1">
    <font>
      <sz val="16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80808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2" applyFont="1"/>
    <xf numFmtId="0" fontId="6" fillId="0" borderId="0" xfId="2"/>
    <xf numFmtId="0" fontId="6" fillId="0" borderId="1" xfId="2" applyBorder="1"/>
    <xf numFmtId="0" fontId="7" fillId="0" borderId="2" xfId="2" applyFont="1" applyBorder="1"/>
    <xf numFmtId="0" fontId="7" fillId="0" borderId="3" xfId="2" applyFont="1" applyBorder="1"/>
    <xf numFmtId="0" fontId="6" fillId="0" borderId="4" xfId="2" applyBorder="1"/>
    <xf numFmtId="2" fontId="6" fillId="0" borderId="0" xfId="2" applyNumberFormat="1"/>
    <xf numFmtId="164" fontId="6" fillId="0" borderId="5" xfId="2" applyNumberFormat="1" applyBorder="1" applyAlignment="1">
      <alignment horizontal="right"/>
    </xf>
    <xf numFmtId="0" fontId="6" fillId="0" borderId="6" xfId="2" applyBorder="1"/>
    <xf numFmtId="2" fontId="6" fillId="0" borderId="7" xfId="2" applyNumberFormat="1" applyBorder="1"/>
    <xf numFmtId="2" fontId="6" fillId="0" borderId="8" xfId="2" applyNumberFormat="1" applyBorder="1"/>
    <xf numFmtId="2" fontId="7" fillId="0" borderId="0" xfId="2" applyNumberFormat="1" applyFont="1"/>
    <xf numFmtId="165" fontId="6" fillId="0" borderId="0" xfId="2" applyNumberFormat="1"/>
    <xf numFmtId="166" fontId="6" fillId="0" borderId="0" xfId="2" applyNumberFormat="1"/>
    <xf numFmtId="9" fontId="0" fillId="0" borderId="0" xfId="0" applyNumberFormat="1"/>
    <xf numFmtId="2" fontId="0" fillId="0" borderId="0" xfId="0" applyNumberFormat="1"/>
    <xf numFmtId="43" fontId="11" fillId="0" borderId="0" xfId="1" applyFont="1" applyBorder="1"/>
    <xf numFmtId="167" fontId="2" fillId="0" borderId="0" xfId="3" applyFont="1" applyFill="1" applyBorder="1" applyAlignment="1">
      <alignment wrapText="1"/>
    </xf>
    <xf numFmtId="168" fontId="2" fillId="0" borderId="0" xfId="3" applyNumberFormat="1" applyFont="1" applyFill="1" applyBorder="1" applyAlignment="1">
      <alignment wrapText="1"/>
    </xf>
  </cellXfs>
  <cellStyles count="4">
    <cellStyle name="Comma" xfId="1" builtinId="3"/>
    <cellStyle name="Millares 4" xfId="3" xr:uid="{1C0FA835-ED8E-EA44-BC76-9B9CA5D94843}"/>
    <cellStyle name="Normal" xfId="0" builtinId="0"/>
    <cellStyle name="Normal 2" xfId="2" xr:uid="{65C88981-34D4-9647-A657-4B39A1F0B9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zer/Downloads/Transport%20tool%20GHG%20v%202%200_MLUncertified%20JM%20June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mmy database"/>
      <sheetName val="Biofuel Demand"/>
      <sheetName val="STORAGE_FS1"/>
      <sheetName val="STORAGE_FS2"/>
      <sheetName val="STORAGE_FS3"/>
      <sheetName val="STORAGE_FS4"/>
      <sheetName val="Process Description"/>
      <sheetName val="Label"/>
      <sheetName val="Data Entry Needs"/>
      <sheetName val="Allocator"/>
      <sheetName val="BAL_BIOD"/>
      <sheetName val="BAL_ETOH1"/>
      <sheetName val="BAL_ETOH2"/>
      <sheetName val="COST_FS1"/>
      <sheetName val="GHG_FS1"/>
      <sheetName val="FA5_FS1_SC2"/>
      <sheetName val="FA5_FS1_SC3"/>
      <sheetName val="FA5_FS1_SC1"/>
      <sheetName val="FA25_FS1_SC1"/>
      <sheetName val="FA25_FS1_SC2"/>
      <sheetName val="FA25_FS1_SC3"/>
      <sheetName val="FA50_FS1_SC1"/>
      <sheetName val="FA50_FS1_SC2"/>
      <sheetName val="FA50_FS1_SC3"/>
      <sheetName val="FA100_FS1_SC1"/>
      <sheetName val="FA100_FS1_SC2"/>
      <sheetName val="FA100_FS1_SC3"/>
      <sheetName val="COST_FS2"/>
      <sheetName val="FA5_FS2_SC1"/>
      <sheetName val="FA5_FS2_SC2"/>
      <sheetName val="FA5_FS2_SC3"/>
      <sheetName val="FA25_FS2_SC1"/>
      <sheetName val="FA25_FS2_SC2"/>
      <sheetName val="FA25_FS2_SC3"/>
      <sheetName val="FA50_FS2_SC1"/>
      <sheetName val="FA50_FS2_SC2"/>
      <sheetName val="FA50_FS2_SC3"/>
      <sheetName val="FA100_FS2_SC1"/>
      <sheetName val="FA100_FS2_SC2"/>
      <sheetName val="FA100_FS2_SC3"/>
      <sheetName val="GHG_FS2"/>
      <sheetName val="COST_FS3"/>
      <sheetName val="FA5_FS3_SC1"/>
      <sheetName val="FA5_FS3_SC2"/>
      <sheetName val="FA5_FS3_SC3"/>
      <sheetName val="FA25_FS3_SC1"/>
      <sheetName val="FA25_FS3_SC2"/>
      <sheetName val="FA25_FS3_SC3"/>
      <sheetName val="FA50_FS3_SC1"/>
      <sheetName val="FA50_FS3_SC2"/>
      <sheetName val="FA50_FS3_SC3"/>
      <sheetName val="FA100_FS3_SC1"/>
      <sheetName val="FA100_FS3_SC2"/>
      <sheetName val="FA100_FS3_SC3"/>
      <sheetName val="GHG_FS3"/>
      <sheetName val="COST_FS4"/>
      <sheetName val="GHG_FS4"/>
      <sheetName val="Summary of results-by feedstock"/>
      <sheetName val="FA5_FS4_SC1"/>
      <sheetName val="FA5_FS4_SC2"/>
      <sheetName val="FA5_FS4_SC3"/>
      <sheetName val="FA25_FS4_SC1"/>
      <sheetName val="FA25_FS4_SC2"/>
      <sheetName val="FA25_FS4_SC3"/>
      <sheetName val="FA50_FS4_SC1"/>
      <sheetName val="FA50_FS4_SC2"/>
      <sheetName val="FA50_FS4_SC3"/>
      <sheetName val="FA100_FS4_SC1"/>
      <sheetName val="FA100_FS4_SC2"/>
      <sheetName val="FA100_FS4_SC3"/>
      <sheetName val="Title"/>
      <sheetName val="Summary of results-comparative"/>
      <sheetName val="Labor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16">
          <cell r="F16" t="str">
            <v>Diesel</v>
          </cell>
        </row>
        <row r="18">
          <cell r="F18" t="str">
            <v>Gasoline</v>
          </cell>
        </row>
        <row r="122">
          <cell r="F122" t="str">
            <v>Biodiesel</v>
          </cell>
        </row>
        <row r="123">
          <cell r="F123" t="str">
            <v>Ethanol</v>
          </cell>
        </row>
      </sheetData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8D49-AD91-2B4F-BAAA-A7F2224101D6}">
  <dimension ref="A1:L4"/>
  <sheetViews>
    <sheetView topLeftCell="B1" workbookViewId="0">
      <selection activeCell="L3" sqref="L3"/>
    </sheetView>
  </sheetViews>
  <sheetFormatPr baseColWidth="10" defaultRowHeight="21" x14ac:dyDescent="0.25"/>
  <cols>
    <col min="1" max="2" width="13.75" customWidth="1"/>
    <col min="3" max="3" width="11.25" bestFit="1" customWidth="1"/>
    <col min="5" max="5" width="12.625" bestFit="1" customWidth="1"/>
    <col min="11" max="11" width="12.25" bestFit="1" customWidth="1"/>
  </cols>
  <sheetData>
    <row r="1" spans="1:12" x14ac:dyDescent="0.25">
      <c r="A1" s="1" t="s">
        <v>0</v>
      </c>
      <c r="B1" s="1" t="s">
        <v>15</v>
      </c>
      <c r="C1" t="s">
        <v>3</v>
      </c>
      <c r="D1" t="s">
        <v>12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3" t="s">
        <v>1</v>
      </c>
      <c r="B2" s="3"/>
      <c r="C2" s="4" t="s">
        <v>51</v>
      </c>
      <c r="D2" s="4" t="s">
        <v>51</v>
      </c>
      <c r="E2" s="4" t="s">
        <v>51</v>
      </c>
      <c r="F2" s="2" t="s">
        <v>13</v>
      </c>
      <c r="G2" s="2" t="s">
        <v>13</v>
      </c>
      <c r="H2" s="2" t="s">
        <v>13</v>
      </c>
      <c r="I2" s="2" t="s">
        <v>13</v>
      </c>
      <c r="J2" s="2" t="s">
        <v>13</v>
      </c>
      <c r="K2" s="2" t="s">
        <v>28</v>
      </c>
      <c r="L2" s="2" t="s">
        <v>13</v>
      </c>
    </row>
    <row r="3" spans="1:12" x14ac:dyDescent="0.25">
      <c r="A3" s="3" t="s">
        <v>2</v>
      </c>
      <c r="B3" s="3"/>
      <c r="C3" s="3"/>
      <c r="D3" s="2"/>
      <c r="E3" s="2"/>
      <c r="F3" s="2"/>
      <c r="G3" s="2"/>
      <c r="H3" s="2"/>
      <c r="I3" s="2"/>
    </row>
    <row r="4" spans="1:12" x14ac:dyDescent="0.25">
      <c r="A4" t="s">
        <v>14</v>
      </c>
      <c r="B4" t="s">
        <v>50</v>
      </c>
      <c r="C4">
        <f>3.95/12.2</f>
        <v>0.32377049180327871</v>
      </c>
      <c r="D4">
        <f>45.83/12.2</f>
        <v>3.7565573770491802</v>
      </c>
      <c r="E4">
        <f>4.9/12.2</f>
        <v>0.40163934426229514</v>
      </c>
      <c r="F4">
        <f>4.34/3.95</f>
        <v>1.0987341772151897</v>
      </c>
      <c r="G4">
        <f>(0.01+0.05)/3.95</f>
        <v>1.518987341772152E-2</v>
      </c>
      <c r="H4">
        <f>0.07/3.95</f>
        <v>1.7721518987341773E-2</v>
      </c>
      <c r="I4">
        <f>0.01/3.95</f>
        <v>2.5316455696202532E-3</v>
      </c>
      <c r="J4">
        <f>46.68/3.95</f>
        <v>11.817721518987341</v>
      </c>
      <c r="K4">
        <f>1269.5/3.95</f>
        <v>321.39240506329111</v>
      </c>
      <c r="L4">
        <f>31.01/3.95</f>
        <v>7.8506329113924052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F473-4EA7-6F41-858E-0940A628EB94}">
  <dimension ref="A1:L4"/>
  <sheetViews>
    <sheetView tabSelected="1" workbookViewId="0">
      <selection activeCell="D3" sqref="D3"/>
    </sheetView>
  </sheetViews>
  <sheetFormatPr baseColWidth="10" defaultRowHeight="21" x14ac:dyDescent="0.25"/>
  <cols>
    <col min="2" max="2" width="11.5" bestFit="1" customWidth="1"/>
    <col min="3" max="3" width="12.875" bestFit="1" customWidth="1"/>
    <col min="4" max="4" width="14" bestFit="1" customWidth="1"/>
    <col min="5" max="6" width="15" bestFit="1" customWidth="1"/>
    <col min="8" max="8" width="12.25" bestFit="1" customWidth="1"/>
    <col min="11" max="11" width="12.25" bestFit="1" customWidth="1"/>
  </cols>
  <sheetData>
    <row r="1" spans="1:12" x14ac:dyDescent="0.25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53</v>
      </c>
      <c r="K1" t="s">
        <v>10</v>
      </c>
      <c r="L1" t="s">
        <v>11</v>
      </c>
    </row>
    <row r="2" spans="1:12" x14ac:dyDescent="0.25">
      <c r="A2" s="3" t="s">
        <v>1</v>
      </c>
      <c r="C2" t="s">
        <v>51</v>
      </c>
      <c r="D2" t="s">
        <v>24</v>
      </c>
      <c r="E2" t="s">
        <v>52</v>
      </c>
      <c r="F2" t="s">
        <v>25</v>
      </c>
      <c r="G2" t="s">
        <v>26</v>
      </c>
      <c r="H2" t="s">
        <v>27</v>
      </c>
      <c r="I2" t="s">
        <v>27</v>
      </c>
      <c r="J2" t="s">
        <v>23</v>
      </c>
      <c r="K2" t="s">
        <v>54</v>
      </c>
      <c r="L2" t="s">
        <v>13</v>
      </c>
    </row>
    <row r="3" spans="1:12" x14ac:dyDescent="0.25">
      <c r="A3" s="3" t="s">
        <v>2</v>
      </c>
    </row>
    <row r="4" spans="1:12" x14ac:dyDescent="0.25">
      <c r="A4" t="s">
        <v>14</v>
      </c>
      <c r="B4" t="s">
        <v>50</v>
      </c>
      <c r="C4">
        <v>0.78</v>
      </c>
      <c r="D4" s="19">
        <v>0.86</v>
      </c>
      <c r="E4">
        <v>1.1000000000000001</v>
      </c>
      <c r="F4" s="19">
        <v>0.85</v>
      </c>
      <c r="G4">
        <v>0.01</v>
      </c>
      <c r="H4" s="19">
        <v>7.9600000000000001E-3</v>
      </c>
      <c r="I4">
        <v>9.5370000000000003E-4</v>
      </c>
      <c r="J4" s="20">
        <v>5.7</v>
      </c>
      <c r="K4">
        <v>155</v>
      </c>
      <c r="L4">
        <f>31.01/3.95</f>
        <v>7.8506329113924052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CD9F-738E-1D41-9708-1FD872D25F11}">
  <dimension ref="A1:I5"/>
  <sheetViews>
    <sheetView workbookViewId="0">
      <selection activeCell="H10" sqref="H10"/>
    </sheetView>
  </sheetViews>
  <sheetFormatPr baseColWidth="10" defaultRowHeight="21" x14ac:dyDescent="0.25"/>
  <cols>
    <col min="2" max="2" width="13" bestFit="1" customWidth="1"/>
    <col min="3" max="3" width="12.5" customWidth="1"/>
    <col min="4" max="4" width="13.375" bestFit="1" customWidth="1"/>
    <col min="6" max="6" width="13.125" bestFit="1" customWidth="1"/>
    <col min="8" max="8" width="11.875" bestFit="1" customWidth="1"/>
    <col min="9" max="9" width="16.375" bestFit="1" customWidth="1"/>
  </cols>
  <sheetData>
    <row r="1" spans="1:9" x14ac:dyDescent="0.25">
      <c r="A1" s="1" t="s">
        <v>0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 x14ac:dyDescent="0.25">
      <c r="A2" s="3" t="s">
        <v>1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</row>
    <row r="3" spans="1:9" x14ac:dyDescent="0.25">
      <c r="A3" s="3" t="s">
        <v>2</v>
      </c>
    </row>
    <row r="4" spans="1:9" x14ac:dyDescent="0.25">
      <c r="A4" t="s">
        <v>74</v>
      </c>
      <c r="B4">
        <f>619.4/318.2</f>
        <v>1.9465744814582024</v>
      </c>
      <c r="C4">
        <f>761.6/318.2</f>
        <v>2.3934632306725332</v>
      </c>
      <c r="D4">
        <f>(1037.7+2334.8)/619.4</f>
        <v>5.4447852760736195</v>
      </c>
      <c r="E4">
        <f>832.7/619.4</f>
        <v>1.3443655150145304</v>
      </c>
      <c r="F4">
        <f>180.7/761.6</f>
        <v>0.23726365546218486</v>
      </c>
      <c r="G4">
        <f>77.4/619.4</f>
        <v>0.12495963835970295</v>
      </c>
      <c r="H4">
        <f>(4.4+587.1+61.8+2592.4)/619.4</f>
        <v>5.2400710364869223</v>
      </c>
      <c r="I4">
        <f>1185.6/619.4</f>
        <v>1.9141104294478526</v>
      </c>
    </row>
    <row r="5" spans="1:9" x14ac:dyDescent="0.25">
      <c r="A5" t="s">
        <v>75</v>
      </c>
      <c r="B5">
        <f>619.4/(318.2*0.96)</f>
        <v>2.0276817515189607</v>
      </c>
      <c r="C5">
        <f>(761.6*0.891)/(318.2*0.96)</f>
        <v>2.2214330609679447</v>
      </c>
      <c r="D5">
        <f>(1037.7+2334.8)/619.4</f>
        <v>5.4447852760736195</v>
      </c>
      <c r="E5">
        <f>832.7/619.4</f>
        <v>1.3443655150145304</v>
      </c>
      <c r="F5">
        <f>(180.7*0.45)/(761.6*0.891)</f>
        <v>0.11983012902130549</v>
      </c>
      <c r="G5">
        <f>77.4/619.4</f>
        <v>0.12495963835970295</v>
      </c>
      <c r="H5">
        <f>(4.4+587.1+61.8+2592.4-29.0986)/619.4</f>
        <v>5.1930923474329997</v>
      </c>
      <c r="I5">
        <f>1185.6/619.4</f>
        <v>1.9141104294478526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66CF-B3B3-4F49-BF5B-441994A8CE57}">
  <dimension ref="A1:H28"/>
  <sheetViews>
    <sheetView workbookViewId="0">
      <selection activeCell="E12" sqref="E12"/>
    </sheetView>
  </sheetViews>
  <sheetFormatPr baseColWidth="10" defaultColWidth="6.625" defaultRowHeight="15" x14ac:dyDescent="0.2"/>
  <cols>
    <col min="1" max="1" width="18.25" style="6" bestFit="1" customWidth="1"/>
    <col min="2" max="16384" width="6.625" style="6"/>
  </cols>
  <sheetData>
    <row r="1" spans="1:8" x14ac:dyDescent="0.2">
      <c r="A1" s="5" t="s">
        <v>29</v>
      </c>
    </row>
    <row r="2" spans="1:8" x14ac:dyDescent="0.2">
      <c r="A2" s="5" t="s">
        <v>30</v>
      </c>
    </row>
    <row r="3" spans="1:8" x14ac:dyDescent="0.2">
      <c r="A3" s="7"/>
      <c r="B3" s="8" t="s">
        <v>31</v>
      </c>
      <c r="C3" s="9" t="s">
        <v>32</v>
      </c>
      <c r="E3" s="5" t="s">
        <v>57</v>
      </c>
    </row>
    <row r="4" spans="1:8" x14ac:dyDescent="0.2">
      <c r="A4" s="10" t="s">
        <v>33</v>
      </c>
      <c r="B4" s="11">
        <v>12</v>
      </c>
      <c r="C4" s="12">
        <f>(B4*$B$19)/1000/1000</f>
        <v>5.3537967341839917E-4</v>
      </c>
      <c r="F4" s="6" t="s">
        <v>55</v>
      </c>
      <c r="G4" s="6" t="s">
        <v>56</v>
      </c>
    </row>
    <row r="5" spans="1:8" ht="16" x14ac:dyDescent="0.2">
      <c r="A5" s="10" t="s">
        <v>34</v>
      </c>
      <c r="B5" s="11">
        <v>16.042459999999998</v>
      </c>
      <c r="C5" s="12">
        <f t="shared" ref="C5:C12" si="0">(B5*$B$19)/1000/1000</f>
        <v>7.1573391630231102E-4</v>
      </c>
      <c r="E5" s="6" t="str">
        <f>title115</f>
        <v>Biodiesel</v>
      </c>
      <c r="F5" s="21">
        <v>33</v>
      </c>
      <c r="G5" s="21">
        <v>0.88</v>
      </c>
    </row>
    <row r="6" spans="1:8" ht="16" x14ac:dyDescent="0.2">
      <c r="A6" s="10" t="s">
        <v>35</v>
      </c>
      <c r="B6" s="11">
        <v>28.010100000000001</v>
      </c>
      <c r="C6" s="12">
        <f t="shared" si="0"/>
        <v>1.2496698492013921E-3</v>
      </c>
      <c r="E6" s="6" t="str">
        <f>title116</f>
        <v>Ethanol</v>
      </c>
      <c r="F6" s="21">
        <v>21.2</v>
      </c>
      <c r="G6" s="21">
        <v>0.78900000000000003</v>
      </c>
    </row>
    <row r="7" spans="1:8" ht="16" x14ac:dyDescent="0.2">
      <c r="A7" s="10" t="s">
        <v>36</v>
      </c>
      <c r="B7" s="11">
        <v>44.009500000000003</v>
      </c>
      <c r="C7" s="12">
        <f t="shared" si="0"/>
        <v>1.963482644775587E-3</v>
      </c>
      <c r="E7" s="6" t="str">
        <f>title11</f>
        <v>Gasoline</v>
      </c>
      <c r="F7" s="21">
        <v>32.1</v>
      </c>
      <c r="G7" s="21">
        <v>0.745</v>
      </c>
    </row>
    <row r="8" spans="1:8" x14ac:dyDescent="0.2">
      <c r="A8" s="10" t="s">
        <v>37</v>
      </c>
      <c r="B8" s="11">
        <v>2.0158800000000001</v>
      </c>
      <c r="C8" s="12">
        <f t="shared" si="0"/>
        <v>8.9938431337556905E-5</v>
      </c>
      <c r="E8" s="6" t="str">
        <f>title9</f>
        <v>Diesel</v>
      </c>
      <c r="F8" s="22">
        <v>43</v>
      </c>
      <c r="G8" s="23">
        <v>0.73721999999999999</v>
      </c>
    </row>
    <row r="9" spans="1:8" x14ac:dyDescent="0.2">
      <c r="A9" s="10" t="s">
        <v>38</v>
      </c>
      <c r="B9" s="11">
        <v>18.015280000000001</v>
      </c>
      <c r="C9" s="12">
        <f t="shared" si="0"/>
        <v>8.0375122691175155E-4</v>
      </c>
    </row>
    <row r="10" spans="1:8" x14ac:dyDescent="0.2">
      <c r="A10" s="10" t="s">
        <v>39</v>
      </c>
      <c r="B10" s="11">
        <f>(78.12+92.15+106.7)/3</f>
        <v>92.323333333333338</v>
      </c>
      <c r="C10" s="12">
        <f t="shared" si="0"/>
        <v>4.1190030040748338E-3</v>
      </c>
    </row>
    <row r="11" spans="1:8" x14ac:dyDescent="0.2">
      <c r="A11" s="10" t="s">
        <v>40</v>
      </c>
      <c r="B11" s="11">
        <v>28.013400000000001</v>
      </c>
      <c r="C11" s="12">
        <f t="shared" si="0"/>
        <v>1.2498170786115822E-3</v>
      </c>
    </row>
    <row r="12" spans="1:8" x14ac:dyDescent="0.2">
      <c r="A12" s="10" t="s">
        <v>41</v>
      </c>
      <c r="B12" s="11">
        <v>31.998799999999999</v>
      </c>
      <c r="C12" s="12">
        <f t="shared" si="0"/>
        <v>1.4276255911483892E-3</v>
      </c>
    </row>
    <row r="13" spans="1:8" x14ac:dyDescent="0.2">
      <c r="A13" s="13"/>
      <c r="B13" s="14"/>
      <c r="C13" s="15"/>
    </row>
    <row r="14" spans="1:8" x14ac:dyDescent="0.2">
      <c r="B14" s="11"/>
      <c r="C14" s="11"/>
    </row>
    <row r="15" spans="1:8" x14ac:dyDescent="0.2">
      <c r="A15" s="5" t="s">
        <v>42</v>
      </c>
      <c r="B15" s="11"/>
      <c r="C15" s="11"/>
    </row>
    <row r="16" spans="1:8" x14ac:dyDescent="0.2">
      <c r="B16" s="16" t="s">
        <v>43</v>
      </c>
      <c r="C16" s="16"/>
      <c r="H16" s="17"/>
    </row>
    <row r="17" spans="1:8" x14ac:dyDescent="0.2">
      <c r="A17" s="6" t="s">
        <v>44</v>
      </c>
      <c r="B17" s="18">
        <v>3.6</v>
      </c>
      <c r="C17" s="11"/>
    </row>
    <row r="18" spans="1:8" x14ac:dyDescent="0.2">
      <c r="A18" s="6" t="s">
        <v>45</v>
      </c>
      <c r="B18" s="17">
        <f>B17/1000</f>
        <v>3.5999999999999999E-3</v>
      </c>
      <c r="C18" s="11"/>
      <c r="D18" s="18"/>
      <c r="E18" s="17"/>
    </row>
    <row r="19" spans="1:8" x14ac:dyDescent="0.2">
      <c r="A19" s="6" t="s">
        <v>46</v>
      </c>
      <c r="B19" s="11">
        <f>1/0.022414</f>
        <v>44.614972784866602</v>
      </c>
      <c r="C19" s="11"/>
    </row>
    <row r="20" spans="1:8" x14ac:dyDescent="0.2">
      <c r="A20" s="6" t="s">
        <v>47</v>
      </c>
      <c r="B20" s="6">
        <f>1.163</f>
        <v>1.163</v>
      </c>
      <c r="E20" s="17"/>
    </row>
    <row r="21" spans="1:8" x14ac:dyDescent="0.2">
      <c r="A21" s="6" t="s">
        <v>48</v>
      </c>
      <c r="B21" s="18">
        <f>2000/2204.62</f>
        <v>0.90718581887127947</v>
      </c>
    </row>
    <row r="28" spans="1:8" x14ac:dyDescent="0.2">
      <c r="H28" s="6" t="s"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eth-box</vt:lpstr>
      <vt:lpstr>eth-stoich</vt:lpstr>
      <vt:lpstr>NH3-box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2020-06-17T12:03:18Z</dcterms:created>
  <dcterms:modified xsi:type="dcterms:W3CDTF">2020-06-30T01:02:11Z</dcterms:modified>
</cp:coreProperties>
</file>