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paper/"/>
    </mc:Choice>
  </mc:AlternateContent>
  <xr:revisionPtr revIDLastSave="0" documentId="13_ncr:1_{26260D49-72F4-314F-8BFB-20EEE6E74F79}" xr6:coauthVersionLast="43" xr6:coauthVersionMax="43" xr10:uidLastSave="{00000000-0000-0000-0000-000000000000}"/>
  <bookViews>
    <workbookView xWindow="2160" yWindow="980" windowWidth="25200" windowHeight="13140" activeTab="5" xr2:uid="{00000000-000D-0000-FFFF-FFFF00000000}"/>
  </bookViews>
  <sheets>
    <sheet name="Wood" sheetId="1" r:id="rId1"/>
    <sheet name="Pulp" sheetId="3" r:id="rId2"/>
    <sheet name="Bleach" sheetId="4" r:id="rId3"/>
    <sheet name="Multifuel" sheetId="6" r:id="rId4"/>
    <sheet name="Liquor" sheetId="7" r:id="rId5"/>
    <sheet name="Caustic" sheetId="8" r:id="rId6"/>
    <sheet name="Ref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8" l="1"/>
  <c r="J4" i="8"/>
  <c r="D4" i="8"/>
  <c r="C4" i="8"/>
  <c r="I4" i="8"/>
  <c r="B4" i="8"/>
  <c r="E4" i="8"/>
  <c r="B4" i="7"/>
  <c r="G4" i="7"/>
  <c r="H4" i="7"/>
  <c r="F4" i="7"/>
  <c r="I4" i="7"/>
  <c r="E4" i="7"/>
  <c r="D4" i="7"/>
  <c r="G4" i="3" l="1"/>
  <c r="I4" i="3"/>
  <c r="E4" i="6" l="1"/>
  <c r="D4" i="6"/>
  <c r="E4" i="4" l="1"/>
  <c r="P4" i="4"/>
  <c r="O4" i="4"/>
  <c r="N4" i="4"/>
  <c r="M4" i="4"/>
  <c r="L4" i="4"/>
  <c r="K4" i="4"/>
  <c r="J4" i="4"/>
  <c r="I4" i="4"/>
  <c r="H4" i="4"/>
  <c r="F4" i="4"/>
  <c r="G4" i="4"/>
  <c r="D4" i="4"/>
  <c r="C4" i="4"/>
  <c r="B4" i="4"/>
  <c r="E4" i="1" l="1"/>
  <c r="J4" i="3"/>
  <c r="D4" i="3" l="1"/>
  <c r="H4" i="3"/>
  <c r="F4" i="3"/>
  <c r="E4" i="3"/>
  <c r="C4" i="3"/>
  <c r="B4" i="3"/>
  <c r="B4" i="1"/>
  <c r="C4" i="1"/>
  <c r="D4" i="1"/>
  <c r="B21" i="2"/>
  <c r="B20" i="2"/>
  <c r="B19" i="2"/>
  <c r="C8" i="2" s="1"/>
  <c r="B18" i="2"/>
  <c r="B10" i="2"/>
  <c r="C10" i="2" l="1"/>
  <c r="C9" i="2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59980107-992E-3A49-9263-132451F388A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diff between air out and air 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4" authorId="0" shapeId="0" xr:uid="{51B0FF38-69D5-BF46-BB57-C8AD6CC84B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<sst xmlns="http://schemas.openxmlformats.org/spreadsheetml/2006/main" count="144" uniqueCount="94">
  <si>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</si>
  <si>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</si>
  <si>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</si>
  <si>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</si>
  <si>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</si>
  <si>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</si>
  <si>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</si>
  <si>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</si>
  <si>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</si>
  <si>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</si>
  <si>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</si>
  <si>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</si>
  <si>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</si>
  <si>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</si>
  <si>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</si>
  <si>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</si>
  <si>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</si>
  <si>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</si>
  <si>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</si>
  <si>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</si>
  <si>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</si>
  <si>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</si>
  <si>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</si>
  <si>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</si>
  <si>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</si>
  <si>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</si>
  <si>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</si>
  <si>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</si>
  <si>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</si>
  <si>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</si>
  <si>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</si>
  <si>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</si>
  <si>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</si>
  <si>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</si>
  <si>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</si>
  <si>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</si>
  <si>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</si>
  <si>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</si>
  <si>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</si>
  <si>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</si>
  <si>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</si>
  <si>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</si>
  <si>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</si>
  <si>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</si>
  <si>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</si>
  <si>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</si>
  <si>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</si>
  <si>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</si>
  <si>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</si>
  <si>
    <t>pulp ratio</t>
  </si>
  <si>
    <t>filter cake ratio</t>
  </si>
  <si>
    <t>effluent ratio</t>
  </si>
  <si>
    <t>NaOH demand</t>
  </si>
  <si>
    <t>H2O2 demand</t>
  </si>
  <si>
    <t>Talc demand</t>
  </si>
  <si>
    <t>NaCl3 demand</t>
  </si>
  <si>
    <t>H2SO4 demand</t>
  </si>
  <si>
    <t>Methanol demand</t>
  </si>
  <si>
    <t>t market pulp / t unbleached pulp</t>
  </si>
  <si>
    <t>t / t market pulp</t>
  </si>
  <si>
    <t>GJ / t market pulp</t>
  </si>
  <si>
    <t>vapor ratio</t>
  </si>
  <si>
    <t>t H2O in exhaust / t market pulp</t>
  </si>
  <si>
    <t>primary fuel type</t>
  </si>
  <si>
    <t>secondary fuel type</t>
  </si>
  <si>
    <t>secondary fuel demand</t>
  </si>
  <si>
    <t>t second fuel / t primary fuel</t>
  </si>
  <si>
    <t>wet hog fuel</t>
  </si>
  <si>
    <t>wet biosludge</t>
  </si>
  <si>
    <t>GJ / t primary fuel</t>
  </si>
  <si>
    <t>liquor solids ratio</t>
  </si>
  <si>
    <t>tall oil ratio</t>
  </si>
  <si>
    <t>t strong black liquor solids / t weak black liquor in</t>
  </si>
  <si>
    <t>fuel name for name of black liquor sloids</t>
  </si>
  <si>
    <t>t / t weak black liquor in</t>
  </si>
  <si>
    <t>t brine/ t weak black liquor in</t>
  </si>
  <si>
    <t>dry black liquor</t>
  </si>
  <si>
    <t>GJ / t weak black liquor in</t>
  </si>
  <si>
    <t>fueltype</t>
  </si>
  <si>
    <t>condensate ratio</t>
  </si>
  <si>
    <t>smelt ratio</t>
  </si>
  <si>
    <t>t smelt / t weak black liquor</t>
  </si>
  <si>
    <t>white liquor ratio</t>
  </si>
  <si>
    <t>CaO demand</t>
  </si>
  <si>
    <t>fuel energy demand</t>
  </si>
  <si>
    <t>biofuel cofire ratio</t>
  </si>
  <si>
    <t>biofuel type</t>
  </si>
  <si>
    <t>GJ / t white liquor</t>
  </si>
  <si>
    <t>dry wood chips (EU no swiss)</t>
  </si>
  <si>
    <t>t / t white liquor</t>
  </si>
  <si>
    <t>t / t smelt</t>
  </si>
  <si>
    <t>HFO - IEAGHG</t>
  </si>
  <si>
    <t>Calcination CO2</t>
  </si>
  <si>
    <t>biogenic - from 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</si>
</sst>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70" formatCode="0.00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  <xf numFmtId="170" fontId="0" fillId="0" borderId="0" xfId="0" applyNumberForma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8.83203125" defaultRowHeight="15" x14ac:dyDescent="0.2"/>
  <cols>
    <col min="2" max="2" width="14" bestFit="1" customWidth="1"/>
    <col min="3" max="3" width="13.1640625" bestFit="1" customWidth="1"/>
    <col min="4" max="4" width="14" bestFit="1" customWidth="1"/>
  </cols>
  <sheetData>
    <row r="1" spans="1:5" x14ac:dyDescent="0.2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">
      <c r="A3" s="2" t="s">
        <v>2</v>
      </c>
    </row>
    <row r="4" spans="1:5" x14ac:dyDescent="0.2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44/4.181*Ref!$B$18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6.5" bestFit="1" customWidth="1"/>
    <col min="3" max="4" width="16.83203125" customWidth="1"/>
    <col min="5" max="5" width="15.6640625" customWidth="1"/>
    <col min="6" max="6" width="12.5" customWidth="1"/>
    <col min="7" max="7" width="19.83203125" bestFit="1" customWidth="1"/>
    <col min="8" max="8" width="19.1640625" bestFit="1" customWidth="1"/>
    <col min="9" max="9" width="19.1640625" customWidth="1"/>
    <col min="10" max="10" width="17.83203125" bestFit="1" customWidth="1"/>
  </cols>
  <sheetData>
    <row r="1" spans="1:10" x14ac:dyDescent="0.2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">
      <c r="A3" s="2" t="s">
        <v>2</v>
      </c>
    </row>
    <row r="4" spans="1:10" x14ac:dyDescent="0.2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(43+58+58+2)/7.86*Ref!$B$18</f>
        <v>7.3740458015267171E-2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>
      <selection activeCell="P4" sqref="P4"/>
    </sheetView>
  </sheetViews>
  <sheetFormatPr baseColWidth="10" defaultColWidth="8.83203125" defaultRowHeight="15" x14ac:dyDescent="0.2"/>
  <cols>
    <col min="3" max="3" width="12.5" bestFit="1" customWidth="1"/>
    <col min="4" max="4" width="11" bestFit="1" customWidth="1"/>
    <col min="5" max="5" width="11" customWidth="1"/>
    <col min="6" max="6" width="11.33203125" customWidth="1"/>
    <col min="7" max="7" width="12.5" customWidth="1"/>
    <col min="8" max="9" width="12" bestFit="1" customWidth="1"/>
    <col min="10" max="10" width="9.83203125" bestFit="1" customWidth="1"/>
    <col min="11" max="11" width="13" bestFit="1" customWidth="1"/>
    <col min="12" max="12" width="10.6640625" bestFit="1" customWidth="1"/>
    <col min="13" max="13" width="12.1640625" bestFit="1" customWidth="1"/>
    <col min="14" max="14" width="12.83203125" bestFit="1" customWidth="1"/>
    <col min="15" max="15" width="15" bestFit="1" customWidth="1"/>
    <col min="16" max="16" width="10.83203125" bestFit="1" customWidth="1"/>
  </cols>
  <sheetData>
    <row r="1" spans="1:16" x14ac:dyDescent="0.2">
      <c r="A1" s="1" t="s">
        <v>0</v>
      </c>
      <c r="B1" t="s">
        <v>49</v>
      </c>
      <c r="C1" t="s">
        <v>50</v>
      </c>
      <c r="D1" t="s">
        <v>51</v>
      </c>
      <c r="E1" t="s">
        <v>61</v>
      </c>
      <c r="F1" t="s">
        <v>46</v>
      </c>
      <c r="G1" t="s">
        <v>26</v>
      </c>
      <c r="H1" t="s">
        <v>52</v>
      </c>
      <c r="I1" t="s">
        <v>53</v>
      </c>
      <c r="J1" t="s">
        <v>35</v>
      </c>
      <c r="K1" t="s">
        <v>34</v>
      </c>
      <c r="L1" t="s">
        <v>54</v>
      </c>
      <c r="M1" t="s">
        <v>55</v>
      </c>
      <c r="N1" t="s">
        <v>56</v>
      </c>
      <c r="O1" t="s">
        <v>57</v>
      </c>
      <c r="P1" t="s">
        <v>27</v>
      </c>
    </row>
    <row r="2" spans="1:16" x14ac:dyDescent="0.2">
      <c r="A2" s="2" t="s">
        <v>1</v>
      </c>
      <c r="B2" t="s">
        <v>58</v>
      </c>
      <c r="C2" t="s">
        <v>59</v>
      </c>
      <c r="D2" t="s">
        <v>59</v>
      </c>
      <c r="E2" t="s">
        <v>62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60</v>
      </c>
    </row>
    <row r="3" spans="1:16" x14ac:dyDescent="0.2">
      <c r="A3" s="2" t="s">
        <v>2</v>
      </c>
    </row>
    <row r="4" spans="1:16" x14ac:dyDescent="0.2">
      <c r="A4" t="s">
        <v>23</v>
      </c>
      <c r="B4">
        <f>1000/7860</f>
        <v>0.1272264631043257</v>
      </c>
      <c r="C4">
        <f>19/1000</f>
        <v>1.9E-2</v>
      </c>
      <c r="D4">
        <f>(8980+6499)/1000</f>
        <v>15.478999999999999</v>
      </c>
      <c r="E4">
        <f>(6576-5776)/1000</f>
        <v>0.8</v>
      </c>
      <c r="F4">
        <f>6.9/1000</f>
        <v>6.9000000000000008E-3</v>
      </c>
      <c r="G4">
        <f>9000/1000</f>
        <v>9</v>
      </c>
      <c r="H4">
        <f>19.8/1000</f>
        <v>1.9800000000000002E-2</v>
      </c>
      <c r="I4">
        <f>7.4/1000</f>
        <v>7.4000000000000003E-3</v>
      </c>
      <c r="J4">
        <f>1/1000</f>
        <v>1E-3</v>
      </c>
      <c r="K4">
        <f>0.5/1000</f>
        <v>5.0000000000000001E-4</v>
      </c>
      <c r="L4">
        <f>4/1000</f>
        <v>4.0000000000000001E-3</v>
      </c>
      <c r="M4">
        <f>24.5/1000</f>
        <v>2.4500000000000001E-2</v>
      </c>
      <c r="N4">
        <f>15/1000</f>
        <v>1.4999999999999999E-2</v>
      </c>
      <c r="O4">
        <f>2.5/1000</f>
        <v>2.5000000000000001E-3</v>
      </c>
      <c r="P4">
        <f>(77+2+116)/1*Ref!$B$18</f>
        <v>0.70199999999999996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B1" sqref="B1"/>
    </sheetView>
  </sheetViews>
  <sheetFormatPr baseColWidth="10" defaultColWidth="8.83203125" defaultRowHeight="15" x14ac:dyDescent="0.2"/>
  <cols>
    <col min="2" max="3" width="14" bestFit="1" customWidth="1"/>
    <col min="4" max="4" width="17" bestFit="1" customWidth="1"/>
  </cols>
  <sheetData>
    <row r="1" spans="1:5" x14ac:dyDescent="0.2">
      <c r="A1" s="1" t="s">
        <v>0</v>
      </c>
      <c r="B1" t="s">
        <v>63</v>
      </c>
      <c r="C1" t="s">
        <v>64</v>
      </c>
      <c r="D1" t="s">
        <v>65</v>
      </c>
      <c r="E1" t="s">
        <v>27</v>
      </c>
    </row>
    <row r="2" spans="1:5" x14ac:dyDescent="0.2">
      <c r="A2" s="2" t="s">
        <v>1</v>
      </c>
      <c r="D2" t="s">
        <v>66</v>
      </c>
      <c r="E2" t="s">
        <v>69</v>
      </c>
    </row>
    <row r="3" spans="1:5" x14ac:dyDescent="0.2">
      <c r="A3" s="2" t="s">
        <v>2</v>
      </c>
    </row>
    <row r="4" spans="1:5" x14ac:dyDescent="0.2">
      <c r="A4" t="s">
        <v>23</v>
      </c>
      <c r="B4" t="s">
        <v>67</v>
      </c>
      <c r="C4" t="s">
        <v>68</v>
      </c>
      <c r="D4">
        <f>25/481</f>
        <v>5.1975051975051978E-2</v>
      </c>
      <c r="E4">
        <f>29/0.481*Ref!$B$18</f>
        <v>0.21704781704781703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workbookViewId="0">
      <selection activeCell="H12" sqref="H12"/>
    </sheetView>
  </sheetViews>
  <sheetFormatPr baseColWidth="10" defaultColWidth="8.83203125" defaultRowHeight="15" x14ac:dyDescent="0.2"/>
  <cols>
    <col min="9" max="9" width="11.83203125" bestFit="1" customWidth="1"/>
  </cols>
  <sheetData>
    <row r="1" spans="1:9" x14ac:dyDescent="0.2">
      <c r="A1" s="1" t="s">
        <v>0</v>
      </c>
      <c r="B1" t="s">
        <v>70</v>
      </c>
      <c r="C1" t="s">
        <v>78</v>
      </c>
      <c r="D1" t="s">
        <v>71</v>
      </c>
      <c r="E1" t="s">
        <v>51</v>
      </c>
      <c r="F1" t="s">
        <v>79</v>
      </c>
      <c r="G1" t="s">
        <v>80</v>
      </c>
      <c r="H1" t="s">
        <v>56</v>
      </c>
      <c r="I1" t="s">
        <v>27</v>
      </c>
    </row>
    <row r="2" spans="1:9" x14ac:dyDescent="0.2">
      <c r="A2" s="2" t="s">
        <v>1</v>
      </c>
      <c r="B2" t="s">
        <v>72</v>
      </c>
      <c r="C2" t="s">
        <v>73</v>
      </c>
      <c r="D2" t="s">
        <v>74</v>
      </c>
      <c r="E2" t="s">
        <v>75</v>
      </c>
      <c r="F2" t="s">
        <v>74</v>
      </c>
      <c r="G2" t="s">
        <v>81</v>
      </c>
      <c r="H2" t="s">
        <v>74</v>
      </c>
      <c r="I2" t="s">
        <v>77</v>
      </c>
    </row>
    <row r="3" spans="1:9" x14ac:dyDescent="0.2">
      <c r="A3" s="2" t="s">
        <v>2</v>
      </c>
    </row>
    <row r="4" spans="1:9" x14ac:dyDescent="0.2">
      <c r="A4" t="s">
        <v>23</v>
      </c>
      <c r="B4">
        <f>(2268/9662)</f>
        <v>0.23473400952183812</v>
      </c>
      <c r="C4" t="s">
        <v>76</v>
      </c>
      <c r="D4">
        <f>39/9662</f>
        <v>4.0364313806665287E-3</v>
      </c>
      <c r="E4">
        <f>29/9662</f>
        <v>3.0014489753674187E-3</v>
      </c>
      <c r="F4">
        <f>(2941+3802)/9662</f>
        <v>0.69788863589318983</v>
      </c>
      <c r="G4">
        <f>729/9662</f>
        <v>7.545021734630511E-2</v>
      </c>
      <c r="H4">
        <f>5/9662</f>
        <v>5.1749120264955493E-4</v>
      </c>
      <c r="I4" s="22">
        <f>(29+58)/9.662*Ref!$B$18</f>
        <v>3.2415648933968123E-2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t="s">
        <v>82</v>
      </c>
      <c r="C1" t="s">
        <v>83</v>
      </c>
      <c r="D1" t="s">
        <v>52</v>
      </c>
      <c r="E1" t="s">
        <v>84</v>
      </c>
      <c r="F1" t="s">
        <v>78</v>
      </c>
      <c r="G1" t="s">
        <v>85</v>
      </c>
      <c r="H1" t="s">
        <v>86</v>
      </c>
      <c r="I1" t="s">
        <v>44</v>
      </c>
      <c r="J1" t="s">
        <v>92</v>
      </c>
      <c r="K1" t="s">
        <v>27</v>
      </c>
    </row>
    <row r="2" spans="1:11" x14ac:dyDescent="0.2">
      <c r="A2" s="2" t="s">
        <v>1</v>
      </c>
      <c r="B2" t="s">
        <v>90</v>
      </c>
      <c r="C2" t="s">
        <v>89</v>
      </c>
      <c r="D2" t="s">
        <v>89</v>
      </c>
      <c r="E2" t="s">
        <v>87</v>
      </c>
      <c r="I2" t="s">
        <v>89</v>
      </c>
      <c r="J2" t="s">
        <v>89</v>
      </c>
    </row>
    <row r="3" spans="1:11" x14ac:dyDescent="0.2">
      <c r="A3" s="2" t="s">
        <v>2</v>
      </c>
      <c r="J3" t="s">
        <v>93</v>
      </c>
    </row>
    <row r="4" spans="1:11" x14ac:dyDescent="0.2">
      <c r="A4" t="s">
        <v>23</v>
      </c>
      <c r="B4">
        <f>4041/729</f>
        <v>5.5432098765432096</v>
      </c>
      <c r="C4">
        <f>4.2/4041</f>
        <v>1.0393466963622866E-3</v>
      </c>
      <c r="D4">
        <f>17.4/4041</f>
        <v>4.305864884929473E-3</v>
      </c>
      <c r="E4">
        <f>1.44/4.041</f>
        <v>0.35634743875278391</v>
      </c>
      <c r="F4" t="s">
        <v>91</v>
      </c>
      <c r="G4">
        <v>0</v>
      </c>
      <c r="H4" t="s">
        <v>88</v>
      </c>
      <c r="I4">
        <f>3802/4041</f>
        <v>0.94085622370700317</v>
      </c>
      <c r="J4">
        <f>(274*0.6)/4041</f>
        <v>4.0682999257609501E-2</v>
      </c>
      <c r="K4">
        <f>55/4.041*Ref!B$18</f>
        <v>4.8997772828507785E-2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3" x14ac:dyDescent="0.2">
      <c r="A1" s="3" t="s">
        <v>3</v>
      </c>
      <c r="B1" s="4"/>
      <c r="C1" s="4"/>
    </row>
    <row r="2" spans="1:3" x14ac:dyDescent="0.2">
      <c r="A2" s="3" t="s">
        <v>4</v>
      </c>
      <c r="B2" s="4"/>
      <c r="C2" s="4"/>
    </row>
    <row r="3" spans="1:3" x14ac:dyDescent="0.2">
      <c r="A3" s="5"/>
      <c r="B3" s="6" t="s">
        <v>5</v>
      </c>
      <c r="C3" s="7" t="s">
        <v>6</v>
      </c>
    </row>
    <row r="4" spans="1:3" x14ac:dyDescent="0.2">
      <c r="A4" s="8" t="s">
        <v>7</v>
      </c>
      <c r="B4" s="9">
        <v>12</v>
      </c>
      <c r="C4" s="10">
        <f>(B4*$B$19)/1000/1000</f>
        <v>5.3537967341839917E-4</v>
      </c>
    </row>
    <row r="5" spans="1:3" x14ac:dyDescent="0.2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">
      <c r="A13" s="11"/>
      <c r="B13" s="12"/>
      <c r="C13" s="13"/>
    </row>
    <row r="14" spans="1:3" x14ac:dyDescent="0.2">
      <c r="A14" s="4"/>
      <c r="B14" s="14"/>
      <c r="C14" s="14"/>
    </row>
    <row r="15" spans="1:3" x14ac:dyDescent="0.2">
      <c r="A15" s="3" t="s">
        <v>16</v>
      </c>
      <c r="B15" s="14"/>
      <c r="C15" s="14"/>
    </row>
    <row r="16" spans="1:3" x14ac:dyDescent="0.2">
      <c r="A16" s="15"/>
      <c r="B16" s="16" t="s">
        <v>17</v>
      </c>
      <c r="C16" s="16"/>
    </row>
    <row r="17" spans="1:4" x14ac:dyDescent="0.2">
      <c r="A17" s="15" t="s">
        <v>18</v>
      </c>
      <c r="B17" s="17">
        <v>3.6</v>
      </c>
      <c r="C17" s="9"/>
    </row>
    <row r="18" spans="1:4" x14ac:dyDescent="0.2">
      <c r="A18" s="15" t="s">
        <v>19</v>
      </c>
      <c r="B18" s="18">
        <f>B17/1000</f>
        <v>3.5999999999999999E-3</v>
      </c>
      <c r="C18" s="9"/>
      <c r="D18" s="17"/>
    </row>
    <row r="19" spans="1:4" x14ac:dyDescent="0.2">
      <c r="A19" s="15" t="s">
        <v>20</v>
      </c>
      <c r="B19" s="9">
        <f>1/0.022414</f>
        <v>44.614972784866602</v>
      </c>
      <c r="C19" s="9"/>
    </row>
    <row r="20" spans="1:4" x14ac:dyDescent="0.2">
      <c r="A20" s="19" t="s">
        <v>21</v>
      </c>
      <c r="B20" s="20">
        <f>1.163</f>
        <v>1.163</v>
      </c>
    </row>
    <row r="21" spans="1:4" x14ac:dyDescent="0.2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Wood</vt:lpstr>
      <vt:lpstr>Pulp</vt:lpstr>
      <vt:lpstr>Bleach</vt:lpstr>
      <vt:lpstr>Multifuel</vt:lpstr>
      <vt:lpstr>Liquor</vt:lpstr>
      <vt:lpstr>Caustic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Microsoft Office User</cp:lastModifiedBy>
  <dcterms:created xsi:type="dcterms:W3CDTF">2020-02-18T12:48:48Z</dcterms:created>
  <dcterms:modified xsi:type="dcterms:W3CDTF">2020-02-23T21:03:03Z</dcterms:modified>
</cp:coreProperties>
</file>