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4520" yWindow="0" windowWidth="14280" windowHeight="18000" activeTab="2"/>
  </bookViews>
  <sheets>
    <sheet name="Coke Oven" sheetId="2" r:id="rId1"/>
    <sheet name="Sinter Plant" sheetId="3" r:id="rId2"/>
    <sheet name="Blast Furnace" sheetId="5" r:id="rId3"/>
    <sheet name="BOF Steelmaking" sheetId="6" r:id="rId4"/>
    <sheet name="Ladle Metallurgy" sheetId="7" r:id="rId5"/>
    <sheet name="Forming" sheetId="13" r:id="rId6"/>
    <sheet name="Reference Values" sheetId="14" r:id="rId7"/>
  </sheets>
  <calcPr calcId="179021"/>
</workbook>
</file>

<file path=xl/calcChain.xml><?xml version="1.0" encoding="utf-8"?>
<calcChain xmlns="http://schemas.openxmlformats.org/spreadsheetml/2006/main">
  <c r="R4" i="5" l="1"/>
  <c r="F6" i="7" l="1"/>
  <c r="G6" i="7"/>
  <c r="F5" i="7"/>
  <c r="F4" i="7" s="1"/>
  <c r="Q5" i="5" l="1"/>
  <c r="J5" i="5"/>
  <c r="Q4" i="5"/>
  <c r="O4" i="5" l="1"/>
  <c r="O5" i="5"/>
  <c r="O6" i="5" s="1"/>
  <c r="J6" i="5" l="1"/>
  <c r="H6" i="5"/>
  <c r="B4" i="13" l="1"/>
  <c r="D5" i="13"/>
  <c r="D4" i="13" s="1"/>
  <c r="B5" i="13"/>
  <c r="B18" i="14"/>
  <c r="E5" i="7"/>
  <c r="E4" i="7" s="1"/>
  <c r="D4" i="6"/>
  <c r="I4" i="7"/>
  <c r="H4" i="7"/>
  <c r="D4" i="7"/>
  <c r="C4" i="7"/>
  <c r="B4" i="7"/>
  <c r="H7" i="14"/>
  <c r="F5" i="6"/>
  <c r="F4" i="6" s="1"/>
  <c r="H5" i="3"/>
  <c r="E5" i="2"/>
  <c r="G6" i="14"/>
  <c r="H6" i="14" s="1"/>
  <c r="G5" i="14"/>
  <c r="H5" i="14" s="1"/>
  <c r="B19" i="14"/>
  <c r="C9" i="14" s="1"/>
  <c r="B10" i="14"/>
  <c r="G4" i="14" s="1"/>
  <c r="H4" i="14" s="1"/>
  <c r="H5" i="6"/>
  <c r="H4" i="6" s="1"/>
  <c r="G5" i="6"/>
  <c r="G4" i="6" s="1"/>
  <c r="E5" i="6"/>
  <c r="E4" i="6" s="1"/>
  <c r="C5" i="6"/>
  <c r="C4" i="6" s="1"/>
  <c r="B5" i="6"/>
  <c r="B4" i="6" s="1"/>
  <c r="K6" i="5" l="1"/>
  <c r="E6" i="7"/>
  <c r="I5" i="3"/>
  <c r="D5" i="2"/>
  <c r="C5" i="13"/>
  <c r="C4" i="13" s="1"/>
  <c r="I5" i="14"/>
  <c r="I6" i="14"/>
  <c r="C6" i="14"/>
  <c r="C10" i="14"/>
  <c r="C7" i="14"/>
  <c r="C11" i="14"/>
  <c r="I4" i="14"/>
  <c r="C4" i="14"/>
  <c r="C8" i="14"/>
  <c r="C12" i="14"/>
  <c r="C5" i="14"/>
  <c r="L4" i="5"/>
  <c r="M4" i="5"/>
  <c r="N4" i="5"/>
  <c r="H5" i="5"/>
  <c r="H4" i="5" s="1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4" i="3"/>
  <c r="H4" i="3"/>
  <c r="D5" i="3"/>
  <c r="D4" i="3" s="1"/>
  <c r="I5" i="6" l="1"/>
  <c r="I4" i="6" s="1"/>
  <c r="E5" i="13"/>
  <c r="E4" i="13" s="1"/>
  <c r="G5" i="7"/>
  <c r="G4" i="7" s="1"/>
  <c r="C5" i="2"/>
  <c r="G4" i="2"/>
  <c r="E4" i="2" l="1"/>
  <c r="D4" i="2"/>
  <c r="F4" i="2"/>
  <c r="C4" i="2" l="1"/>
</calcChain>
</file>

<file path=xl/comments1.xml><?xml version="1.0" encoding="utf-8"?>
<comments xmlns="http://schemas.openxmlformats.org/spreadsheetml/2006/main">
  <authors>
    <author>Samantha Tanzer - TBM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D1, pg 95 of the PDF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>
  <authors>
    <author>Samantha Tanzer - TBM</author>
    <author>Microsoft Office User</author>
    <author>S.E. Tanzer</author>
  </authors>
  <commentList>
    <comment ref="J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  <comment ref="Q5" authorId="1" shapeId="0">
      <text>
        <r>
          <rPr>
            <b/>
            <sz val="10"/>
            <color rgb="FF000000"/>
            <rFont val="Tahoma"/>
            <family val="2"/>
          </rPr>
          <t xml:space="preserve">S.E. Tanzer: 
</t>
        </r>
        <r>
          <rPr>
            <sz val="10"/>
            <color rgb="FF000000"/>
            <rFont val="Tahoma"/>
            <family val="2"/>
          </rPr>
          <t xml:space="preserve">Energy out from page E-12 (Steel Mill Gas Network); total energy from LHV of fuels in
</t>
        </r>
      </text>
    </comment>
    <comment ref="J6" authorId="2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supplementary natural gas demand only.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export should be 1.6742 GJ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<sst xmlns="http://schemas.openxmlformats.org/spreadsheetml/2006/main" count="180" uniqueCount="122">
  <si>
    <t>Electricity Demand</t>
  </si>
  <si>
    <t>Carbon Content of Hot Metal</t>
  </si>
  <si>
    <t>Scenario</t>
  </si>
  <si>
    <t>meta-units</t>
  </si>
  <si>
    <t>Heat Demand</t>
  </si>
  <si>
    <t>default</t>
  </si>
  <si>
    <t>Coking Efficiency</t>
  </si>
  <si>
    <t>CaO Fraction of Sinter</t>
  </si>
  <si>
    <t>meta-notes</t>
  </si>
  <si>
    <t>Remainder is lost to coal gas</t>
  </si>
  <si>
    <t>Sinter Demand</t>
  </si>
  <si>
    <t>Coke Demand</t>
  </si>
  <si>
    <t>t / t hot metal</t>
  </si>
  <si>
    <t>Scrap Fraction of Steel</t>
  </si>
  <si>
    <t>mj biomass / mj energy use</t>
  </si>
  <si>
    <t>meta-scenario source</t>
  </si>
  <si>
    <t>biomass co-fire fraction</t>
  </si>
  <si>
    <t>biofuel type</t>
  </si>
  <si>
    <t>GJ/t dry coke</t>
  </si>
  <si>
    <t>charcoal</t>
  </si>
  <si>
    <t>IEAGHG 2013-04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</si>
  <si>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</si>
  <si>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</si>
  <si>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</si>
  <si>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</si>
  <si>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</si>
  <si>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</si>
  <si>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</si>
  <si>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</si>
  <si>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</si>
  <si>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</si>
  <si>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</si>
  <si>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</si>
  <si>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</si>
  <si>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</si>
  <si>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</si>
  <si>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</si>
  <si>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</si>
  <si>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</si>
  <si>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</si>
  <si>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</si>
  <si>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</si>
  <si>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</si>
  <si>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</si>
  <si>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</si>
  <si>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</si>
  <si>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</si>
  <si>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</si>
  <si>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</si>
  <si>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</si>
  <si>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</si>
  <si>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</si>
  <si>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</si>
  <si>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</si>
  <si>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</si>
  <si>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</si>
  <si>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</si>
  <si>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</si>
  <si>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</si>
  <si>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</si>
  <si>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</si>
  <si>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</si>
  <si>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</si>
  <si>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</si>
  <si>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</si>
  <si>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</si>
  <si>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</si>
  <si>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</si>
  <si>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</si>
  <si>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</si>
  <si>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</si>
  <si>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</si>
  <si>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</si>
  <si>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</si>
  <si>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</si>
  <si>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</si>
  <si>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</si>
  <si>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</si>
  <si>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</si>
  <si>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</si>
  <si>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</si>
  <si>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</si>
  <si>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</si>
  <si>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</si>
  <si>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</si>
  <si>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</si>
  <si>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</si>
  <si>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</si>
  <si>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</si>
  <si>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</si>
  <si>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</si>
  <si>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</si>
  <si>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</si>
  <si>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</si>
  <si>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</si>
  <si>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</si>
  <si>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</si>
  <si>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</si>
  <si>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</si>
  <si>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</si>
  <si>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</si>
  <si>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</si>
  <si>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</si>
  <si>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</si>
  <si>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</si>
  <si>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</si>
  <si>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</si>
  <si>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</si>
  <si>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</si>
  <si>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</si>
  <si>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</si>
  <si>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</si>
  <si>
    <t>IEAGHG 2013_oxyblast</t>
  </si>
  <si>
    <t>O2 demand</t>
  </si>
  <si>
    <t>ieaghg-reference</t>
  </si>
  <si>
    <t>CO2 not calcinated</t>
  </si>
  <si>
    <t>% CO2 in CaCO3</t>
  </si>
  <si>
    <t>BFG Export</t>
  </si>
  <si>
    <t>% Energy BFG</t>
  </si>
  <si>
    <t>heat import</t>
  </si>
  <si>
    <t>GJ heat / t steel</t>
  </si>
  <si>
    <t>ieaghg-reference-old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</si>
</sst>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3" xfId="0" applyFont="1" applyBorder="1"/>
    <xf numFmtId="2" fontId="2" fillId="0" borderId="3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0" fontId="2" fillId="0" borderId="2" xfId="0" applyFont="1" applyBorder="1"/>
    <xf numFmtId="2" fontId="0" fillId="0" borderId="7" xfId="0" applyNumberFormat="1" applyBorder="1"/>
    <xf numFmtId="164" fontId="0" fillId="0" borderId="5" xfId="0" applyNumberFormat="1" applyBorder="1" applyAlignment="1">
      <alignment horizontal="right"/>
    </xf>
    <xf numFmtId="0" fontId="13" fillId="0" borderId="0" xfId="0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ColWidth="8.85546875" defaultRowHeight="15" x14ac:dyDescent="0.25"/>
  <cols>
    <col min="1" max="1" width="11.28515625" bestFit="1" customWidth="1"/>
    <col min="2" max="2" width="21.140625" customWidth="1"/>
    <col min="3" max="3" width="27.42578125" customWidth="1"/>
    <col min="4" max="4" width="14.28515625" bestFit="1" customWidth="1"/>
    <col min="5" max="5" width="16.7109375" bestFit="1" customWidth="1"/>
    <col min="6" max="6" width="20.7109375" customWidth="1"/>
  </cols>
  <sheetData>
    <row r="1" spans="1:7" s="1" customFormat="1" x14ac:dyDescent="0.25">
      <c r="A1" s="1" t="s">
        <v>2</v>
      </c>
      <c r="B1" s="1" t="s">
        <v>15</v>
      </c>
      <c r="C1" s="1" t="s">
        <v>6</v>
      </c>
      <c r="D1" s="1" t="s">
        <v>0</v>
      </c>
      <c r="E1" s="1" t="s">
        <v>4</v>
      </c>
      <c r="F1" s="1" t="s">
        <v>16</v>
      </c>
      <c r="G1" s="1" t="s">
        <v>17</v>
      </c>
    </row>
    <row r="2" spans="1:7" x14ac:dyDescent="0.25">
      <c r="A2" s="2" t="s">
        <v>3</v>
      </c>
      <c r="B2" s="2"/>
      <c r="C2" s="2" t="s">
        <v>21</v>
      </c>
      <c r="D2" t="s">
        <v>18</v>
      </c>
      <c r="E2" t="s">
        <v>18</v>
      </c>
      <c r="F2" s="2" t="s">
        <v>30</v>
      </c>
    </row>
    <row r="3" spans="1:7" x14ac:dyDescent="0.25">
      <c r="A3" s="2" t="s">
        <v>8</v>
      </c>
      <c r="B3" s="2"/>
      <c r="C3" s="2" t="s">
        <v>9</v>
      </c>
    </row>
    <row r="4" spans="1:7" x14ac:dyDescent="0.25">
      <c r="A4" t="s">
        <v>5</v>
      </c>
      <c r="C4">
        <f>C5</f>
        <v>0.77808901338313108</v>
      </c>
      <c r="D4">
        <f>D5</f>
        <v>0.126</v>
      </c>
      <c r="E4">
        <f>E5</f>
        <v>3.3926379999999998</v>
      </c>
      <c r="F4">
        <f>F5</f>
        <v>0</v>
      </c>
      <c r="G4" t="str">
        <f>G5</f>
        <v>charcoal</v>
      </c>
    </row>
    <row r="5" spans="1:7" x14ac:dyDescent="0.25">
      <c r="A5" t="s">
        <v>114</v>
      </c>
      <c r="B5" t="s">
        <v>20</v>
      </c>
      <c r="C5">
        <f>1/1.2852</f>
        <v>0.77808901338313108</v>
      </c>
      <c r="D5">
        <f>35*'Reference Values'!B18</f>
        <v>0.126</v>
      </c>
      <c r="E5">
        <f>(112.6*'Reference Values'!F4+450.4*'Reference Values'!F5+150*'Reference Values'!F7)/1000</f>
        <v>3.3926379999999998</v>
      </c>
      <c r="F5">
        <v>0</v>
      </c>
      <c r="G5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C1" workbookViewId="0">
      <selection activeCell="H8" sqref="H8"/>
    </sheetView>
  </sheetViews>
  <sheetFormatPr defaultColWidth="8.85546875" defaultRowHeight="15" x14ac:dyDescent="0.25"/>
  <cols>
    <col min="1" max="1" width="11.28515625" bestFit="1" customWidth="1"/>
    <col min="2" max="2" width="22" customWidth="1"/>
    <col min="3" max="3" width="17.85546875" customWidth="1"/>
    <col min="4" max="4" width="16.7109375" bestFit="1" customWidth="1"/>
    <col min="5" max="7" width="16.140625" customWidth="1"/>
    <col min="8" max="8" width="18" customWidth="1"/>
    <col min="9" max="9" width="19.28515625" customWidth="1"/>
  </cols>
  <sheetData>
    <row r="1" spans="1:10" s="1" customFormat="1" x14ac:dyDescent="0.25">
      <c r="A1" s="1" t="s">
        <v>2</v>
      </c>
      <c r="B1" s="1" t="s">
        <v>7</v>
      </c>
      <c r="C1" s="1" t="s">
        <v>22</v>
      </c>
      <c r="D1" s="1" t="s">
        <v>23</v>
      </c>
      <c r="E1" s="1" t="s">
        <v>11</v>
      </c>
      <c r="F1" s="1" t="s">
        <v>27</v>
      </c>
      <c r="G1" s="1" t="s">
        <v>17</v>
      </c>
      <c r="H1" s="1" t="s">
        <v>4</v>
      </c>
      <c r="I1" s="1" t="s">
        <v>0</v>
      </c>
      <c r="J1" s="1" t="s">
        <v>36</v>
      </c>
    </row>
    <row r="2" spans="1:10" x14ac:dyDescent="0.25">
      <c r="A2" s="2" t="s">
        <v>3</v>
      </c>
      <c r="B2" t="s">
        <v>24</v>
      </c>
      <c r="C2" s="2" t="s">
        <v>25</v>
      </c>
      <c r="D2" t="s">
        <v>29</v>
      </c>
      <c r="E2" t="s">
        <v>31</v>
      </c>
      <c r="F2" t="s">
        <v>32</v>
      </c>
      <c r="H2" t="s">
        <v>26</v>
      </c>
      <c r="I2" t="s">
        <v>26</v>
      </c>
    </row>
    <row r="3" spans="1:10" x14ac:dyDescent="0.25">
      <c r="A3" s="2" t="s">
        <v>8</v>
      </c>
      <c r="B3" s="2"/>
      <c r="F3" t="s">
        <v>28</v>
      </c>
    </row>
    <row r="4" spans="1:10" x14ac:dyDescent="0.25">
      <c r="A4" t="s">
        <v>5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5">
      <c r="A5" t="s">
        <v>114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19</v>
      </c>
      <c r="H5">
        <f>'Reference Values'!F4*4.2/1000</f>
        <v>7.2786000000000003E-2</v>
      </c>
      <c r="I5">
        <f>32*'Reference Values'!B18</f>
        <v>0.1152</v>
      </c>
      <c r="J5">
        <v>0.69769999999999999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tabSelected="1" zoomScale="115" zoomScaleNormal="115" workbookViewId="0">
      <selection activeCell="R19" sqref="R19"/>
    </sheetView>
  </sheetViews>
  <sheetFormatPr defaultColWidth="8.85546875" defaultRowHeight="15" x14ac:dyDescent="0.25"/>
  <cols>
    <col min="1" max="1" width="17" customWidth="1"/>
    <col min="2" max="2" width="14.42578125" bestFit="1" customWidth="1"/>
    <col min="3" max="3" width="13.42578125" bestFit="1" customWidth="1"/>
    <col min="4" max="4" width="11.42578125" customWidth="1"/>
    <col min="5" max="6" width="13.42578125" customWidth="1"/>
    <col min="9" max="9" width="13.85546875" bestFit="1" customWidth="1"/>
    <col min="10" max="10" width="12.28515625" customWidth="1"/>
    <col min="11" max="11" width="16" customWidth="1"/>
    <col min="15" max="15" width="15.42578125" bestFit="1" customWidth="1"/>
    <col min="17" max="17" width="8.42578125" customWidth="1"/>
    <col min="18" max="18" width="13.85546875" bestFit="1" customWidth="1"/>
  </cols>
  <sheetData>
    <row r="1" spans="1:18" ht="15.75" x14ac:dyDescent="0.25">
      <c r="A1" s="1" t="s">
        <v>2</v>
      </c>
      <c r="B1" s="6" t="s">
        <v>42</v>
      </c>
      <c r="C1" t="s">
        <v>11</v>
      </c>
      <c r="D1" t="s">
        <v>33</v>
      </c>
      <c r="E1" t="s">
        <v>34</v>
      </c>
      <c r="F1" t="s">
        <v>35</v>
      </c>
      <c r="G1" t="s">
        <v>17</v>
      </c>
      <c r="H1" t="s">
        <v>43</v>
      </c>
      <c r="I1" t="s">
        <v>10</v>
      </c>
      <c r="J1" s="46" t="s">
        <v>119</v>
      </c>
      <c r="K1" t="s">
        <v>0</v>
      </c>
      <c r="L1" t="s">
        <v>38</v>
      </c>
      <c r="M1" t="s">
        <v>39</v>
      </c>
      <c r="N1" t="s">
        <v>44</v>
      </c>
      <c r="O1" t="s">
        <v>115</v>
      </c>
      <c r="P1" t="s">
        <v>113</v>
      </c>
      <c r="Q1" t="s">
        <v>117</v>
      </c>
      <c r="R1" s="1" t="s">
        <v>1</v>
      </c>
    </row>
    <row r="2" spans="1:18" x14ac:dyDescent="0.25">
      <c r="A2" s="2" t="s">
        <v>3</v>
      </c>
      <c r="B2" t="s">
        <v>12</v>
      </c>
      <c r="C2" t="s">
        <v>12</v>
      </c>
      <c r="D2" t="s">
        <v>12</v>
      </c>
      <c r="E2" t="s">
        <v>14</v>
      </c>
      <c r="H2" t="s">
        <v>12</v>
      </c>
      <c r="I2" t="s">
        <v>12</v>
      </c>
      <c r="J2" t="s">
        <v>37</v>
      </c>
      <c r="K2" t="s">
        <v>37</v>
      </c>
      <c r="L2" t="s">
        <v>40</v>
      </c>
      <c r="M2" t="s">
        <v>41</v>
      </c>
      <c r="N2" t="s">
        <v>12</v>
      </c>
      <c r="O2" t="s">
        <v>116</v>
      </c>
      <c r="Q2" t="s">
        <v>118</v>
      </c>
      <c r="R2" t="s">
        <v>50</v>
      </c>
    </row>
    <row r="3" spans="1:18" x14ac:dyDescent="0.25">
      <c r="A3" s="2" t="s">
        <v>8</v>
      </c>
      <c r="B3" s="2" t="s">
        <v>107</v>
      </c>
    </row>
    <row r="4" spans="1:18" x14ac:dyDescent="0.25">
      <c r="A4" t="s">
        <v>5</v>
      </c>
      <c r="B4">
        <f>B5</f>
        <v>0.95</v>
      </c>
      <c r="C4">
        <f t="shared" ref="C4:N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0.14903799999999998</v>
      </c>
      <c r="K4">
        <f t="shared" si="0"/>
        <v>0.37331999999999999</v>
      </c>
      <c r="L4">
        <f t="shared" si="0"/>
        <v>0.66</v>
      </c>
      <c r="M4">
        <f t="shared" si="0"/>
        <v>0.57999999999999996</v>
      </c>
      <c r="N4">
        <f t="shared" si="0"/>
        <v>1.2999999999999999E-2</v>
      </c>
      <c r="O4" s="45">
        <f>O5</f>
        <v>7.0422535211267609E-2</v>
      </c>
      <c r="P4">
        <v>0</v>
      </c>
      <c r="Q4" s="45">
        <f>Q5</f>
        <v>0.33610350491808161</v>
      </c>
      <c r="R4">
        <f t="shared" ref="R4" si="1">R5</f>
        <v>4.7E-2</v>
      </c>
    </row>
    <row r="5" spans="1:18" x14ac:dyDescent="0.25">
      <c r="A5" t="s">
        <v>114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19</v>
      </c>
      <c r="H5">
        <f>0.1253+0.3518</f>
        <v>0.47709999999999997</v>
      </c>
      <c r="I5">
        <v>1.1200000000000001</v>
      </c>
      <c r="J5">
        <f>(8.6*'Reference Values'!F4+8*'Reference Values'!F7)/1000</f>
        <v>0.14903799999999998</v>
      </c>
      <c r="K5">
        <f>(98.8+4.9)*3.6/1000</f>
        <v>0.37331999999999999</v>
      </c>
      <c r="L5">
        <v>0.66</v>
      </c>
      <c r="M5">
        <v>0.57999999999999996</v>
      </c>
      <c r="N5">
        <v>1.2999999999999999E-2</v>
      </c>
      <c r="O5" s="45">
        <f>3/42.6</f>
        <v>7.0422535211267609E-2</v>
      </c>
      <c r="P5">
        <v>0</v>
      </c>
      <c r="Q5" s="45">
        <f>5.1489/(29.01*0.3548+33.07*0.152)</f>
        <v>0.33610350491808161</v>
      </c>
      <c r="R5">
        <v>4.7E-2</v>
      </c>
    </row>
    <row r="6" spans="1:18" x14ac:dyDescent="0.25">
      <c r="A6" t="s">
        <v>112</v>
      </c>
      <c r="B6">
        <v>0.95</v>
      </c>
      <c r="C6">
        <v>0.2586</v>
      </c>
      <c r="D6">
        <v>0.152</v>
      </c>
      <c r="E6">
        <v>0</v>
      </c>
      <c r="F6">
        <v>0</v>
      </c>
      <c r="G6" t="s">
        <v>19</v>
      </c>
      <c r="H6">
        <f>0.1253+0.3526</f>
        <v>0.47789999999999999</v>
      </c>
      <c r="I6">
        <v>1.095</v>
      </c>
      <c r="J6" s="44">
        <f>0.7447*(973.5/1000)</f>
        <v>0.72496545000000001</v>
      </c>
      <c r="K6">
        <f>(29.8*(973.5/1000))*'Reference Values'!B18</f>
        <v>0.10443708</v>
      </c>
      <c r="L6">
        <v>0.66</v>
      </c>
      <c r="M6">
        <v>0.57999999999999996</v>
      </c>
      <c r="N6">
        <v>5.7999999999999996E-3</v>
      </c>
      <c r="O6" s="45">
        <f>O5</f>
        <v>7.0422535211267609E-2</v>
      </c>
      <c r="P6">
        <v>9.4799999999999995E-2</v>
      </c>
      <c r="Q6" s="45"/>
      <c r="R6">
        <v>4.7E-2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opLeftCell="D1" zoomScale="120" zoomScaleNormal="120" workbookViewId="0">
      <selection activeCell="H4" sqref="H4"/>
    </sheetView>
  </sheetViews>
  <sheetFormatPr defaultColWidth="8.85546875" defaultRowHeight="15" x14ac:dyDescent="0.25"/>
  <cols>
    <col min="1" max="1" width="11.28515625" bestFit="1" customWidth="1"/>
    <col min="2" max="2" width="11.28515625" customWidth="1"/>
    <col min="3" max="3" width="11.42578125" bestFit="1" customWidth="1"/>
    <col min="4" max="4" width="13.85546875" bestFit="1" customWidth="1"/>
    <col min="5" max="5" width="15.7109375" bestFit="1" customWidth="1"/>
    <col min="6" max="6" width="18.28515625" customWidth="1"/>
    <col min="7" max="7" width="20.140625" customWidth="1"/>
  </cols>
  <sheetData>
    <row r="1" spans="1:9" x14ac:dyDescent="0.25">
      <c r="A1" s="1" t="s">
        <v>2</v>
      </c>
      <c r="B1" s="1" t="s">
        <v>48</v>
      </c>
      <c r="C1" s="1" t="s">
        <v>13</v>
      </c>
      <c r="D1" s="1" t="s">
        <v>1</v>
      </c>
      <c r="E1" s="1" t="s">
        <v>0</v>
      </c>
      <c r="F1" s="1" t="s">
        <v>61</v>
      </c>
      <c r="G1" s="1" t="s">
        <v>45</v>
      </c>
      <c r="H1" s="1" t="s">
        <v>52</v>
      </c>
      <c r="I1" s="1" t="s">
        <v>53</v>
      </c>
    </row>
    <row r="2" spans="1:9" x14ac:dyDescent="0.25">
      <c r="A2" s="2" t="s">
        <v>3</v>
      </c>
      <c r="B2" s="2" t="s">
        <v>49</v>
      </c>
      <c r="C2" t="s">
        <v>47</v>
      </c>
      <c r="D2" t="s">
        <v>50</v>
      </c>
      <c r="E2" t="s">
        <v>60</v>
      </c>
      <c r="F2" t="s">
        <v>60</v>
      </c>
      <c r="G2" t="s">
        <v>46</v>
      </c>
      <c r="H2" t="s">
        <v>51</v>
      </c>
      <c r="I2" t="s">
        <v>54</v>
      </c>
    </row>
    <row r="3" spans="1:9" x14ac:dyDescent="0.25">
      <c r="A3" s="2" t="s">
        <v>8</v>
      </c>
      <c r="B3" s="2"/>
    </row>
    <row r="4" spans="1:9" x14ac:dyDescent="0.25">
      <c r="A4" t="s">
        <v>5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5">
      <c r="A5" t="s">
        <v>114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0" zoomScaleNormal="130" workbookViewId="0">
      <selection activeCell="F10" sqref="F10"/>
    </sheetView>
  </sheetViews>
  <sheetFormatPr defaultColWidth="8.85546875" defaultRowHeight="15" x14ac:dyDescent="0.25"/>
  <cols>
    <col min="1" max="1" width="11.28515625" bestFit="1" customWidth="1"/>
    <col min="2" max="6" width="11.28515625" customWidth="1"/>
    <col min="7" max="7" width="11.42578125" bestFit="1" customWidth="1"/>
    <col min="8" max="8" width="13.85546875" bestFit="1" customWidth="1"/>
    <col min="9" max="9" width="16.7109375" bestFit="1" customWidth="1"/>
    <col min="10" max="10" width="15.7109375" bestFit="1" customWidth="1"/>
    <col min="11" max="11" width="24.85546875" bestFit="1" customWidth="1"/>
  </cols>
  <sheetData>
    <row r="1" spans="1:11" x14ac:dyDescent="0.25">
      <c r="A1" s="3" t="s">
        <v>2</v>
      </c>
      <c r="B1" s="3" t="s">
        <v>106</v>
      </c>
      <c r="C1" s="3" t="s">
        <v>101</v>
      </c>
      <c r="D1" s="3" t="s">
        <v>108</v>
      </c>
      <c r="E1" s="3" t="s">
        <v>0</v>
      </c>
      <c r="F1" s="3" t="s">
        <v>4</v>
      </c>
      <c r="G1" s="1" t="s">
        <v>53</v>
      </c>
      <c r="H1" s="1" t="s">
        <v>45</v>
      </c>
      <c r="I1" s="1" t="s">
        <v>52</v>
      </c>
      <c r="J1" s="1"/>
      <c r="K1" s="1"/>
    </row>
    <row r="2" spans="1:11" x14ac:dyDescent="0.25">
      <c r="A2" s="4" t="s">
        <v>3</v>
      </c>
      <c r="B2" s="4" t="s">
        <v>105</v>
      </c>
      <c r="C2" s="4" t="s">
        <v>102</v>
      </c>
      <c r="D2" s="4" t="s">
        <v>103</v>
      </c>
      <c r="E2" s="4" t="s">
        <v>104</v>
      </c>
      <c r="F2" s="4" t="s">
        <v>120</v>
      </c>
      <c r="G2" t="s">
        <v>57</v>
      </c>
      <c r="H2" t="s">
        <v>58</v>
      </c>
      <c r="I2" t="s">
        <v>59</v>
      </c>
    </row>
    <row r="3" spans="1:11" x14ac:dyDescent="0.25">
      <c r="A3" s="4" t="s">
        <v>8</v>
      </c>
      <c r="B3" s="4"/>
      <c r="C3" s="4"/>
      <c r="D3" s="4"/>
      <c r="E3" s="4"/>
      <c r="F3" s="4"/>
    </row>
    <row r="4" spans="1:11" x14ac:dyDescent="0.25">
      <c r="A4" s="5" t="s">
        <v>5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>F5</f>
        <v>0.25147259999999999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5">
      <c r="A5" t="s">
        <v>114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0.2322*(1.083)</f>
        <v>0.25147259999999999</v>
      </c>
      <c r="G5">
        <f>2.1*'Reference Values'!C12</f>
        <v>2.9980137414116173E-3</v>
      </c>
      <c r="H5">
        <v>5.0000000000000001E-3</v>
      </c>
      <c r="I5">
        <v>1</v>
      </c>
    </row>
    <row r="6" spans="1:11" x14ac:dyDescent="0.25">
      <c r="A6" t="s">
        <v>121</v>
      </c>
      <c r="B6">
        <v>0.01</v>
      </c>
      <c r="C6">
        <v>1.55E-2</v>
      </c>
      <c r="D6">
        <v>1E-3</v>
      </c>
      <c r="E6">
        <f>25*'Reference Values'!B18/1000</f>
        <v>8.9999999999999992E-5</v>
      </c>
      <c r="F6">
        <f>0.9*'Reference Values'!F4/1000</f>
        <v>1.5597E-2</v>
      </c>
      <c r="G6">
        <f>2.1*'Reference Values'!C13</f>
        <v>0</v>
      </c>
      <c r="H6">
        <v>5.0000000000000001E-3</v>
      </c>
      <c r="I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40" workbookViewId="0">
      <selection activeCell="D5" sqref="D5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s="1" t="s">
        <v>2</v>
      </c>
      <c r="B1" t="s">
        <v>56</v>
      </c>
      <c r="C1" t="s">
        <v>0</v>
      </c>
      <c r="D1" t="s">
        <v>4</v>
      </c>
      <c r="E1" t="s">
        <v>53</v>
      </c>
    </row>
    <row r="2" spans="1:5" x14ac:dyDescent="0.25">
      <c r="A2" s="2" t="s">
        <v>3</v>
      </c>
      <c r="B2" t="s">
        <v>55</v>
      </c>
      <c r="C2" t="s">
        <v>110</v>
      </c>
      <c r="D2" t="s">
        <v>111</v>
      </c>
      <c r="E2" t="s">
        <v>57</v>
      </c>
    </row>
    <row r="3" spans="1:5" x14ac:dyDescent="0.25">
      <c r="A3" s="2" t="s">
        <v>8</v>
      </c>
    </row>
    <row r="4" spans="1:5" x14ac:dyDescent="0.25">
      <c r="A4" t="s">
        <v>5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5">
      <c r="A5" t="s">
        <v>114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F5" sqref="F5"/>
    </sheetView>
  </sheetViews>
  <sheetFormatPr defaultColWidth="11.42578125" defaultRowHeight="15" x14ac:dyDescent="0.25"/>
  <cols>
    <col min="2" max="2" width="8" customWidth="1"/>
    <col min="3" max="3" width="7.7109375" bestFit="1" customWidth="1"/>
    <col min="6" max="6" width="12.42578125" bestFit="1" customWidth="1"/>
    <col min="7" max="7" width="6" bestFit="1" customWidth="1"/>
    <col min="8" max="8" width="7.7109375" bestFit="1" customWidth="1"/>
    <col min="9" max="9" width="5.7109375" bestFit="1" customWidth="1"/>
  </cols>
  <sheetData>
    <row r="1" spans="1:10" x14ac:dyDescent="0.25">
      <c r="A1" s="1" t="s">
        <v>88</v>
      </c>
      <c r="E1" s="1" t="s">
        <v>89</v>
      </c>
    </row>
    <row r="2" spans="1:10" x14ac:dyDescent="0.25">
      <c r="A2" s="1" t="s">
        <v>77</v>
      </c>
      <c r="E2" s="18" t="s">
        <v>99</v>
      </c>
      <c r="F2" s="10"/>
      <c r="G2" s="10"/>
      <c r="H2" s="10"/>
    </row>
    <row r="3" spans="1:10" x14ac:dyDescent="0.25">
      <c r="A3" s="17"/>
      <c r="B3" s="41" t="s">
        <v>78</v>
      </c>
      <c r="C3" s="37" t="s">
        <v>98</v>
      </c>
      <c r="E3" s="33" t="s">
        <v>76</v>
      </c>
      <c r="F3" s="34" t="s">
        <v>100</v>
      </c>
      <c r="G3" s="34" t="s">
        <v>78</v>
      </c>
      <c r="H3" s="34" t="s">
        <v>98</v>
      </c>
      <c r="I3" s="35" t="s">
        <v>75</v>
      </c>
      <c r="J3" s="36" t="s">
        <v>91</v>
      </c>
    </row>
    <row r="4" spans="1:10" x14ac:dyDescent="0.25">
      <c r="A4" s="9" t="s">
        <v>82</v>
      </c>
      <c r="B4" s="39">
        <v>12</v>
      </c>
      <c r="C4" s="43">
        <f>(B4*$B$19)/1000/1000</f>
        <v>5.3537967341839917E-4</v>
      </c>
      <c r="E4" s="20" t="s">
        <v>74</v>
      </c>
      <c r="F4" s="19">
        <v>17.329999999999998</v>
      </c>
      <c r="G4" s="25">
        <f>(0.2304*B5)+(0.5953*B8)+(0.0384*B6)+(0.0096*B7)+(0.0576*B11)+(0.0019*B12)+(0.0398*B9)+(0.0269*B10)</f>
        <v>11.269190558666665</v>
      </c>
      <c r="H4" s="23">
        <f>(G4*$B$19)/1000/1000</f>
        <v>5.0277463008238893E-4</v>
      </c>
      <c r="I4" s="26">
        <f>1000/(G4*$B$19) *F4</f>
        <v>34.468724082518165</v>
      </c>
      <c r="J4" s="25" t="s">
        <v>93</v>
      </c>
    </row>
    <row r="5" spans="1:10" x14ac:dyDescent="0.25">
      <c r="A5" s="9" t="s">
        <v>79</v>
      </c>
      <c r="B5" s="39">
        <v>16.042459999999998</v>
      </c>
      <c r="C5" s="43">
        <f t="shared" ref="C5:C12" si="0">(B5*$B$19)/1000/1000</f>
        <v>7.1573391630231102E-4</v>
      </c>
      <c r="E5" s="20" t="s">
        <v>73</v>
      </c>
      <c r="F5" s="19">
        <v>3.2</v>
      </c>
      <c r="G5" s="25">
        <f>0.0363*B8+0.2234*B6+0.221*B7+0.4877*B11+0.0315*B9</f>
        <v>30.286348783999998</v>
      </c>
      <c r="H5" s="23">
        <f>(G5*$B$19)/1000/1000</f>
        <v>1.3512246267511374E-3</v>
      </c>
      <c r="I5" s="26">
        <f>1000/(G5*$B$19) *F5</f>
        <v>2.3682220828775362</v>
      </c>
      <c r="J5" s="25" t="s">
        <v>92</v>
      </c>
    </row>
    <row r="6" spans="1:10" x14ac:dyDescent="0.25">
      <c r="A6" s="9" t="s">
        <v>80</v>
      </c>
      <c r="B6" s="39">
        <v>28.010100000000001</v>
      </c>
      <c r="C6" s="43">
        <f t="shared" si="0"/>
        <v>1.2496698492013921E-3</v>
      </c>
      <c r="E6" s="20" t="s">
        <v>72</v>
      </c>
      <c r="F6" s="19">
        <v>7.47</v>
      </c>
      <c r="G6" s="25">
        <f>0.0264*B8+0.5692*B6+0.1444*B7*0.1383*B11+0.1216*B9</f>
        <v>42.807996159159202</v>
      </c>
      <c r="H6" s="23">
        <f>(G6*$B$19)/1000/1000</f>
        <v>1.9098775836155618E-3</v>
      </c>
      <c r="I6" s="26">
        <f>1000/(G6*$B$19) *F6</f>
        <v>3.9112454453016037</v>
      </c>
      <c r="J6" s="25" t="s">
        <v>92</v>
      </c>
    </row>
    <row r="7" spans="1:10" x14ac:dyDescent="0.25">
      <c r="A7" s="9" t="s">
        <v>81</v>
      </c>
      <c r="B7" s="39">
        <v>44.009500000000003</v>
      </c>
      <c r="C7" s="43">
        <f t="shared" si="0"/>
        <v>1.963482644775587E-3</v>
      </c>
      <c r="E7" s="21" t="s">
        <v>71</v>
      </c>
      <c r="F7" s="22"/>
      <c r="G7" s="27"/>
      <c r="H7" s="24">
        <f>C9</f>
        <v>8.0375122691175155E-4</v>
      </c>
      <c r="I7" s="28">
        <v>2.77</v>
      </c>
      <c r="J7" s="25" t="s">
        <v>94</v>
      </c>
    </row>
    <row r="8" spans="1:10" x14ac:dyDescent="0.25">
      <c r="A8" s="9" t="s">
        <v>83</v>
      </c>
      <c r="B8" s="39">
        <v>2.0158800000000001</v>
      </c>
      <c r="C8" s="43">
        <f t="shared" si="0"/>
        <v>8.9938431337556905E-5</v>
      </c>
      <c r="E8" s="10"/>
      <c r="F8" s="10"/>
      <c r="G8" s="10"/>
      <c r="H8" s="10"/>
    </row>
    <row r="9" spans="1:10" x14ac:dyDescent="0.25">
      <c r="A9" s="9" t="s">
        <v>84</v>
      </c>
      <c r="B9" s="39">
        <v>18.015280000000001</v>
      </c>
      <c r="C9" s="43">
        <f t="shared" si="0"/>
        <v>8.0375122691175155E-4</v>
      </c>
      <c r="E9" s="18" t="s">
        <v>70</v>
      </c>
      <c r="F9" s="10"/>
      <c r="G9" s="10"/>
      <c r="H9" s="10"/>
    </row>
    <row r="10" spans="1:10" x14ac:dyDescent="0.25">
      <c r="A10" s="9" t="s">
        <v>85</v>
      </c>
      <c r="B10" s="39">
        <f>(78.12+92.15+106.7)/3</f>
        <v>92.323333333333338</v>
      </c>
      <c r="C10" s="43">
        <f t="shared" si="0"/>
        <v>4.1190030040748338E-3</v>
      </c>
      <c r="E10" s="17"/>
      <c r="F10" s="7" t="s">
        <v>69</v>
      </c>
      <c r="G10" s="7" t="s">
        <v>68</v>
      </c>
      <c r="H10" s="8" t="s">
        <v>67</v>
      </c>
    </row>
    <row r="11" spans="1:10" x14ac:dyDescent="0.25">
      <c r="A11" s="9" t="s">
        <v>86</v>
      </c>
      <c r="B11" s="39">
        <v>28.013400000000001</v>
      </c>
      <c r="C11" s="43">
        <f t="shared" si="0"/>
        <v>1.2498170786115822E-3</v>
      </c>
      <c r="E11" s="9" t="s">
        <v>66</v>
      </c>
      <c r="F11" s="12">
        <v>0.57879999999999998</v>
      </c>
      <c r="G11" s="10"/>
      <c r="H11" s="13">
        <v>9.4E-2</v>
      </c>
    </row>
    <row r="12" spans="1:10" x14ac:dyDescent="0.25">
      <c r="A12" s="9" t="s">
        <v>87</v>
      </c>
      <c r="B12" s="39">
        <v>31.998799999999999</v>
      </c>
      <c r="C12" s="43">
        <f t="shared" si="0"/>
        <v>1.4276255911483892E-3</v>
      </c>
      <c r="E12" s="9" t="s">
        <v>65</v>
      </c>
      <c r="F12" s="12">
        <v>0.94240000000000002</v>
      </c>
      <c r="G12" s="12">
        <v>4.65E-2</v>
      </c>
      <c r="H12" s="11"/>
    </row>
    <row r="13" spans="1:10" x14ac:dyDescent="0.25">
      <c r="A13" s="14"/>
      <c r="B13" s="42"/>
      <c r="C13" s="31"/>
      <c r="E13" s="9" t="s">
        <v>64</v>
      </c>
      <c r="F13" s="12">
        <v>0.99909999999999999</v>
      </c>
      <c r="G13" s="12">
        <v>4.0000000000000002E-4</v>
      </c>
      <c r="H13" s="11"/>
    </row>
    <row r="14" spans="1:10" x14ac:dyDescent="0.25">
      <c r="B14" s="32"/>
      <c r="C14" s="32"/>
      <c r="E14" s="9" t="s">
        <v>63</v>
      </c>
      <c r="F14" s="12">
        <v>0.98729999999999996</v>
      </c>
      <c r="G14" s="12">
        <v>1.1999999999999999E-3</v>
      </c>
      <c r="H14" s="11"/>
    </row>
    <row r="15" spans="1:10" x14ac:dyDescent="0.25">
      <c r="A15" s="1" t="s">
        <v>90</v>
      </c>
      <c r="B15" s="32"/>
      <c r="C15" s="32"/>
      <c r="E15" s="14" t="s">
        <v>62</v>
      </c>
      <c r="F15" s="15"/>
      <c r="G15" s="15"/>
      <c r="H15" s="16">
        <v>0.4</v>
      </c>
    </row>
    <row r="16" spans="1:10" x14ac:dyDescent="0.25">
      <c r="A16" s="17"/>
      <c r="B16" s="38" t="s">
        <v>95</v>
      </c>
      <c r="C16" s="40"/>
    </row>
    <row r="17" spans="1:3" x14ac:dyDescent="0.25">
      <c r="A17" s="9" t="s">
        <v>96</v>
      </c>
      <c r="B17" s="30">
        <v>3.6</v>
      </c>
      <c r="C17" s="39"/>
    </row>
    <row r="18" spans="1:3" x14ac:dyDescent="0.25">
      <c r="A18" s="9" t="s">
        <v>109</v>
      </c>
      <c r="B18" s="29">
        <f>B17/1000</f>
        <v>3.5999999999999999E-3</v>
      </c>
      <c r="C18" s="39"/>
    </row>
    <row r="19" spans="1:3" x14ac:dyDescent="0.25">
      <c r="A19" s="14" t="s">
        <v>97</v>
      </c>
      <c r="B19" s="31">
        <f>1/0.022414</f>
        <v>44.614972784866602</v>
      </c>
      <c r="C1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2019-05-02T19:09:33Z</dcterms:modified>
</cp:coreProperties>
</file>