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Industry-NETs-Paper/data/chemicals/"/>
    </mc:Choice>
  </mc:AlternateContent>
  <xr:revisionPtr revIDLastSave="0" documentId="13_ncr:1_{DE3855F9-A8C7-B748-84DB-3864AC8CB9F3}" xr6:coauthVersionLast="46" xr6:coauthVersionMax="46" xr10:uidLastSave="{00000000-0000-0000-0000-000000000000}"/>
  <bookViews>
    <workbookView xWindow="820" yWindow="460" windowWidth="27980" windowHeight="17540" activeTab="1" xr2:uid="{1483755D-88C4-4C40-84D3-8DC236B12E83}"/>
  </bookViews>
  <sheets>
    <sheet name="lth-box" sheetId="16" r:id="rId1"/>
    <sheet name="eth-box" sheetId="1" r:id="rId2"/>
    <sheet name="eth-stoich" sheetId="2" r:id="rId3"/>
    <sheet name="digestate" sheetId="12" r:id="rId4"/>
    <sheet name="NH3-box" sheetId="4" r:id="rId5"/>
    <sheet name="NH3-stoich" sheetId="6" r:id="rId6"/>
    <sheet name="NH3-split" sheetId="13" r:id="rId7"/>
    <sheet name="urea" sheetId="8" r:id="rId8"/>
    <sheet name="biogas" sheetId="10" r:id="rId9"/>
    <sheet name="biomethane" sheetId="9" r:id="rId10"/>
    <sheet name="H2" sheetId="14" r:id="rId11"/>
    <sheet name="Sheet1" sheetId="15" r:id="rId12"/>
    <sheet name="Ref" sheetId="7" r:id="rId13"/>
  </sheets>
  <externalReferences>
    <externalReference r:id="rId14"/>
  </externalReferences>
  <definedNames>
    <definedName name="title11">[1]Title!$F$18</definedName>
    <definedName name="title115">[1]Title!$F$122</definedName>
    <definedName name="title116">[1]Title!$F$123</definedName>
    <definedName name="title9">[1]Title!$F$16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6" l="1"/>
  <c r="H10" i="16"/>
  <c r="C9" i="8"/>
  <c r="C8" i="8"/>
  <c r="D9" i="8"/>
  <c r="D8" i="8"/>
  <c r="N13" i="6"/>
  <c r="L10" i="16"/>
  <c r="C12" i="1" l="1"/>
  <c r="N8" i="1" l="1"/>
  <c r="M8" i="1"/>
  <c r="L8" i="1"/>
  <c r="K8" i="1"/>
  <c r="J8" i="1"/>
  <c r="I8" i="1"/>
  <c r="H8" i="1"/>
  <c r="E8" i="1"/>
  <c r="D8" i="1"/>
  <c r="C8" i="1"/>
  <c r="N10" i="1"/>
  <c r="M10" i="1"/>
  <c r="L10" i="1"/>
  <c r="K10" i="1"/>
  <c r="J10" i="1"/>
  <c r="I10" i="1"/>
  <c r="H10" i="1"/>
  <c r="E10" i="1"/>
  <c r="D10" i="1"/>
  <c r="C10" i="1"/>
  <c r="L14" i="16"/>
  <c r="K14" i="16"/>
  <c r="J14" i="16"/>
  <c r="I14" i="16"/>
  <c r="H14" i="16"/>
  <c r="G14" i="16"/>
  <c r="E14" i="16"/>
  <c r="D14" i="16"/>
  <c r="C14" i="16"/>
  <c r="L13" i="16"/>
  <c r="E13" i="16"/>
  <c r="D13" i="16"/>
  <c r="C13" i="16"/>
  <c r="L12" i="16"/>
  <c r="G12" i="16"/>
  <c r="E12" i="16"/>
  <c r="C12" i="16"/>
  <c r="N11" i="16"/>
  <c r="L11" i="16"/>
  <c r="J11" i="16"/>
  <c r="I11" i="16"/>
  <c r="G11" i="16"/>
  <c r="F11" i="16"/>
  <c r="D11" i="16"/>
  <c r="C11" i="16"/>
  <c r="N10" i="16"/>
  <c r="J10" i="16"/>
  <c r="I10" i="16"/>
  <c r="G10" i="16"/>
  <c r="F10" i="16"/>
  <c r="D10" i="16"/>
  <c r="C10" i="16"/>
  <c r="N9" i="16"/>
  <c r="L9" i="16"/>
  <c r="K9" i="16"/>
  <c r="I9" i="16"/>
  <c r="G9" i="16"/>
  <c r="F9" i="16"/>
  <c r="C9" i="16"/>
  <c r="N8" i="16"/>
  <c r="M8" i="16"/>
  <c r="L8" i="16"/>
  <c r="K8" i="16"/>
  <c r="J8" i="16"/>
  <c r="I8" i="16"/>
  <c r="H8" i="16"/>
  <c r="E8" i="16"/>
  <c r="D8" i="16"/>
  <c r="C8" i="16"/>
  <c r="N7" i="16"/>
  <c r="M7" i="16"/>
  <c r="L7" i="16"/>
  <c r="J7" i="16"/>
  <c r="I7" i="16"/>
  <c r="H7" i="16"/>
  <c r="G7" i="16"/>
  <c r="F7" i="16"/>
  <c r="D7" i="16"/>
  <c r="C7" i="16"/>
  <c r="N6" i="16"/>
  <c r="M6" i="16"/>
  <c r="L6" i="16"/>
  <c r="J6" i="16"/>
  <c r="I6" i="16"/>
  <c r="H6" i="16"/>
  <c r="G6" i="16"/>
  <c r="F6" i="16"/>
  <c r="D6" i="16"/>
  <c r="C6" i="16"/>
  <c r="N5" i="16"/>
  <c r="L5" i="16"/>
  <c r="J5" i="16"/>
  <c r="I5" i="16"/>
  <c r="H5" i="16"/>
  <c r="G5" i="16"/>
  <c r="F5" i="16"/>
  <c r="D5" i="16"/>
  <c r="C5" i="16"/>
  <c r="M4" i="16"/>
  <c r="L4" i="16"/>
  <c r="K4" i="16"/>
  <c r="J4" i="16"/>
  <c r="I4" i="16"/>
  <c r="H4" i="16"/>
  <c r="G4" i="16"/>
  <c r="E4" i="16"/>
  <c r="D4" i="16"/>
  <c r="C4" i="16"/>
  <c r="D9" i="1" l="1"/>
  <c r="C9" i="1"/>
  <c r="C13" i="1"/>
  <c r="L14" i="1" l="1"/>
  <c r="K14" i="1"/>
  <c r="J14" i="1"/>
  <c r="I14" i="1"/>
  <c r="H14" i="1"/>
  <c r="G14" i="1"/>
  <c r="E14" i="1"/>
  <c r="D14" i="1"/>
  <c r="C14" i="1"/>
  <c r="M4" i="1"/>
  <c r="L13" i="1" l="1"/>
  <c r="E13" i="1"/>
  <c r="D13" i="1"/>
  <c r="E9" i="1"/>
  <c r="E12" i="1"/>
  <c r="L12" i="1" l="1"/>
  <c r="G12" i="1"/>
  <c r="H25" i="9" l="1"/>
  <c r="K15" i="6"/>
  <c r="E15" i="6"/>
  <c r="D15" i="6"/>
  <c r="G4" i="15" l="1"/>
  <c r="O6" i="14" l="1"/>
  <c r="N6" i="14"/>
  <c r="O5" i="14"/>
  <c r="N5" i="14"/>
  <c r="K15" i="10" l="1"/>
  <c r="K14" i="10"/>
  <c r="H24" i="9"/>
  <c r="H23" i="9"/>
  <c r="E6" i="14" l="1"/>
  <c r="C6" i="14"/>
  <c r="D6" i="14" s="1"/>
  <c r="E5" i="14"/>
  <c r="C5" i="14"/>
  <c r="D5" i="14" s="1"/>
  <c r="J4" i="14"/>
  <c r="I4" i="14"/>
  <c r="E4" i="14"/>
  <c r="C4" i="14"/>
  <c r="D4" i="14" s="1"/>
  <c r="J5" i="14" l="1"/>
  <c r="J6" i="14"/>
  <c r="F20" i="9"/>
  <c r="H20" i="9"/>
  <c r="E20" i="9"/>
  <c r="C20" i="9"/>
  <c r="B20" i="9"/>
  <c r="H21" i="9"/>
  <c r="E8" i="8" l="1"/>
  <c r="E9" i="8"/>
  <c r="K10" i="6"/>
  <c r="K14" i="6"/>
  <c r="K13" i="6"/>
  <c r="D13" i="6" l="1"/>
  <c r="L4" i="1" l="1"/>
  <c r="L5" i="1"/>
  <c r="L6" i="1"/>
  <c r="L7" i="1"/>
  <c r="L9" i="1"/>
  <c r="L11" i="1"/>
  <c r="N11" i="1" l="1"/>
  <c r="K11" i="1"/>
  <c r="I11" i="1"/>
  <c r="G11" i="1"/>
  <c r="F11" i="1"/>
  <c r="C11" i="1"/>
  <c r="N9" i="1"/>
  <c r="M9" i="1"/>
  <c r="K9" i="1"/>
  <c r="J9" i="1"/>
  <c r="I9" i="1"/>
  <c r="H9" i="1"/>
  <c r="F7" i="1" l="1"/>
  <c r="F5" i="1"/>
  <c r="F6" i="1"/>
  <c r="D6" i="1"/>
  <c r="D7" i="1"/>
  <c r="C7" i="1"/>
  <c r="C6" i="1"/>
  <c r="D5" i="1"/>
  <c r="C5" i="1"/>
  <c r="M7" i="1" l="1"/>
  <c r="N7" i="1"/>
  <c r="J7" i="1"/>
  <c r="I7" i="1"/>
  <c r="H7" i="1"/>
  <c r="G7" i="1"/>
  <c r="N6" i="1"/>
  <c r="M6" i="1"/>
  <c r="J6" i="1"/>
  <c r="I6" i="1"/>
  <c r="H6" i="1"/>
  <c r="G6" i="1"/>
  <c r="N5" i="1"/>
  <c r="J5" i="1"/>
  <c r="I5" i="1"/>
  <c r="H5" i="1"/>
  <c r="G5" i="1"/>
  <c r="B9" i="8" l="1"/>
  <c r="B8" i="8"/>
  <c r="H22" i="9" l="1"/>
  <c r="K13" i="10"/>
  <c r="K12" i="10"/>
  <c r="K6" i="6" l="1"/>
  <c r="E14" i="6"/>
  <c r="D14" i="6"/>
  <c r="E13" i="6"/>
  <c r="K6" i="2" l="1"/>
  <c r="K5" i="2"/>
  <c r="K4" i="2"/>
  <c r="L6" i="2"/>
  <c r="L5" i="2"/>
  <c r="L4" i="2"/>
  <c r="H8" i="9" l="1"/>
  <c r="D7" i="6"/>
  <c r="E7" i="6"/>
  <c r="E7" i="8"/>
  <c r="E6" i="8"/>
  <c r="J12" i="6"/>
  <c r="E12" i="6"/>
  <c r="D12" i="6"/>
  <c r="K10" i="10"/>
  <c r="K9" i="10"/>
  <c r="K8" i="10"/>
  <c r="K6" i="10"/>
  <c r="K5" i="10"/>
  <c r="K4" i="10"/>
  <c r="I7" i="4"/>
  <c r="H7" i="4"/>
  <c r="G7" i="4"/>
  <c r="F7" i="4"/>
  <c r="E7" i="4"/>
  <c r="D7" i="4"/>
  <c r="C7" i="4"/>
  <c r="B7" i="4"/>
  <c r="H9" i="9"/>
  <c r="G9" i="9"/>
  <c r="G13" i="9"/>
  <c r="G6" i="9"/>
  <c r="H10" i="9"/>
  <c r="H6" i="9"/>
  <c r="H5" i="9"/>
  <c r="H7" i="9"/>
  <c r="C10" i="9"/>
  <c r="C6" i="9"/>
  <c r="C7" i="9"/>
  <c r="C8" i="9"/>
  <c r="H12" i="9"/>
  <c r="G16" i="9"/>
  <c r="H16" i="9"/>
  <c r="H15" i="9"/>
  <c r="C14" i="9"/>
  <c r="C13" i="9"/>
  <c r="C12" i="9"/>
  <c r="C11" i="9"/>
  <c r="C5" i="9"/>
  <c r="H11" i="9"/>
  <c r="H13" i="9"/>
  <c r="H14" i="9"/>
  <c r="E11" i="10"/>
  <c r="F11" i="10"/>
  <c r="M11" i="10"/>
  <c r="K11" i="10" s="1"/>
  <c r="D11" i="10"/>
  <c r="F10" i="10"/>
  <c r="N9" i="10"/>
  <c r="N10" i="10"/>
  <c r="M10" i="10"/>
  <c r="L10" i="10"/>
  <c r="D10" i="10"/>
  <c r="F9" i="10"/>
  <c r="M9" i="10"/>
  <c r="L9" i="10"/>
  <c r="D9" i="10"/>
  <c r="F8" i="10"/>
  <c r="E8" i="10"/>
  <c r="D8" i="10"/>
  <c r="L7" i="10"/>
  <c r="K7" i="10" s="1"/>
  <c r="D7" i="10"/>
  <c r="E6" i="10"/>
  <c r="D6" i="10"/>
  <c r="F6" i="10"/>
  <c r="F5" i="10"/>
  <c r="J5" i="10"/>
  <c r="I5" i="10"/>
  <c r="E5" i="10"/>
  <c r="E11" i="6"/>
  <c r="D11" i="6"/>
  <c r="E10" i="6"/>
  <c r="D10" i="6"/>
  <c r="E5" i="8"/>
  <c r="C4" i="8"/>
  <c r="B4" i="8"/>
  <c r="D9" i="6"/>
  <c r="D8" i="6"/>
  <c r="D6" i="6"/>
  <c r="D5" i="6"/>
  <c r="D4" i="6"/>
  <c r="E6" i="6"/>
  <c r="J5" i="6"/>
  <c r="K5" i="6"/>
  <c r="J4" i="6"/>
  <c r="B4" i="4"/>
  <c r="K4" i="6"/>
  <c r="C6" i="4"/>
  <c r="B6" i="4"/>
  <c r="H5" i="4"/>
  <c r="F5" i="4"/>
  <c r="F4" i="4"/>
  <c r="C5" i="4"/>
  <c r="B5" i="4"/>
  <c r="C4" i="4"/>
  <c r="I5" i="4"/>
  <c r="G5" i="4"/>
  <c r="E5" i="4"/>
  <c r="D5" i="4"/>
  <c r="I4" i="4"/>
  <c r="D4" i="4"/>
  <c r="H4" i="4"/>
  <c r="G4" i="4"/>
  <c r="E4" i="4"/>
  <c r="K4" i="1"/>
  <c r="J4" i="1"/>
  <c r="I4" i="1"/>
  <c r="H4" i="1"/>
  <c r="G4" i="1"/>
  <c r="D4" i="1"/>
  <c r="E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571902C6-739C-7044-B221-0351416B9B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1089 wet biomass mass</t>
        </r>
      </text>
    </comment>
    <comment ref="A8" authorId="0" shapeId="0" xr:uid="{A0DD0CEE-E3D9-384D-B4F6-A6D6079B88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
</t>
        </r>
        <r>
          <rPr>
            <sz val="10"/>
            <color rgb="FF000000"/>
            <rFont val="Tahoma"/>
            <family val="2"/>
          </rPr>
          <t xml:space="preserve"> 411/8959 gasoline (denat)
</t>
        </r>
        <r>
          <rPr>
            <sz val="10"/>
            <color rgb="FF000000"/>
            <rFont val="Tahoma"/>
            <family val="2"/>
          </rPr>
          <t xml:space="preserve">147/8959 caustic
</t>
        </r>
        <r>
          <rPr>
            <sz val="10"/>
            <color rgb="FF000000"/>
            <rFont val="Tahoma"/>
            <family val="2"/>
          </rPr>
          <t xml:space="preserve">35/8959 lime
</t>
        </r>
      </text>
    </comment>
    <comment ref="C8" authorId="0" shapeId="0" xr:uid="{0E4CAF6F-D414-184D-8012-FEE1F4573A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Corn Feedstock is 15% moisture in NREL model</t>
        </r>
      </text>
    </comment>
    <comment ref="I8" authorId="0" shapeId="0" xr:uid="{5CAAA1D8-C6CF-624B-B617-7A0975807E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Urea</t>
        </r>
      </text>
    </comment>
    <comment ref="M8" authorId="0" shapeId="0" xr:uid="{2EA7A4E8-345A-2541-B79B-B01C69727B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150PSI (10 bar)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344C3B71-2026-1049-A419-32CEECF6DF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1089 wet biomass mass</t>
        </r>
      </text>
    </comment>
    <comment ref="A8" authorId="0" shapeId="0" xr:uid="{EFF3123E-99E5-554B-BE7D-2456FAF457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
</t>
        </r>
        <r>
          <rPr>
            <sz val="10"/>
            <color rgb="FF000000"/>
            <rFont val="Tahoma"/>
            <family val="2"/>
          </rPr>
          <t xml:space="preserve"> 411/8959 gasoline (denat)
</t>
        </r>
        <r>
          <rPr>
            <sz val="10"/>
            <color rgb="FF000000"/>
            <rFont val="Tahoma"/>
            <family val="2"/>
          </rPr>
          <t xml:space="preserve">147/8959 caustic
</t>
        </r>
        <r>
          <rPr>
            <sz val="10"/>
            <color rgb="FF000000"/>
            <rFont val="Tahoma"/>
            <family val="2"/>
          </rPr>
          <t xml:space="preserve">35/8959 lime
</t>
        </r>
      </text>
    </comment>
    <comment ref="C8" authorId="0" shapeId="0" xr:uid="{B33C33E9-CB75-F242-AC9C-484744978C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Corn Feedstock is 15% moisture in NREL model</t>
        </r>
      </text>
    </comment>
    <comment ref="I8" authorId="0" shapeId="0" xr:uid="{947E90B1-5C05-0444-AB39-131CEBC62B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Urea</t>
        </r>
      </text>
    </comment>
    <comment ref="M8" authorId="0" shapeId="0" xr:uid="{40C64C66-6765-8446-96B1-67C57E7D37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150PSI (10 bar)</t>
        </r>
      </text>
    </comment>
    <comment ref="C9" authorId="0" shapeId="0" xr:uid="{3DB2D3A5-26E6-EE47-9659-AC73E7E91F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Corn Feedstock is 15% moisture in NREL model</t>
        </r>
      </text>
    </comment>
    <comment ref="I9" authorId="0" shapeId="0" xr:uid="{7C755457-D1F6-9248-B63C-6C9EDAD115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Urea</t>
        </r>
      </text>
    </comment>
    <comment ref="M9" authorId="0" shapeId="0" xr:uid="{1630244A-6AD6-BA41-8CC3-47FC41F235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150PSI (10 bar)</t>
        </r>
      </text>
    </comment>
    <comment ref="C10" authorId="0" shapeId="0" xr:uid="{F22AA167-A3C8-914D-A2B1-F5FF05DD44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Corn Feedstock is 15% moisture in NREL model</t>
        </r>
      </text>
    </comment>
    <comment ref="I10" authorId="0" shapeId="0" xr:uid="{FC10CB57-2B7B-EA40-80E6-0BFEFA20F8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Urea</t>
        </r>
      </text>
    </comment>
    <comment ref="M10" authorId="0" shapeId="0" xr:uid="{DB5E3754-3D8C-2948-BFF1-9C6151794A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150PSI (10 bar)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5ABA4161-9316-6B4E-A7BA-E5EEC9D8E7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C4" authorId="0" shapeId="0" xr:uid="{C6921B58-30CC-BE47-9D44-A721A37A3E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89.1% CO2 stream.
</t>
        </r>
      </text>
    </comment>
    <comment ref="F4" authorId="0" shapeId="0" xr:uid="{70659D19-2B4F-F841-948E-7FB7AEC927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G4" authorId="0" shapeId="0" xr:uid="{0F7D9DF2-EDDA-A344-92E5-8D7C57EBB8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71.25% H2</t>
        </r>
      </text>
    </comment>
    <comment ref="B5" authorId="0" shapeId="0" xr:uid="{EE092259-D343-674B-8EE8-F25F5EE78C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C5" authorId="0" shapeId="0" xr:uid="{7EF533EE-8698-564A-8B88-D6D740A6A5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89.1% CO2 stream.
</t>
        </r>
      </text>
    </comment>
    <comment ref="F5" authorId="0" shapeId="0" xr:uid="{586B68EA-C059-7A4B-A89E-2FF67F557F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G5" authorId="0" shapeId="0" xr:uid="{8BB425A9-9B9A-A54B-BADA-4A0898C54F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71.25% H2</t>
        </r>
      </text>
    </comment>
    <comment ref="H5" authorId="0" shapeId="0" xr:uid="{EE8D6430-E765-C94E-9B97-DBE12234AF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29.0986 is a value adjustment for the removal of the carriers (non CO2 of CO2 stream, non-MDEA of MDEA stream, non CH4 of CH4 stream)</t>
        </r>
      </text>
    </comment>
    <comment ref="C6" authorId="0" shapeId="0" xr:uid="{1BED819E-77D1-EC44-A753-F4225EEFC3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kmol/hr * mol weight (/ (kg/r CH4)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kmol of CO2 eq emobided in natural gas used as feedstock (not fuel)</t>
        </r>
      </text>
    </comment>
    <comment ref="B7" authorId="0" shapeId="0" xr:uid="{71217800-92D6-7C40-975A-83BDF09538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C7" authorId="0" shapeId="0" xr:uid="{09BA5527-561D-CC4D-B276-B6A98808AC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89.1% CO2 stream.
</t>
        </r>
      </text>
    </comment>
    <comment ref="F7" authorId="0" shapeId="0" xr:uid="{46D586D1-A91C-A54E-81A7-B7EDF1F6A5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G7" authorId="0" shapeId="0" xr:uid="{7C10B411-747F-0B4C-87A2-EE81CB8DAE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71.25% H2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ECFB85BF-8029-5340-B708-1810531D50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D4" authorId="0" shapeId="0" xr:uid="{496C980A-06BB-2244-8F98-B010A52A39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J4" authorId="0" shapeId="0" xr:uid="{27FD2004-A61E-6347-87D6-CA420D0D0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C5" authorId="0" shapeId="0" xr:uid="{EE18F356-7852-D246-9245-1CA5E57098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D5" authorId="0" shapeId="0" xr:uid="{54D8B299-0ED4-3642-8854-FF15F44A86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J5" authorId="0" shapeId="0" xr:uid="{004B7C1B-38D4-6349-84D8-CD3C811CF5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K6" authorId="0" shapeId="0" xr:uid="{D515893C-93E9-704F-B174-C06D05CB9E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  <comment ref="K17" authorId="0" shapeId="0" xr:uid="{8519B16F-3069-1545-8F3C-CCBA030171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D102BD4E-6571-8B47-9498-B1BACE21A5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included in NH3 production section</t>
        </r>
      </text>
    </comment>
    <comment ref="E8" authorId="0" shapeId="0" xr:uid="{EC453C86-37A6-3746-956D-F6031D4249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  <comment ref="E9" authorId="0" shapeId="0" xr:uid="{A6C25DD4-3002-774A-BF90-B28D2F58D1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  <comment ref="E10" authorId="0" shapeId="0" xr:uid="{2A4CD107-05B2-454C-9DB7-D394CB4FC9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  <comment ref="E11" authorId="0" shapeId="0" xr:uid="{DF797029-F893-754C-BF88-9DC42B2A95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/*(GJ/MWh) / (kg NH3/hr / 1000)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MWh/hr is for the whole NH3+Urea plant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9" authorId="0" shapeId="0" xr:uid="{07FCE518-24E8-1741-974A-5C7C135586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http://www.valorgas.soton.ac.uk/Pub_docs/IWA%20Vienna%202011/Presentation%203%20Bolzonella%20Mass%20&amp;%20Energy%20balance%20VALORGAS%20ADSWEC%20Vienna%202011.pdf</t>
        </r>
      </text>
    </comment>
    <comment ref="B11" authorId="0" shapeId="0" xr:uid="{E659C611-29A8-1046-839E-A747F4E63E3E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0"/>
            <color rgb="FF000000"/>
            <rFont val="Tahoma"/>
            <family val="2"/>
          </rPr>
          <t xml:space="preserve">0.5 gH2O/g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0.271 gC/g</t>
        </r>
      </text>
    </comment>
    <comment ref="M11" authorId="0" shapeId="0" xr:uid="{43C1D2E7-8A9E-E449-A518-B57F017B88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0.775 gH2O/g
</t>
        </r>
        <r>
          <rPr>
            <sz val="10"/>
            <color rgb="FF000000"/>
            <rFont val="Tahoma"/>
            <family val="2"/>
          </rPr>
          <t xml:space="preserve">0.135 gC/g
</t>
        </r>
        <r>
          <rPr>
            <sz val="10"/>
            <color rgb="FF000000"/>
            <rFont val="Tahoma"/>
            <family val="2"/>
          </rPr>
          <t xml:space="preserve">0.01 gN/g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FCF2A5F6-4F36-D140-ADAD-644717DA08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non-recoverable only</t>
        </r>
      </text>
    </comment>
    <comment ref="H21" authorId="0" shapeId="0" xr:uid="{DCEE6002-8452-4F4F-B13D-0E450E535C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kwh per nm3 raw gas -&gt; mj per nm3 raw gas * kg per nm3 raw gas / ch4 per kg raw gas = mj/kg ch4 = gj/t </t>
        </r>
      </text>
    </comment>
    <comment ref="H23" authorId="0" shapeId="0" xr:uid="{AB560C75-A428-4545-B621-005647F604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kwh per nm3 raw gas -&gt; mj per nm3 raw gas * kg per nm3 raw gas / ch4 per kg raw gas = mj/kg ch4 = gj/t </t>
        </r>
      </text>
    </comment>
  </commentList>
</comments>
</file>

<file path=xl/sharedStrings.xml><?xml version="1.0" encoding="utf-8"?>
<sst xmlns="http://schemas.openxmlformats.org/spreadsheetml/2006/main" count="522" uniqueCount="256">
  <si>
    <t>scenario</t>
  </si>
  <si>
    <t>meta-unit</t>
  </si>
  <si>
    <t>meta-notes</t>
  </si>
  <si>
    <t>ethanol prod</t>
  </si>
  <si>
    <t>CO2 ratio</t>
  </si>
  <si>
    <t>digestate prod</t>
  </si>
  <si>
    <t>enzyme use</t>
  </si>
  <si>
    <t>NH3 use</t>
  </si>
  <si>
    <t>yeast use</t>
  </si>
  <si>
    <t>water use</t>
  </si>
  <si>
    <t>electricity use</t>
  </si>
  <si>
    <t>steam use</t>
  </si>
  <si>
    <t>wastewater prod</t>
  </si>
  <si>
    <t>t/t ethanol</t>
  </si>
  <si>
    <t>FAO-Maize</t>
  </si>
  <si>
    <t>biomass type</t>
  </si>
  <si>
    <t>Starch Content</t>
  </si>
  <si>
    <t>Starch Recovery</t>
  </si>
  <si>
    <t>Starch to Glucose</t>
  </si>
  <si>
    <t>Ethanol Recovery</t>
  </si>
  <si>
    <t>Enzyme Use</t>
  </si>
  <si>
    <t>Ammonia Use</t>
  </si>
  <si>
    <t>Yeast use</t>
  </si>
  <si>
    <t>t/t starch</t>
  </si>
  <si>
    <t>% total starch</t>
  </si>
  <si>
    <t>% total ethanol</t>
  </si>
  <si>
    <t>t/t recovered starch</t>
  </si>
  <si>
    <t>t/t glucose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</si>
  <si>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</si>
  <si>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</si>
  <si>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</si>
  <si>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</si>
  <si>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</si>
  <si>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</si>
  <si>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</si>
  <si>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</si>
  <si>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</si>
  <si>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</si>
  <si>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</si>
  <si>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</si>
  <si>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</si>
  <si>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</si>
  <si>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</si>
  <si>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t/t dry biomass</t>
  </si>
  <si>
    <t>t glucose/t starch</t>
  </si>
  <si>
    <t>Water Use</t>
  </si>
  <si>
    <t>Ammonia Prod</t>
  </si>
  <si>
    <t>CO2 Prod</t>
  </si>
  <si>
    <t>Steam Demand</t>
  </si>
  <si>
    <t>Air Demand</t>
  </si>
  <si>
    <t>MDEA demand</t>
  </si>
  <si>
    <t>Purge Prod</t>
  </si>
  <si>
    <t>Bottoms Prod</t>
  </si>
  <si>
    <t>Electricity Demand</t>
  </si>
  <si>
    <t>t NH3 / t CH4</t>
  </si>
  <si>
    <t>t CO2 / t CH4</t>
  </si>
  <si>
    <t>t steam / t NH3</t>
  </si>
  <si>
    <t>t Air / t NH3</t>
  </si>
  <si>
    <t>t MDEA / t CO2</t>
  </si>
  <si>
    <t>t Purge / t NH3</t>
  </si>
  <si>
    <t>t Bottoms / t NH3</t>
  </si>
  <si>
    <t>GJ Electricity / t NH3</t>
  </si>
  <si>
    <t>Akash</t>
  </si>
  <si>
    <t>Akash-Pure</t>
  </si>
  <si>
    <t>CH4 Content</t>
  </si>
  <si>
    <t>t CH4 / t feedstock</t>
  </si>
  <si>
    <t>MDEA</t>
  </si>
  <si>
    <t>solvent demand</t>
  </si>
  <si>
    <t>t solvent / t CO2</t>
  </si>
  <si>
    <t>meta-source</t>
  </si>
  <si>
    <t>https://www.fertilizerseurope.com/wp-content/uploads/2020/01/The-carbon-footprint-of-fertilizer-production_Regional-reference-values.pdf</t>
  </si>
  <si>
    <t>t CH4 / t NH3</t>
  </si>
  <si>
    <t>CH4 Demand</t>
  </si>
  <si>
    <t>IEAGHG-Urea</t>
  </si>
  <si>
    <t>solvent type</t>
  </si>
  <si>
    <t>feedstock type</t>
  </si>
  <si>
    <t>prct feedstock</t>
  </si>
  <si>
    <t>NH3 Demand</t>
  </si>
  <si>
    <t>CO2 Demand</t>
  </si>
  <si>
    <t>CO2 Losses</t>
  </si>
  <si>
    <t>t NH3 / t Urea</t>
  </si>
  <si>
    <t>t CO2 / t Urea</t>
  </si>
  <si>
    <t>GJ / t Urea</t>
  </si>
  <si>
    <t>IEAGHG-Urea_CCS</t>
  </si>
  <si>
    <t>UBA</t>
  </si>
  <si>
    <t>IEAGHG</t>
  </si>
  <si>
    <t>Worrell</t>
  </si>
  <si>
    <t>kWh --&gt; GJ</t>
  </si>
  <si>
    <t>kWh --? MJ</t>
  </si>
  <si>
    <t>Nm3 --&gt; Mol</t>
  </si>
  <si>
    <t>Mbtu/ton --? GJ/tonne</t>
  </si>
  <si>
    <t>short ton --&gt; metric tonnes</t>
  </si>
  <si>
    <t>production type</t>
  </si>
  <si>
    <t>upgrading type</t>
  </si>
  <si>
    <t>CH4 concentration</t>
  </si>
  <si>
    <t>biogas CH4</t>
  </si>
  <si>
    <t>heat demand</t>
  </si>
  <si>
    <t>electricity demand</t>
  </si>
  <si>
    <t>CH4 loss</t>
  </si>
  <si>
    <t>CO2 loss</t>
  </si>
  <si>
    <t>CO2 concentration</t>
  </si>
  <si>
    <t>% CO2 in biogas</t>
  </si>
  <si>
    <t>% CH4 in biogas</t>
  </si>
  <si>
    <t>biogas CO2</t>
  </si>
  <si>
    <t>GJ/t biogas</t>
  </si>
  <si>
    <t>feedstock demand</t>
  </si>
  <si>
    <t>t feedstock/t biogas</t>
  </si>
  <si>
    <t>t CH4/t biogas</t>
  </si>
  <si>
    <t>t CO2/t biogas</t>
  </si>
  <si>
    <t>density</t>
  </si>
  <si>
    <t>kg/Nm3</t>
  </si>
  <si>
    <t>ecoinvent-sewage</t>
  </si>
  <si>
    <t>ecoinvent-grass</t>
  </si>
  <si>
    <t>grass</t>
  </si>
  <si>
    <t>anaerobic digestion</t>
  </si>
  <si>
    <t>t digestate/t biogas</t>
  </si>
  <si>
    <t>IEA37</t>
  </si>
  <si>
    <t>maize sillage</t>
  </si>
  <si>
    <t>IEA37-energy</t>
  </si>
  <si>
    <t>energy crop+manure</t>
  </si>
  <si>
    <t>solid digestate</t>
  </si>
  <si>
    <t>liquid digestate</t>
  </si>
  <si>
    <t>Greenfinch</t>
  </si>
  <si>
    <t>Valorsul</t>
  </si>
  <si>
    <t>source</t>
  </si>
  <si>
    <t>http://www.valorgas.soton.ac.uk/Pub_docs/IWA%20Vienna%202011/Presentation%203%20Bolzonella%20Mass%20&amp;%20Energy%20balance%20VALORGAS%20ADSWEC%20Vienna%202011.pdf</t>
  </si>
  <si>
    <t>DOSTS</t>
  </si>
  <si>
    <t>ETSAP-PSA</t>
  </si>
  <si>
    <t>PSA</t>
  </si>
  <si>
    <t>ETSAP-MEA</t>
  </si>
  <si>
    <t>Amine</t>
  </si>
  <si>
    <t>t/t biogas</t>
  </si>
  <si>
    <t>SunEtAl-Cryo</t>
  </si>
  <si>
    <t>Cyro</t>
  </si>
  <si>
    <t>% to flue (not in product)</t>
  </si>
  <si>
    <t>% to flue (not in sep)</t>
  </si>
  <si>
    <t>SunEtAl-WS</t>
  </si>
  <si>
    <t>Water Scrubbing with Regen</t>
  </si>
  <si>
    <t>&gt;90</t>
  </si>
  <si>
    <t>&lt;1</t>
  </si>
  <si>
    <t>Frederica</t>
  </si>
  <si>
    <t>Water Scrub w Regen</t>
  </si>
  <si>
    <t>food waste 50% H2O</t>
  </si>
  <si>
    <t>foodwaste 50% H2O</t>
  </si>
  <si>
    <t>biowaste 50% H2O</t>
  </si>
  <si>
    <t>Johansson-Cryo</t>
  </si>
  <si>
    <t>Johansson-WS</t>
  </si>
  <si>
    <t>Johansson-amine</t>
  </si>
  <si>
    <t>water scrubbing with regen</t>
  </si>
  <si>
    <t>Johansson-PSA</t>
  </si>
  <si>
    <t>WaterScrub</t>
  </si>
  <si>
    <t>Cryo</t>
  </si>
  <si>
    <t>1.275 GJ/tCO2</t>
  </si>
  <si>
    <t xml:space="preserve">GJ/t CH4 </t>
  </si>
  <si>
    <t>Hashemi-Cryo</t>
  </si>
  <si>
    <t>Hashemi-MDEA</t>
  </si>
  <si>
    <t>SunEtAl Amine</t>
  </si>
  <si>
    <t>GJ/t CH4</t>
  </si>
  <si>
    <t>default</t>
  </si>
  <si>
    <t>Regen Water Scrub</t>
  </si>
  <si>
    <t>CO2 to Cap</t>
  </si>
  <si>
    <t>meta-CH4 in biomethane</t>
  </si>
  <si>
    <t>meta-CO2 in biomethane</t>
  </si>
  <si>
    <t>meta-CO2 in CO2</t>
  </si>
  <si>
    <t>None</t>
  </si>
  <si>
    <t>sewage (CO2)</t>
  </si>
  <si>
    <t>type</t>
  </si>
  <si>
    <t>MEA</t>
  </si>
  <si>
    <t>GJ/t ethanol</t>
  </si>
  <si>
    <t>t CH4 feedstock / t CH4 in</t>
  </si>
  <si>
    <t>Akash-total</t>
  </si>
  <si>
    <t>co2 losses</t>
  </si>
  <si>
    <t>digestate</t>
  </si>
  <si>
    <t>EUBAT</t>
  </si>
  <si>
    <t>EU BAT-EF</t>
  </si>
  <si>
    <t>EU Avg-EF</t>
  </si>
  <si>
    <t>Steam</t>
  </si>
  <si>
    <t>t/t Urea</t>
  </si>
  <si>
    <t>EUBAT-CO2comp</t>
  </si>
  <si>
    <t>45% MDEA, 5% Piperazine</t>
  </si>
  <si>
    <t>electricity out</t>
  </si>
  <si>
    <t>Pressure</t>
  </si>
  <si>
    <t>embodied CO2</t>
  </si>
  <si>
    <t>t CO2/t digestate</t>
  </si>
  <si>
    <t>calculated to close carbon balance (C not in ethanol in digestate)</t>
  </si>
  <si>
    <t>ETH-0</t>
  </si>
  <si>
    <t>maize (dry)</t>
  </si>
  <si>
    <t>biofeedstock type</t>
  </si>
  <si>
    <t>bioCH4 Content</t>
  </si>
  <si>
    <t>NH3-0</t>
  </si>
  <si>
    <t>biomethane</t>
  </si>
  <si>
    <t>fossil feedstock type</t>
  </si>
  <si>
    <t>% CH4 in</t>
  </si>
  <si>
    <t>assumes same feed provides feedstock+fuel</t>
  </si>
  <si>
    <t>fuel+feedstock</t>
  </si>
  <si>
    <t>GJ heat / t NH3</t>
  </si>
  <si>
    <t>https://cdm.unfccc.int/filestorage/E/6/T/E6TUR2NNQW9O83ET10CX8HTE4WXR2O/Evaluation%20of%20Upgrading%20Techniques%20for%20Biogas.pdf?t=bmd8cWU5OW0wfDDHZtD62mU_HfCp5XL01yrK</t>
  </si>
  <si>
    <t>biofeedstock cofire</t>
  </si>
  <si>
    <t>lignin prod</t>
  </si>
  <si>
    <t>FAO-Stover</t>
  </si>
  <si>
    <t>FAO-Spruce</t>
  </si>
  <si>
    <t>acid use</t>
  </si>
  <si>
    <t>t suf. acid/t ethanol</t>
  </si>
  <si>
    <t>FAO-Switchgrass</t>
  </si>
  <si>
    <t>NREL-Maize</t>
  </si>
  <si>
    <t>NREL-Stover</t>
  </si>
  <si>
    <t>Spruce (dry mass)</t>
  </si>
  <si>
    <t>Corn Stover (dry mass)</t>
  </si>
  <si>
    <t>Switchgrass (dry mass)</t>
  </si>
  <si>
    <t>ETH-BIO</t>
  </si>
  <si>
    <t>corn stover (dry)</t>
  </si>
  <si>
    <t>NH3-BIO</t>
  </si>
  <si>
    <t>SGC</t>
  </si>
  <si>
    <t>DOTS</t>
  </si>
  <si>
    <t>NH3 to Urea</t>
  </si>
  <si>
    <t>H2-0</t>
  </si>
  <si>
    <t>H2-BIO</t>
  </si>
  <si>
    <t>product transport</t>
  </si>
  <si>
    <t>natural gas - IPCC</t>
  </si>
  <si>
    <t>water demand</t>
  </si>
  <si>
    <t>wastewater</t>
  </si>
  <si>
    <t>GJ heat (supplemental)/ t NH3</t>
  </si>
  <si>
    <t>meta-industry</t>
  </si>
  <si>
    <t>fossil fuel type</t>
  </si>
  <si>
    <t>fuel energy demand</t>
  </si>
  <si>
    <t>biofuel cofire rate</t>
  </si>
  <si>
    <t>biofuel type</t>
  </si>
  <si>
    <t>oxygen demand</t>
  </si>
  <si>
    <t>CO2 to flue gas</t>
  </si>
  <si>
    <t>CO2 pure</t>
  </si>
  <si>
    <t xml:space="preserve">solvent demand </t>
  </si>
  <si>
    <t>H2O demand</t>
  </si>
  <si>
    <t>air demand</t>
  </si>
  <si>
    <t>%</t>
  </si>
  <si>
    <t>t feedstock / t gas</t>
  </si>
  <si>
    <t>t O2 / t gas</t>
  </si>
  <si>
    <t>GJ electricity (supplemental) / t gas</t>
  </si>
  <si>
    <t>t/t H2</t>
  </si>
  <si>
    <t>GJ fuel/t h2</t>
  </si>
  <si>
    <t>t / t h2</t>
  </si>
  <si>
    <t>t MEA/ t h2</t>
  </si>
  <si>
    <t>t /t h2</t>
  </si>
  <si>
    <t>notes</t>
  </si>
  <si>
    <t>NREL2005</t>
  </si>
  <si>
    <t>wood chips, dry mass</t>
  </si>
  <si>
    <t>other</t>
  </si>
  <si>
    <t>5440 lb/hr olivine
7 lb/hr mg0</t>
  </si>
  <si>
    <t>NH3-BIO2</t>
  </si>
  <si>
    <t>Munoz-Maize</t>
  </si>
  <si>
    <t>Ecoinvent-Maize</t>
  </si>
  <si>
    <t>FAO-Maize-USAvg heat</t>
  </si>
  <si>
    <t>maize (dry) - Swiss</t>
  </si>
  <si>
    <t>maize (dry) - US</t>
  </si>
  <si>
    <t>maize (dry) - Global</t>
  </si>
  <si>
    <t>t demin water / t NH3</t>
  </si>
  <si>
    <t>is biogenic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</si>
</sst>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80808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6"/>
      <color theme="10"/>
      <name val="Calibri"/>
      <family val="2"/>
    </font>
    <font>
      <sz val="16"/>
      <color rgb="FF000000"/>
      <name val="Calibri"/>
      <family val="2"/>
    </font>
    <font>
      <sz val="16"/>
      <color theme="0" tint="-0.499984740745262"/>
      <name val="Calibri"/>
      <family val="2"/>
    </font>
    <font>
      <sz val="16"/>
      <color rgb="FFC00000"/>
      <name val="Calibri"/>
      <family val="2"/>
    </font>
    <font>
      <sz val="16"/>
      <color rgb="FFFF0000"/>
      <name val="Calibri"/>
      <family val="2"/>
    </font>
    <font>
      <i/>
      <sz val="16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2" fontId="0" fillId="0" borderId="0" xfId="0" applyNumberFormat="1"/>
    <xf numFmtId="0" fontId="8" fillId="0" borderId="0" xfId="3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0" fontId="0" fillId="0" borderId="0" xfId="0" applyNumberFormat="1"/>
    <xf numFmtId="10" fontId="10" fillId="0" borderId="0" xfId="0" applyNumberFormat="1" applyFont="1"/>
    <xf numFmtId="9" fontId="10" fillId="0" borderId="0" xfId="0" applyNumberFormat="1" applyFont="1"/>
    <xf numFmtId="0" fontId="0" fillId="0" borderId="1" xfId="0" applyBorder="1"/>
    <xf numFmtId="0" fontId="14" fillId="0" borderId="0" xfId="0" applyFont="1"/>
    <xf numFmtId="0" fontId="5" fillId="0" borderId="0" xfId="1"/>
    <xf numFmtId="0" fontId="0" fillId="0" borderId="2" xfId="0" applyBorder="1"/>
    <xf numFmtId="0" fontId="0" fillId="0" borderId="0" xfId="0" applyAlignment="1">
      <alignment wrapText="1"/>
    </xf>
  </cellXfs>
  <cellStyles count="4">
    <cellStyle name="Hyperlink" xfId="3" builtinId="8"/>
    <cellStyle name="Millares 4" xfId="2" xr:uid="{1C0FA835-ED8E-EA44-BC76-9B9CA5D94843}"/>
    <cellStyle name="Normal" xfId="0" builtinId="0"/>
    <cellStyle name="Normal 2" xfId="1" xr:uid="{65C88981-34D4-9647-A657-4B39A1F0B9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zer/Downloads/Transport%20tool%20GHG%20v%202%200_MLUncertified%20JM%20June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mmy database"/>
      <sheetName val="Biofuel Demand"/>
      <sheetName val="STORAGE_FS1"/>
      <sheetName val="STORAGE_FS2"/>
      <sheetName val="STORAGE_FS3"/>
      <sheetName val="STORAGE_FS4"/>
      <sheetName val="Process Description"/>
      <sheetName val="Label"/>
      <sheetName val="Data Entry Needs"/>
      <sheetName val="Allocator"/>
      <sheetName val="BAL_BIOD"/>
      <sheetName val="BAL_ETOH1"/>
      <sheetName val="BAL_ETOH2"/>
      <sheetName val="COST_FS1"/>
      <sheetName val="GHG_FS1"/>
      <sheetName val="FA5_FS1_SC2"/>
      <sheetName val="FA5_FS1_SC3"/>
      <sheetName val="FA5_FS1_SC1"/>
      <sheetName val="FA25_FS1_SC1"/>
      <sheetName val="FA25_FS1_SC2"/>
      <sheetName val="FA25_FS1_SC3"/>
      <sheetName val="FA50_FS1_SC1"/>
      <sheetName val="FA50_FS1_SC2"/>
      <sheetName val="FA50_FS1_SC3"/>
      <sheetName val="FA100_FS1_SC1"/>
      <sheetName val="FA100_FS1_SC2"/>
      <sheetName val="FA100_FS1_SC3"/>
      <sheetName val="COST_FS2"/>
      <sheetName val="FA5_FS2_SC1"/>
      <sheetName val="FA5_FS2_SC2"/>
      <sheetName val="FA5_FS2_SC3"/>
      <sheetName val="FA25_FS2_SC1"/>
      <sheetName val="FA25_FS2_SC2"/>
      <sheetName val="FA25_FS2_SC3"/>
      <sheetName val="FA50_FS2_SC1"/>
      <sheetName val="FA50_FS2_SC2"/>
      <sheetName val="FA50_FS2_SC3"/>
      <sheetName val="FA100_FS2_SC1"/>
      <sheetName val="FA100_FS2_SC2"/>
      <sheetName val="FA100_FS2_SC3"/>
      <sheetName val="GHG_FS2"/>
      <sheetName val="COST_FS3"/>
      <sheetName val="FA5_FS3_SC1"/>
      <sheetName val="FA5_FS3_SC2"/>
      <sheetName val="FA5_FS3_SC3"/>
      <sheetName val="FA25_FS3_SC1"/>
      <sheetName val="FA25_FS3_SC2"/>
      <sheetName val="FA25_FS3_SC3"/>
      <sheetName val="FA50_FS3_SC1"/>
      <sheetName val="FA50_FS3_SC2"/>
      <sheetName val="FA50_FS3_SC3"/>
      <sheetName val="FA100_FS3_SC1"/>
      <sheetName val="FA100_FS3_SC2"/>
      <sheetName val="FA100_FS3_SC3"/>
      <sheetName val="GHG_FS3"/>
      <sheetName val="COST_FS4"/>
      <sheetName val="GHG_FS4"/>
      <sheetName val="Summary of results-by feedstock"/>
      <sheetName val="FA5_FS4_SC1"/>
      <sheetName val="FA5_FS4_SC2"/>
      <sheetName val="FA5_FS4_SC3"/>
      <sheetName val="FA25_FS4_SC1"/>
      <sheetName val="FA25_FS4_SC2"/>
      <sheetName val="FA25_FS4_SC3"/>
      <sheetName val="FA50_FS4_SC1"/>
      <sheetName val="FA50_FS4_SC2"/>
      <sheetName val="FA50_FS4_SC3"/>
      <sheetName val="FA100_FS4_SC1"/>
      <sheetName val="FA100_FS4_SC2"/>
      <sheetName val="FA100_FS4_SC3"/>
      <sheetName val="Title"/>
      <sheetName val="Summary of results-comparative"/>
      <sheetName val="Labor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6">
          <cell r="F16" t="str">
            <v>Diesel</v>
          </cell>
        </row>
        <row r="18">
          <cell r="F18" t="str">
            <v>Gasoline</v>
          </cell>
        </row>
        <row r="122">
          <cell r="F122" t="str">
            <v>Biodiesel</v>
          </cell>
        </row>
        <row r="123">
          <cell r="F123" t="str">
            <v>Ethanol</v>
          </cell>
        </row>
      </sheetData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www.fertilizerseurope.com/wp-content/uploads/2020/01/The-carbon-footprint-of-fertilizer-production_Regional-reference-valu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A389-E45B-9446-AE9C-A04648334BF5}">
  <dimension ref="A1:P14"/>
  <sheetViews>
    <sheetView workbookViewId="0">
      <selection activeCell="B24" sqref="B24"/>
    </sheetView>
  </sheetViews>
  <sheetFormatPr baseColWidth="10" defaultRowHeight="21" x14ac:dyDescent="0.25"/>
  <cols>
    <col min="1" max="1" width="13.75" customWidth="1"/>
    <col min="2" max="2" width="20" customWidth="1"/>
    <col min="3" max="3" width="11.25" bestFit="1" customWidth="1"/>
    <col min="5" max="5" width="12.625" bestFit="1" customWidth="1"/>
    <col min="6" max="6" width="12.625" customWidth="1"/>
    <col min="12" max="12" width="12.25" bestFit="1" customWidth="1"/>
  </cols>
  <sheetData>
    <row r="1" spans="1:16" x14ac:dyDescent="0.25">
      <c r="A1" s="1" t="s">
        <v>0</v>
      </c>
      <c r="B1" s="1" t="s">
        <v>15</v>
      </c>
      <c r="C1" t="s">
        <v>3</v>
      </c>
      <c r="D1" t="s">
        <v>12</v>
      </c>
      <c r="E1" t="s">
        <v>5</v>
      </c>
      <c r="F1" t="s">
        <v>198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201</v>
      </c>
      <c r="O1" s="8" t="s">
        <v>217</v>
      </c>
      <c r="P1" t="s">
        <v>69</v>
      </c>
    </row>
    <row r="2" spans="1:16" x14ac:dyDescent="0.25">
      <c r="A2" s="3" t="s">
        <v>1</v>
      </c>
      <c r="B2" s="3"/>
      <c r="C2" s="4" t="s">
        <v>43</v>
      </c>
      <c r="D2" s="4" t="s">
        <v>43</v>
      </c>
      <c r="E2" s="4" t="s">
        <v>43</v>
      </c>
      <c r="F2" s="4" t="s">
        <v>43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168</v>
      </c>
      <c r="M2" s="2" t="s">
        <v>168</v>
      </c>
      <c r="N2" s="2" t="s">
        <v>202</v>
      </c>
    </row>
    <row r="3" spans="1:16" x14ac:dyDescent="0.25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</row>
    <row r="4" spans="1:16" x14ac:dyDescent="0.25">
      <c r="A4" t="s">
        <v>14</v>
      </c>
      <c r="B4" t="s">
        <v>186</v>
      </c>
      <c r="C4">
        <f>3.95/12.2</f>
        <v>0.32377049180327871</v>
      </c>
      <c r="D4">
        <f>45.83/12.2</f>
        <v>3.7565573770491802</v>
      </c>
      <c r="E4">
        <f>4.9/12.2</f>
        <v>0.40163934426229514</v>
      </c>
      <c r="F4">
        <v>0</v>
      </c>
      <c r="G4">
        <f>4.34/3.95</f>
        <v>1.0987341772151897</v>
      </c>
      <c r="H4">
        <f>(0.01+0.05)/3.95</f>
        <v>1.518987341772152E-2</v>
      </c>
      <c r="I4">
        <f>0.07/3.95</f>
        <v>1.7721518987341773E-2</v>
      </c>
      <c r="J4">
        <f>0.01/3.95</f>
        <v>2.5316455696202532E-3</v>
      </c>
      <c r="K4">
        <f>46.68/3.95</f>
        <v>11.817721518987341</v>
      </c>
      <c r="L4">
        <f>1269.5/3.95*Ref!$B$18</f>
        <v>1.1570126582278479</v>
      </c>
      <c r="M4">
        <f>(31007*2.013)/(3.95*1000)</f>
        <v>15.801795189873419</v>
      </c>
      <c r="N4">
        <v>0</v>
      </c>
      <c r="O4">
        <v>0</v>
      </c>
    </row>
    <row r="5" spans="1:16" x14ac:dyDescent="0.25">
      <c r="A5" t="s">
        <v>199</v>
      </c>
      <c r="B5" t="s">
        <v>207</v>
      </c>
      <c r="C5">
        <f>247.29/1000</f>
        <v>0.24728999999999998</v>
      </c>
      <c r="D5">
        <f>269.06/1000</f>
        <v>0.26906000000000002</v>
      </c>
      <c r="E5">
        <v>0</v>
      </c>
      <c r="F5">
        <f>301.3610989/1000</f>
        <v>0.30136109890000001</v>
      </c>
      <c r="G5">
        <f>271.99/247.27</f>
        <v>1.0999716908642374</v>
      </c>
      <c r="H5">
        <f>33.26/247.27</f>
        <v>0.13450883649452014</v>
      </c>
      <c r="I5">
        <f>19.31/247.27</f>
        <v>7.8092773082056047E-2</v>
      </c>
      <c r="J5">
        <f>0.56/247.27</f>
        <v>2.2647308610021437E-3</v>
      </c>
      <c r="K5">
        <v>0</v>
      </c>
      <c r="L5">
        <f>190*Ref!B$18/247.27*1000</f>
        <v>2.7662069802240463</v>
      </c>
      <c r="M5">
        <v>8.58</v>
      </c>
      <c r="N5">
        <f>25/247.27</f>
        <v>0.10110405629473854</v>
      </c>
      <c r="O5">
        <v>0</v>
      </c>
    </row>
    <row r="6" spans="1:16" x14ac:dyDescent="0.25">
      <c r="A6" t="s">
        <v>200</v>
      </c>
      <c r="B6" t="s">
        <v>206</v>
      </c>
      <c r="C6">
        <f>22816.98/100000</f>
        <v>0.22816980000000001</v>
      </c>
      <c r="D6">
        <f>25483.31/100000</f>
        <v>0.25483310000000003</v>
      </c>
      <c r="E6">
        <v>0</v>
      </c>
      <c r="F6">
        <f>37519.63/100000</f>
        <v>0.37519629999999998</v>
      </c>
      <c r="G6">
        <f>25098.68/22816.98</f>
        <v>1.100000087654019</v>
      </c>
      <c r="H6">
        <f>3534.12/22816.98</f>
        <v>0.15488991093475121</v>
      </c>
      <c r="I6">
        <f>1781.69/22816.98</f>
        <v>7.8086144616859907E-2</v>
      </c>
      <c r="J6">
        <f>52.05/22816.98</f>
        <v>2.2811958462513444E-3</v>
      </c>
      <c r="K6">
        <v>0</v>
      </c>
      <c r="L6">
        <f>19000*Ref!B$18/22816.98*1000</f>
        <v>2.9977674521343314</v>
      </c>
      <c r="M6">
        <f>269000/22816.98</f>
        <v>11.78946556468034</v>
      </c>
      <c r="N6">
        <f>2500/22816.98</f>
        <v>0.10956752383531913</v>
      </c>
      <c r="O6">
        <v>0</v>
      </c>
    </row>
    <row r="7" spans="1:16" x14ac:dyDescent="0.25">
      <c r="A7" t="s">
        <v>203</v>
      </c>
      <c r="B7" t="s">
        <v>208</v>
      </c>
      <c r="C7">
        <f>25128.74/100000</f>
        <v>0.25128739999999999</v>
      </c>
      <c r="D7">
        <f>29369.64/100000</f>
        <v>0.29369639999999997</v>
      </c>
      <c r="E7">
        <v>0</v>
      </c>
      <c r="F7">
        <f>31513.44/100000</f>
        <v>0.31513439999999998</v>
      </c>
      <c r="G7">
        <f>27641.61/25128.74</f>
        <v>1.0999998408197147</v>
      </c>
      <c r="H7">
        <f>3068.4/25128.74</f>
        <v>0.12210719677946447</v>
      </c>
      <c r="I7">
        <f>1962.2/25128.74</f>
        <v>7.8085888906487155E-2</v>
      </c>
      <c r="J7">
        <f>57.33/25128.74</f>
        <v>2.2814514376765407E-3</v>
      </c>
      <c r="K7">
        <v>0</v>
      </c>
      <c r="L7">
        <f>19000*Ref!B$18/25128.74*1000</f>
        <v>2.7219828769767203</v>
      </c>
      <c r="M7">
        <f>269000/25128.74</f>
        <v>10.704874179923067</v>
      </c>
      <c r="N7">
        <f>2500/25128.74</f>
        <v>9.9487678252073122E-2</v>
      </c>
      <c r="O7">
        <v>0</v>
      </c>
    </row>
    <row r="8" spans="1:16" x14ac:dyDescent="0.25">
      <c r="A8" t="s">
        <v>204</v>
      </c>
      <c r="B8" t="s">
        <v>186</v>
      </c>
      <c r="C8">
        <f>8959/(28157*0.85)</f>
        <v>0.37432965159640585</v>
      </c>
      <c r="D8">
        <f>8910/(25157/0.85)</f>
        <v>0.30104940970703981</v>
      </c>
      <c r="E8">
        <f>9205/(25157/0.85)</f>
        <v>0.31101681440553325</v>
      </c>
      <c r="G8">
        <v>1.1000000000000001</v>
      </c>
      <c r="H8">
        <f>(20+29)/8959</f>
        <v>5.4693604196896974E-3</v>
      </c>
      <c r="I8">
        <f>58/8959</f>
        <v>6.4739368233061728E-3</v>
      </c>
      <c r="J8">
        <f>6/8959</f>
        <v>6.6971760241098341E-4</v>
      </c>
      <c r="K8">
        <f>8910/8959</f>
        <v>0.99453063958031029</v>
      </c>
      <c r="L8">
        <f>2042*Ref!B$18/8.959</f>
        <v>0.82053800647393682</v>
      </c>
      <c r="M8">
        <f>(27681*2.013)/(8959)</f>
        <v>6.2196509655095431</v>
      </c>
      <c r="N8">
        <f>58/8959</f>
        <v>6.4739368233061728E-3</v>
      </c>
      <c r="O8">
        <v>0</v>
      </c>
    </row>
    <row r="9" spans="1:16" x14ac:dyDescent="0.25">
      <c r="A9" t="s">
        <v>205</v>
      </c>
      <c r="B9" t="s">
        <v>210</v>
      </c>
      <c r="C9">
        <f>8959/(46667*0.85)</f>
        <v>0.22585552960336</v>
      </c>
      <c r="F9">
        <f>12729/21673</f>
        <v>0.58732062935449636</v>
      </c>
      <c r="G9">
        <f>20669/21673</f>
        <v>0.95367507959211928</v>
      </c>
      <c r="I9">
        <f>689/8959</f>
        <v>7.6905904676861259E-2</v>
      </c>
      <c r="K9">
        <f>100529/8959</f>
        <v>11.221006808795625</v>
      </c>
      <c r="L9">
        <f>9229*Ref!$B18/8.959</f>
        <v>3.708494251590579</v>
      </c>
      <c r="N9">
        <f>1629/8959</f>
        <v>0.18182832905458199</v>
      </c>
      <c r="O9">
        <v>0</v>
      </c>
    </row>
    <row r="10" spans="1:16" x14ac:dyDescent="0.25">
      <c r="A10" t="s">
        <v>185</v>
      </c>
      <c r="B10" t="s">
        <v>210</v>
      </c>
      <c r="C10">
        <f>247.29/1000</f>
        <v>0.24728999999999998</v>
      </c>
      <c r="D10">
        <f>269.06/1000</f>
        <v>0.26906000000000002</v>
      </c>
      <c r="E10">
        <v>0</v>
      </c>
      <c r="F10">
        <f>301.3610989/1000</f>
        <v>0.30136109890000001</v>
      </c>
      <c r="G10">
        <f>271.99/247.27</f>
        <v>1.0999716908642374</v>
      </c>
      <c r="H10">
        <f>33.26/247.27</f>
        <v>0.13450883649452014</v>
      </c>
      <c r="I10">
        <f>19.31/247.27</f>
        <v>7.8092773082056047E-2</v>
      </c>
      <c r="J10">
        <f>0.56/247.27</f>
        <v>2.2647308610021437E-3</v>
      </c>
      <c r="K10">
        <v>0</v>
      </c>
      <c r="L10">
        <f>190*Ref!B$18/247.27*1000</f>
        <v>2.7662069802240463</v>
      </c>
      <c r="M10">
        <v>8.58</v>
      </c>
      <c r="N10">
        <f>25/247.27</f>
        <v>0.10110405629473854</v>
      </c>
      <c r="O10">
        <v>0</v>
      </c>
    </row>
    <row r="11" spans="1:16" x14ac:dyDescent="0.25">
      <c r="A11" t="s">
        <v>209</v>
      </c>
      <c r="B11" t="s">
        <v>210</v>
      </c>
      <c r="C11">
        <f>247.29/1000</f>
        <v>0.24728999999999998</v>
      </c>
      <c r="D11">
        <f>269.06/1000</f>
        <v>0.26906000000000002</v>
      </c>
      <c r="E11">
        <v>0</v>
      </c>
      <c r="F11">
        <f>301.3610989/1000</f>
        <v>0.30136109890000001</v>
      </c>
      <c r="G11">
        <f>271.99/247.27</f>
        <v>1.0999716908642374</v>
      </c>
      <c r="H11">
        <f>33.26/247.27</f>
        <v>0.13450883649452014</v>
      </c>
      <c r="I11">
        <f>19.31/247.27</f>
        <v>7.8092773082056047E-2</v>
      </c>
      <c r="J11">
        <f>0.56/247.27</f>
        <v>2.2647308610021437E-3</v>
      </c>
      <c r="K11">
        <v>0</v>
      </c>
      <c r="L11">
        <f>190*Ref!B$18/247.27*1000</f>
        <v>2.7662069802240463</v>
      </c>
      <c r="M11">
        <v>8.58</v>
      </c>
      <c r="N11">
        <f>25/247.27</f>
        <v>0.10110405629473854</v>
      </c>
      <c r="O11">
        <v>0</v>
      </c>
    </row>
    <row r="12" spans="1:16" x14ac:dyDescent="0.25">
      <c r="A12" t="s">
        <v>248</v>
      </c>
      <c r="B12" t="s">
        <v>186</v>
      </c>
      <c r="C12">
        <f>1/(2.5/0.85)</f>
        <v>0.33999999999999997</v>
      </c>
      <c r="D12">
        <v>0.5</v>
      </c>
      <c r="E12">
        <f>0.5/(2.5/0.85)</f>
        <v>0.16999999999999998</v>
      </c>
      <c r="F12">
        <v>0</v>
      </c>
      <c r="G12">
        <f>4.34/3.95</f>
        <v>1.0987341772151897</v>
      </c>
      <c r="H12">
        <v>0.02</v>
      </c>
      <c r="I12">
        <v>0</v>
      </c>
      <c r="J12">
        <v>0</v>
      </c>
      <c r="K12">
        <v>0</v>
      </c>
      <c r="L12">
        <f>0.17*1000*Ref!B18</f>
        <v>0.61199999999999999</v>
      </c>
      <c r="M12">
        <v>2.6</v>
      </c>
      <c r="N12">
        <v>0</v>
      </c>
      <c r="O12">
        <v>0</v>
      </c>
    </row>
    <row r="13" spans="1:16" x14ac:dyDescent="0.25">
      <c r="A13" t="s">
        <v>249</v>
      </c>
      <c r="B13" t="s">
        <v>186</v>
      </c>
      <c r="C13">
        <f>1/(1.5*0.86)</f>
        <v>0.77519379844961234</v>
      </c>
      <c r="D13">
        <f>1.4/(1.5/0.86)</f>
        <v>0.80266666666666664</v>
      </c>
      <c r="E13">
        <f>0.49/(1.5/0.86)</f>
        <v>0.28093333333333331</v>
      </c>
      <c r="F13">
        <v>0</v>
      </c>
      <c r="G13">
        <v>1.17</v>
      </c>
      <c r="H13">
        <v>0</v>
      </c>
      <c r="I13">
        <v>8.0000000000000002E-3</v>
      </c>
      <c r="J13">
        <v>0</v>
      </c>
      <c r="K13">
        <v>1.3</v>
      </c>
      <c r="L13">
        <f>0.19*1000*Ref!B$18</f>
        <v>0.68399999999999994</v>
      </c>
      <c r="M13">
        <v>6.5</v>
      </c>
      <c r="N13">
        <v>0.01</v>
      </c>
      <c r="O13">
        <v>0</v>
      </c>
    </row>
    <row r="14" spans="1:16" x14ac:dyDescent="0.25">
      <c r="A14" t="s">
        <v>250</v>
      </c>
      <c r="B14" t="s">
        <v>186</v>
      </c>
      <c r="C14">
        <f>3.95/12.2</f>
        <v>0.32377049180327871</v>
      </c>
      <c r="D14">
        <f>45.83/12.2</f>
        <v>3.7565573770491802</v>
      </c>
      <c r="E14">
        <f>4.9/12.2</f>
        <v>0.40163934426229514</v>
      </c>
      <c r="F14">
        <v>0</v>
      </c>
      <c r="G14">
        <f>4.34/3.95</f>
        <v>1.0987341772151897</v>
      </c>
      <c r="H14">
        <f>(0.01+0.05)/3.95</f>
        <v>1.518987341772152E-2</v>
      </c>
      <c r="I14">
        <f>0.07/3.95</f>
        <v>1.7721518987341773E-2</v>
      </c>
      <c r="J14">
        <f>0.01/3.95</f>
        <v>2.5316455696202532E-3</v>
      </c>
      <c r="K14">
        <f>46.68/3.95</f>
        <v>11.817721518987341</v>
      </c>
      <c r="L14">
        <f>1269.5/3.95*Ref!$B$18</f>
        <v>1.1570126582278479</v>
      </c>
      <c r="M14">
        <v>6.5</v>
      </c>
      <c r="N14">
        <v>0</v>
      </c>
      <c r="O1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7E74-0016-2D4A-956F-FEEB13873B4A}">
  <dimension ref="A1:O25"/>
  <sheetViews>
    <sheetView zoomScale="97" workbookViewId="0">
      <selection activeCell="L27" sqref="L27"/>
    </sheetView>
  </sheetViews>
  <sheetFormatPr baseColWidth="10" defaultRowHeight="21" x14ac:dyDescent="0.25"/>
  <cols>
    <col min="1" max="1" width="11.875" bestFit="1" customWidth="1"/>
    <col min="2" max="2" width="13.375" customWidth="1"/>
    <col min="3" max="3" width="15.25" customWidth="1"/>
    <col min="4" max="4" width="14.5" style="10" customWidth="1"/>
    <col min="5" max="5" width="14.5" customWidth="1"/>
    <col min="6" max="6" width="11.375" customWidth="1"/>
    <col min="7" max="7" width="13.5" customWidth="1"/>
    <col min="8" max="8" width="16.25" bestFit="1" customWidth="1"/>
    <col min="9" max="9" width="15.125" customWidth="1"/>
    <col min="12" max="14" width="10.625" style="10"/>
  </cols>
  <sheetData>
    <row r="1" spans="1:15" x14ac:dyDescent="0.25">
      <c r="A1" s="1" t="s">
        <v>0</v>
      </c>
      <c r="B1" t="s">
        <v>95</v>
      </c>
      <c r="C1" t="s">
        <v>103</v>
      </c>
      <c r="D1" s="10" t="s">
        <v>93</v>
      </c>
      <c r="E1" t="s">
        <v>98</v>
      </c>
      <c r="F1" t="s">
        <v>99</v>
      </c>
      <c r="G1" t="s">
        <v>96</v>
      </c>
      <c r="H1" t="s">
        <v>97</v>
      </c>
      <c r="I1" t="s">
        <v>67</v>
      </c>
      <c r="J1" t="s">
        <v>74</v>
      </c>
      <c r="K1" t="s">
        <v>160</v>
      </c>
      <c r="L1" s="10" t="s">
        <v>161</v>
      </c>
      <c r="M1" s="10" t="s">
        <v>162</v>
      </c>
      <c r="N1" s="10" t="s">
        <v>163</v>
      </c>
      <c r="O1" t="s">
        <v>2</v>
      </c>
    </row>
    <row r="2" spans="1:15" x14ac:dyDescent="0.25">
      <c r="A2" s="3" t="s">
        <v>1</v>
      </c>
      <c r="B2" t="s">
        <v>102</v>
      </c>
      <c r="C2" t="s">
        <v>101</v>
      </c>
      <c r="D2" s="10" t="s">
        <v>166</v>
      </c>
      <c r="E2" t="s">
        <v>134</v>
      </c>
      <c r="F2" t="s">
        <v>135</v>
      </c>
      <c r="G2" t="s">
        <v>157</v>
      </c>
      <c r="H2" t="s">
        <v>153</v>
      </c>
      <c r="I2" t="s">
        <v>131</v>
      </c>
    </row>
    <row r="3" spans="1:15" x14ac:dyDescent="0.25">
      <c r="A3" s="3" t="s">
        <v>2</v>
      </c>
    </row>
    <row r="4" spans="1:15" x14ac:dyDescent="0.25">
      <c r="A4" t="s">
        <v>158</v>
      </c>
      <c r="B4">
        <v>0.6</v>
      </c>
      <c r="C4">
        <v>0.4</v>
      </c>
      <c r="D4" s="10" t="s">
        <v>159</v>
      </c>
      <c r="E4">
        <v>0.03</v>
      </c>
      <c r="F4">
        <v>0.03</v>
      </c>
      <c r="G4">
        <v>0</v>
      </c>
      <c r="H4">
        <v>2.5</v>
      </c>
      <c r="I4">
        <v>0</v>
      </c>
      <c r="J4" t="s">
        <v>164</v>
      </c>
      <c r="K4">
        <v>0</v>
      </c>
      <c r="L4" s="16">
        <v>0.95</v>
      </c>
      <c r="M4" s="16">
        <v>0.02</v>
      </c>
      <c r="N4" s="16">
        <v>0.3</v>
      </c>
    </row>
    <row r="5" spans="1:15" hidden="1" x14ac:dyDescent="0.25">
      <c r="A5" t="s">
        <v>127</v>
      </c>
      <c r="B5">
        <v>0.5</v>
      </c>
      <c r="C5">
        <f>1-B5</f>
        <v>0.5</v>
      </c>
      <c r="D5" s="10" t="s">
        <v>128</v>
      </c>
      <c r="E5" s="14">
        <v>5.0000000000000001E-3</v>
      </c>
      <c r="F5" s="5">
        <v>0.01</v>
      </c>
      <c r="G5">
        <v>0</v>
      </c>
      <c r="H5">
        <f>0.2*Ref!$B$17/B5/0.7</f>
        <v>2.0571428571428574</v>
      </c>
      <c r="I5">
        <v>0</v>
      </c>
      <c r="J5" t="s">
        <v>164</v>
      </c>
      <c r="K5">
        <v>0</v>
      </c>
    </row>
    <row r="6" spans="1:15" hidden="1" x14ac:dyDescent="0.25">
      <c r="A6" t="s">
        <v>129</v>
      </c>
      <c r="B6">
        <v>0.5</v>
      </c>
      <c r="C6">
        <f t="shared" ref="C6:C14" si="0">1-B6</f>
        <v>0.5</v>
      </c>
      <c r="D6" s="10" t="s">
        <v>130</v>
      </c>
      <c r="E6">
        <v>0.04</v>
      </c>
      <c r="F6" s="5">
        <v>0</v>
      </c>
      <c r="G6">
        <f>0.55*Ref!$B$17/B6/0.7</f>
        <v>5.6571428571428584</v>
      </c>
      <c r="H6">
        <f>0.13*Ref!$B$17/B6/0.7</f>
        <v>1.3371428571428574</v>
      </c>
      <c r="I6">
        <v>0</v>
      </c>
      <c r="J6" t="s">
        <v>164</v>
      </c>
      <c r="K6">
        <v>0</v>
      </c>
    </row>
    <row r="7" spans="1:15" hidden="1" x14ac:dyDescent="0.25">
      <c r="A7" t="s">
        <v>132</v>
      </c>
      <c r="B7">
        <v>0.5</v>
      </c>
      <c r="C7">
        <f t="shared" si="0"/>
        <v>0.5</v>
      </c>
      <c r="D7" s="10" t="s">
        <v>133</v>
      </c>
      <c r="E7">
        <v>0.01</v>
      </c>
      <c r="F7">
        <v>0.03</v>
      </c>
      <c r="G7">
        <v>0</v>
      </c>
      <c r="H7">
        <f>0.8*Ref!$B$17/B7/0.7</f>
        <v>8.2285714285714295</v>
      </c>
      <c r="I7">
        <v>0</v>
      </c>
      <c r="J7" t="s">
        <v>164</v>
      </c>
      <c r="K7">
        <v>0</v>
      </c>
      <c r="L7" s="10" t="s">
        <v>138</v>
      </c>
      <c r="M7" s="10" t="s">
        <v>139</v>
      </c>
      <c r="O7" t="s">
        <v>152</v>
      </c>
    </row>
    <row r="8" spans="1:15" hidden="1" x14ac:dyDescent="0.25">
      <c r="A8" t="s">
        <v>136</v>
      </c>
      <c r="B8">
        <v>0.5</v>
      </c>
      <c r="C8">
        <f t="shared" si="0"/>
        <v>0.5</v>
      </c>
      <c r="D8" s="10" t="s">
        <v>137</v>
      </c>
      <c r="E8">
        <v>0.02</v>
      </c>
      <c r="F8">
        <v>1.4999999999999999E-2</v>
      </c>
      <c r="G8">
        <v>0</v>
      </c>
      <c r="H8">
        <f>0.3*Ref!$B$17/B8/0.7</f>
        <v>3.0857142857142863</v>
      </c>
      <c r="I8">
        <v>0</v>
      </c>
      <c r="J8" t="s">
        <v>164</v>
      </c>
      <c r="K8">
        <v>0</v>
      </c>
      <c r="L8" s="10">
        <v>0.88</v>
      </c>
      <c r="M8" s="10">
        <v>1.4999999999999999E-2</v>
      </c>
    </row>
    <row r="9" spans="1:15" hidden="1" x14ac:dyDescent="0.25">
      <c r="A9" t="s">
        <v>156</v>
      </c>
      <c r="B9">
        <v>0.5</v>
      </c>
      <c r="C9">
        <v>0.5</v>
      </c>
      <c r="D9" s="10" t="s">
        <v>130</v>
      </c>
      <c r="E9">
        <v>0</v>
      </c>
      <c r="F9">
        <v>0</v>
      </c>
      <c r="G9">
        <f>0.5*Ref!$B$17/B9/0.7</f>
        <v>5.1428571428571432</v>
      </c>
      <c r="H9">
        <f>0.3*Ref!$B$17/B9/0.7</f>
        <v>3.0857142857142863</v>
      </c>
      <c r="I9">
        <v>0</v>
      </c>
      <c r="J9" t="s">
        <v>164</v>
      </c>
      <c r="K9">
        <v>0</v>
      </c>
    </row>
    <row r="10" spans="1:15" hidden="1" x14ac:dyDescent="0.25">
      <c r="A10" t="s">
        <v>140</v>
      </c>
      <c r="B10">
        <v>0.5</v>
      </c>
      <c r="C10">
        <f t="shared" si="0"/>
        <v>0.5</v>
      </c>
      <c r="D10" s="10" t="s">
        <v>141</v>
      </c>
      <c r="E10">
        <v>0</v>
      </c>
      <c r="F10">
        <v>0</v>
      </c>
      <c r="G10">
        <v>0</v>
      </c>
      <c r="H10">
        <f>((45+18.5+45+18.5+3)/300)*Ref!$B$17/B10/0.7</f>
        <v>4.4571428571428573</v>
      </c>
      <c r="I10">
        <v>0</v>
      </c>
      <c r="J10" t="s">
        <v>164</v>
      </c>
      <c r="K10">
        <v>0</v>
      </c>
      <c r="L10" s="15">
        <v>0.98</v>
      </c>
      <c r="M10" s="16">
        <v>0.02</v>
      </c>
      <c r="N10" s="16"/>
    </row>
    <row r="11" spans="1:15" ht="20" hidden="1" customHeight="1" x14ac:dyDescent="0.25">
      <c r="A11" t="s">
        <v>145</v>
      </c>
      <c r="B11">
        <v>0.5</v>
      </c>
      <c r="C11">
        <f t="shared" si="0"/>
        <v>0.5</v>
      </c>
      <c r="D11" s="10" t="s">
        <v>133</v>
      </c>
      <c r="E11">
        <v>5.0000000000000001E-3</v>
      </c>
      <c r="F11">
        <v>0.99</v>
      </c>
      <c r="G11">
        <v>0</v>
      </c>
      <c r="H11">
        <f>1.5*Ref!$B$17/0.7</f>
        <v>7.7142857142857153</v>
      </c>
      <c r="I11">
        <v>0</v>
      </c>
      <c r="J11" t="s">
        <v>164</v>
      </c>
      <c r="K11">
        <v>0</v>
      </c>
      <c r="L11" s="16">
        <v>0.98</v>
      </c>
      <c r="N11" s="16">
        <v>0.99</v>
      </c>
    </row>
    <row r="12" spans="1:15" hidden="1" x14ac:dyDescent="0.25">
      <c r="A12" t="s">
        <v>146</v>
      </c>
      <c r="B12">
        <v>0.6</v>
      </c>
      <c r="C12">
        <f t="shared" si="0"/>
        <v>0.4</v>
      </c>
      <c r="D12" s="10" t="s">
        <v>148</v>
      </c>
      <c r="E12">
        <v>0.01</v>
      </c>
      <c r="F12">
        <v>0</v>
      </c>
      <c r="G12">
        <v>0</v>
      </c>
      <c r="H12">
        <f>0.4*Ref!$B$17/0.7</f>
        <v>2.0571428571428574</v>
      </c>
      <c r="I12">
        <v>0</v>
      </c>
      <c r="J12" t="s">
        <v>164</v>
      </c>
      <c r="K12">
        <v>0</v>
      </c>
      <c r="M12" s="16">
        <v>0.03</v>
      </c>
      <c r="N12" s="16">
        <v>0.3</v>
      </c>
    </row>
    <row r="13" spans="1:15" hidden="1" x14ac:dyDescent="0.25">
      <c r="A13" t="s">
        <v>147</v>
      </c>
      <c r="B13">
        <v>0.65</v>
      </c>
      <c r="C13">
        <f t="shared" si="0"/>
        <v>0.35</v>
      </c>
      <c r="D13" s="10" t="s">
        <v>130</v>
      </c>
      <c r="E13">
        <v>1E-3</v>
      </c>
      <c r="F13">
        <v>0</v>
      </c>
      <c r="G13">
        <f>0.62*Ref!$B$17/0.7*B13</f>
        <v>2.072571428571429</v>
      </c>
      <c r="H13">
        <f>0.18*Ref!$B$17/0.7</f>
        <v>0.92571428571428582</v>
      </c>
      <c r="I13">
        <v>0</v>
      </c>
      <c r="J13" t="s">
        <v>164</v>
      </c>
      <c r="K13">
        <v>0</v>
      </c>
    </row>
    <row r="14" spans="1:15" hidden="1" x14ac:dyDescent="0.25">
      <c r="A14" t="s">
        <v>149</v>
      </c>
      <c r="B14">
        <v>0.6</v>
      </c>
      <c r="C14">
        <f t="shared" si="0"/>
        <v>0.4</v>
      </c>
      <c r="D14" s="10" t="s">
        <v>128</v>
      </c>
      <c r="E14">
        <v>0.02</v>
      </c>
      <c r="F14">
        <v>0</v>
      </c>
      <c r="G14">
        <v>0</v>
      </c>
      <c r="H14">
        <f>0.4*Ref!$B$17/0.7</f>
        <v>2.0571428571428574</v>
      </c>
      <c r="I14">
        <v>0</v>
      </c>
      <c r="J14" t="s">
        <v>164</v>
      </c>
      <c r="K14">
        <v>0</v>
      </c>
      <c r="M14" s="16">
        <v>0.03</v>
      </c>
    </row>
    <row r="15" spans="1:15" hidden="1" x14ac:dyDescent="0.25">
      <c r="A15" t="s">
        <v>154</v>
      </c>
      <c r="B15">
        <v>0.6</v>
      </c>
      <c r="C15">
        <v>0.4</v>
      </c>
      <c r="D15" s="10" t="s">
        <v>151</v>
      </c>
      <c r="E15">
        <v>3.0000000000000001E-3</v>
      </c>
      <c r="F15">
        <v>0</v>
      </c>
      <c r="G15">
        <v>0</v>
      </c>
      <c r="H15">
        <f>2.07*Ref!$B$17</f>
        <v>7.452</v>
      </c>
      <c r="I15">
        <v>0</v>
      </c>
      <c r="J15" t="s">
        <v>164</v>
      </c>
      <c r="K15">
        <v>0</v>
      </c>
      <c r="M15" s="16"/>
    </row>
    <row r="16" spans="1:15" hidden="1" x14ac:dyDescent="0.25">
      <c r="A16" t="s">
        <v>155</v>
      </c>
      <c r="B16">
        <v>0.6</v>
      </c>
      <c r="C16">
        <v>0.4</v>
      </c>
      <c r="D16" s="10" t="s">
        <v>66</v>
      </c>
      <c r="E16">
        <v>1.2E-2</v>
      </c>
      <c r="F16">
        <v>0</v>
      </c>
      <c r="G16">
        <f>1.81*Ref!B17*(0.7*B16/(0.7*B16+1.9*C16))</f>
        <v>2.3192542372881357</v>
      </c>
      <c r="H16">
        <f>1.54*Ref!B17*(1-0.643)</f>
        <v>1.9792080000000001</v>
      </c>
      <c r="I16">
        <v>0</v>
      </c>
      <c r="J16" t="s">
        <v>164</v>
      </c>
      <c r="K16">
        <v>0</v>
      </c>
      <c r="M16" s="16"/>
    </row>
    <row r="17" spans="1:15" hidden="1" x14ac:dyDescent="0.25">
      <c r="A17" t="s">
        <v>150</v>
      </c>
      <c r="B17">
        <v>0.6</v>
      </c>
      <c r="C17">
        <v>0.4</v>
      </c>
      <c r="D17" s="10" t="s">
        <v>141</v>
      </c>
      <c r="E17">
        <v>0.01</v>
      </c>
      <c r="F17">
        <v>0.05</v>
      </c>
      <c r="G17">
        <v>0</v>
      </c>
      <c r="H17">
        <v>2.5</v>
      </c>
      <c r="I17">
        <v>0</v>
      </c>
      <c r="J17" t="s">
        <v>164</v>
      </c>
      <c r="K17">
        <v>0</v>
      </c>
      <c r="N17" s="16">
        <v>0.3</v>
      </c>
    </row>
    <row r="18" spans="1:15" hidden="1" x14ac:dyDescent="0.25">
      <c r="A18" t="s">
        <v>151</v>
      </c>
      <c r="B18">
        <v>0.6</v>
      </c>
      <c r="C18">
        <v>0.4</v>
      </c>
      <c r="D18" s="10" t="s">
        <v>133</v>
      </c>
      <c r="E18">
        <v>0.01</v>
      </c>
      <c r="F18">
        <v>0.1</v>
      </c>
      <c r="G18">
        <v>0</v>
      </c>
      <c r="H18">
        <v>7</v>
      </c>
      <c r="I18">
        <v>0</v>
      </c>
      <c r="J18" t="s">
        <v>164</v>
      </c>
      <c r="K18">
        <v>0</v>
      </c>
      <c r="N18" s="16">
        <v>0.99</v>
      </c>
    </row>
    <row r="19" spans="1:15" hidden="1" x14ac:dyDescent="0.25">
      <c r="A19" t="s">
        <v>130</v>
      </c>
      <c r="B19">
        <v>0.6</v>
      </c>
      <c r="C19">
        <v>0.4</v>
      </c>
      <c r="D19" s="10" t="s">
        <v>66</v>
      </c>
      <c r="E19">
        <v>0.02</v>
      </c>
      <c r="F19">
        <v>0.1</v>
      </c>
      <c r="G19">
        <v>5</v>
      </c>
      <c r="H19">
        <v>1</v>
      </c>
      <c r="I19">
        <v>0.01</v>
      </c>
      <c r="J19" t="s">
        <v>66</v>
      </c>
      <c r="K19">
        <v>0</v>
      </c>
      <c r="N19" s="16">
        <v>0.99</v>
      </c>
    </row>
    <row r="20" spans="1:15" x14ac:dyDescent="0.25">
      <c r="A20" t="s">
        <v>213</v>
      </c>
      <c r="B20">
        <f>558.2/1365.9</f>
        <v>0.40866827732630501</v>
      </c>
      <c r="C20">
        <f>777.6/1365.9</f>
        <v>0.56929497034922028</v>
      </c>
      <c r="E20">
        <f>82.74/558.17</f>
        <v>0.14823440887184908</v>
      </c>
      <c r="F20">
        <f>750.65/777.55</f>
        <v>0.96540415407369307</v>
      </c>
      <c r="H20">
        <f>0.9/0.47543</f>
        <v>1.8930231579832992</v>
      </c>
      <c r="N20" s="16"/>
    </row>
    <row r="21" spans="1:15" ht="22" customHeight="1" x14ac:dyDescent="0.25">
      <c r="A21" t="s">
        <v>189</v>
      </c>
      <c r="B21">
        <v>0.6</v>
      </c>
      <c r="C21">
        <v>0.4</v>
      </c>
      <c r="D21" s="10" t="s">
        <v>159</v>
      </c>
      <c r="E21">
        <v>0.03</v>
      </c>
      <c r="F21">
        <v>0.03</v>
      </c>
      <c r="G21">
        <v>0</v>
      </c>
      <c r="H21">
        <f>0.25*Ref!B17/B21*Ref!$C$5+C21*Ref!$C$7*1000/(B21*Ref!$C$5/(B21*Ref!$C$5+C21*Ref!$C$7))</f>
        <v>2.2078948148148148</v>
      </c>
      <c r="I21">
        <v>0</v>
      </c>
      <c r="J21" t="s">
        <v>164</v>
      </c>
      <c r="K21">
        <v>0</v>
      </c>
      <c r="L21" s="16">
        <v>0.95</v>
      </c>
      <c r="M21" s="16">
        <v>0.02</v>
      </c>
      <c r="N21" s="16">
        <v>0.3</v>
      </c>
      <c r="O21" t="s">
        <v>196</v>
      </c>
    </row>
    <row r="22" spans="1:15" x14ac:dyDescent="0.25">
      <c r="A22" t="s">
        <v>211</v>
      </c>
      <c r="B22">
        <v>0.6</v>
      </c>
      <c r="C22">
        <v>0.4</v>
      </c>
      <c r="D22" s="10" t="s">
        <v>159</v>
      </c>
      <c r="E22">
        <v>0.03</v>
      </c>
      <c r="F22">
        <v>0.03</v>
      </c>
      <c r="G22">
        <v>0</v>
      </c>
      <c r="H22">
        <f>0.25*Ref!B18/B22*Ref!$C$5+C22*Ref!$C$7*1000/(B22*Ref!$C$5/(B22*Ref!$C$5+C22*Ref!$C$7))</f>
        <v>2.2068158948148149</v>
      </c>
      <c r="I22">
        <v>0</v>
      </c>
      <c r="J22" t="s">
        <v>164</v>
      </c>
      <c r="K22">
        <v>0</v>
      </c>
      <c r="L22" s="16">
        <v>0.95</v>
      </c>
      <c r="M22" s="16">
        <v>0.02</v>
      </c>
      <c r="N22" s="16">
        <v>0.3</v>
      </c>
      <c r="O22" t="s">
        <v>196</v>
      </c>
    </row>
    <row r="23" spans="1:15" ht="22" customHeight="1" x14ac:dyDescent="0.25">
      <c r="A23" t="s">
        <v>215</v>
      </c>
      <c r="B23">
        <v>0.6</v>
      </c>
      <c r="C23">
        <v>0.4</v>
      </c>
      <c r="D23" s="10" t="s">
        <v>159</v>
      </c>
      <c r="E23">
        <v>0.03</v>
      </c>
      <c r="F23">
        <v>0.03</v>
      </c>
      <c r="G23">
        <v>0</v>
      </c>
      <c r="H23">
        <f>0.25*Ref!B19/B23*Ref!$C$5+C23*Ref!$C$7*1000/(B23*Ref!$C$5/(B23*Ref!$C$5+C23*Ref!$C$7))</f>
        <v>2.2201978148148149</v>
      </c>
      <c r="I23">
        <v>0</v>
      </c>
      <c r="J23" t="s">
        <v>164</v>
      </c>
      <c r="K23">
        <v>0</v>
      </c>
      <c r="L23" s="16">
        <v>0.95</v>
      </c>
      <c r="M23" s="16">
        <v>0.02</v>
      </c>
      <c r="N23" s="16">
        <v>0.3</v>
      </c>
      <c r="O23" t="s">
        <v>196</v>
      </c>
    </row>
    <row r="24" spans="1:15" x14ac:dyDescent="0.25">
      <c r="A24" t="s">
        <v>216</v>
      </c>
      <c r="B24">
        <v>0.6</v>
      </c>
      <c r="C24">
        <v>0.4</v>
      </c>
      <c r="D24" s="10" t="s">
        <v>159</v>
      </c>
      <c r="E24">
        <v>0.03</v>
      </c>
      <c r="F24">
        <v>0.03</v>
      </c>
      <c r="G24">
        <v>0</v>
      </c>
      <c r="H24">
        <f>0.25*Ref!B20/B24*Ref!$C$5+C24*Ref!$C$7*1000/(B24*Ref!$C$5/(B24*Ref!$C$5+C24*Ref!$C$7))</f>
        <v>2.2071637148148149</v>
      </c>
      <c r="I24">
        <v>0</v>
      </c>
      <c r="J24" t="s">
        <v>164</v>
      </c>
      <c r="K24">
        <v>0</v>
      </c>
      <c r="L24" s="16">
        <v>0.95</v>
      </c>
      <c r="M24" s="16">
        <v>0.02</v>
      </c>
      <c r="N24" s="16">
        <v>0.3</v>
      </c>
      <c r="O24" t="s">
        <v>196</v>
      </c>
    </row>
    <row r="25" spans="1:15" x14ac:dyDescent="0.25">
      <c r="A25" t="s">
        <v>247</v>
      </c>
      <c r="B25">
        <v>0.6</v>
      </c>
      <c r="C25">
        <v>0.4</v>
      </c>
      <c r="D25" s="10" t="s">
        <v>159</v>
      </c>
      <c r="E25">
        <v>0.03</v>
      </c>
      <c r="F25">
        <v>0.03</v>
      </c>
      <c r="G25">
        <v>0</v>
      </c>
      <c r="H25">
        <f>0.25*Ref!B21/B25*Ref!$C$5+C25*Ref!$C$7*1000/(B25*Ref!$C$5/(B25*Ref!$C$5+C25*Ref!$C$7))</f>
        <v>2.2070869148148149</v>
      </c>
      <c r="I25">
        <v>0</v>
      </c>
      <c r="J25" t="s">
        <v>164</v>
      </c>
      <c r="K25">
        <v>0</v>
      </c>
      <c r="L25" s="16">
        <v>0.95</v>
      </c>
      <c r="M25" s="16">
        <v>0.02</v>
      </c>
      <c r="N25" s="16">
        <v>0.3</v>
      </c>
      <c r="O25" t="s">
        <v>196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0AAD-62B0-F941-8E8D-FFCB59CA32B6}">
  <dimension ref="A1:P6"/>
  <sheetViews>
    <sheetView workbookViewId="0">
      <selection activeCell="I4" sqref="I4"/>
    </sheetView>
  </sheetViews>
  <sheetFormatPr baseColWidth="10" defaultRowHeight="21" x14ac:dyDescent="0.25"/>
  <cols>
    <col min="4" max="4" width="12.75" bestFit="1" customWidth="1"/>
    <col min="7" max="7" width="15.75" customWidth="1"/>
    <col min="9" max="9" width="12.875" customWidth="1"/>
  </cols>
  <sheetData>
    <row r="1" spans="1:16" x14ac:dyDescent="0.25">
      <c r="A1" s="1" t="s">
        <v>0</v>
      </c>
      <c r="B1" s="1" t="s">
        <v>191</v>
      </c>
      <c r="C1" s="10" t="s">
        <v>64</v>
      </c>
      <c r="D1" s="9" t="s">
        <v>72</v>
      </c>
      <c r="E1" t="s">
        <v>76</v>
      </c>
      <c r="F1" s="9" t="s">
        <v>197</v>
      </c>
      <c r="G1" t="s">
        <v>187</v>
      </c>
      <c r="H1" s="10" t="s">
        <v>188</v>
      </c>
      <c r="I1" t="s">
        <v>53</v>
      </c>
      <c r="J1" t="s">
        <v>180</v>
      </c>
      <c r="K1" t="s">
        <v>96</v>
      </c>
      <c r="L1" t="s">
        <v>217</v>
      </c>
      <c r="M1" t="s">
        <v>171</v>
      </c>
      <c r="N1" t="s">
        <v>219</v>
      </c>
      <c r="O1" t="s">
        <v>220</v>
      </c>
      <c r="P1" t="s">
        <v>69</v>
      </c>
    </row>
    <row r="2" spans="1:16" x14ac:dyDescent="0.25">
      <c r="A2" s="3" t="s">
        <v>1</v>
      </c>
      <c r="B2" s="3"/>
      <c r="C2" s="10" t="s">
        <v>65</v>
      </c>
      <c r="D2" s="9" t="s">
        <v>71</v>
      </c>
      <c r="E2" t="s">
        <v>169</v>
      </c>
      <c r="F2" s="9" t="s">
        <v>192</v>
      </c>
      <c r="H2" s="10" t="s">
        <v>65</v>
      </c>
      <c r="I2" t="s">
        <v>61</v>
      </c>
      <c r="J2" t="s">
        <v>61</v>
      </c>
      <c r="K2" t="s">
        <v>221</v>
      </c>
    </row>
    <row r="3" spans="1:16" x14ac:dyDescent="0.25">
      <c r="A3" s="3" t="s">
        <v>2</v>
      </c>
      <c r="B3" s="3"/>
      <c r="C3" s="10"/>
      <c r="D3" s="9" t="s">
        <v>194</v>
      </c>
      <c r="E3" t="s">
        <v>193</v>
      </c>
      <c r="F3" s="9"/>
    </row>
    <row r="4" spans="1:16" x14ac:dyDescent="0.25">
      <c r="A4" t="s">
        <v>85</v>
      </c>
      <c r="B4" t="s">
        <v>218</v>
      </c>
      <c r="C4">
        <f>0.93</f>
        <v>0.93</v>
      </c>
      <c r="D4">
        <f>30.563/8.994*C4</f>
        <v>3.1602835223482324</v>
      </c>
      <c r="E4">
        <f>26.231/30.563</f>
        <v>0.85825998756666566</v>
      </c>
      <c r="F4">
        <v>0</v>
      </c>
      <c r="G4" t="s">
        <v>190</v>
      </c>
      <c r="H4">
        <v>0.95</v>
      </c>
      <c r="I4">
        <f>1.216*Ref!B$17/8.994</f>
        <v>0.48672448298865911</v>
      </c>
      <c r="J4">
        <f>11.5*Ref!B$17/8.994</f>
        <v>4.6030687124749834</v>
      </c>
    </row>
    <row r="5" spans="1:16" x14ac:dyDescent="0.25">
      <c r="A5" t="s">
        <v>215</v>
      </c>
      <c r="B5" t="s">
        <v>218</v>
      </c>
      <c r="C5">
        <f>0.93</f>
        <v>0.93</v>
      </c>
      <c r="D5">
        <f>30.563/8.994*C5</f>
        <v>3.1602835223482324</v>
      </c>
      <c r="E5">
        <f>26.231/30.563</f>
        <v>0.85825998756666566</v>
      </c>
      <c r="F5">
        <v>0</v>
      </c>
      <c r="G5" t="s">
        <v>190</v>
      </c>
      <c r="H5">
        <v>0.95</v>
      </c>
      <c r="I5">
        <v>0</v>
      </c>
      <c r="J5">
        <f>11.5*Ref!B$17/8.994-I$4</f>
        <v>4.1163442294863239</v>
      </c>
      <c r="K5">
        <v>0</v>
      </c>
      <c r="L5">
        <v>0</v>
      </c>
      <c r="M5">
        <v>0</v>
      </c>
      <c r="N5">
        <f>59.7/8.994</f>
        <v>6.6377585056704476</v>
      </c>
      <c r="O5">
        <f>13.8/8.994</f>
        <v>1.5343562374916613</v>
      </c>
    </row>
    <row r="6" spans="1:16" x14ac:dyDescent="0.25">
      <c r="A6" t="s">
        <v>216</v>
      </c>
      <c r="B6" t="s">
        <v>218</v>
      </c>
      <c r="C6">
        <f>0.93</f>
        <v>0.93</v>
      </c>
      <c r="D6">
        <f>30.563/8.994*C6</f>
        <v>3.1602835223482324</v>
      </c>
      <c r="E6">
        <f>26.231/30.563</f>
        <v>0.85825998756666566</v>
      </c>
      <c r="F6">
        <v>1</v>
      </c>
      <c r="G6" t="s">
        <v>190</v>
      </c>
      <c r="H6">
        <v>0.95</v>
      </c>
      <c r="I6">
        <v>0</v>
      </c>
      <c r="J6">
        <f>11.5*Ref!B$17/8.994-I$4</f>
        <v>4.1163442294863239</v>
      </c>
      <c r="K6">
        <v>0</v>
      </c>
      <c r="L6">
        <v>0</v>
      </c>
      <c r="M6">
        <v>0</v>
      </c>
      <c r="N6">
        <f>59.7/8.994</f>
        <v>6.6377585056704476</v>
      </c>
      <c r="O6">
        <f>13.8/8.994</f>
        <v>1.5343562374916613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AC44-29C8-1B42-B11D-F1AC42AF697B}">
  <dimension ref="A1:R4"/>
  <sheetViews>
    <sheetView topLeftCell="E1" workbookViewId="0">
      <selection activeCell="L4" sqref="L4"/>
    </sheetView>
  </sheetViews>
  <sheetFormatPr baseColWidth="10" defaultColWidth="6.625" defaultRowHeight="21" x14ac:dyDescent="0.25"/>
  <cols>
    <col min="1" max="1" width="11.625" customWidth="1"/>
    <col min="2" max="2" width="9.25" customWidth="1"/>
    <col min="3" max="3" width="14.5" customWidth="1"/>
    <col min="4" max="4" width="13.625" bestFit="1" customWidth="1"/>
    <col min="5" max="5" width="15.875" customWidth="1"/>
    <col min="6" max="6" width="27.375" style="20" customWidth="1"/>
    <col min="7" max="7" width="15.875" customWidth="1"/>
    <col min="8" max="8" width="20.625" bestFit="1" customWidth="1"/>
    <col min="9" max="9" width="11.5" customWidth="1"/>
    <col min="10" max="11" width="8.5" customWidth="1"/>
    <col min="12" max="12" width="13.875" customWidth="1"/>
  </cols>
  <sheetData>
    <row r="1" spans="1:18" x14ac:dyDescent="0.25">
      <c r="A1" s="18" t="s">
        <v>0</v>
      </c>
      <c r="B1" s="18" t="s">
        <v>222</v>
      </c>
      <c r="C1" t="s">
        <v>223</v>
      </c>
      <c r="D1" s="19" t="s">
        <v>224</v>
      </c>
      <c r="E1" t="s">
        <v>225</v>
      </c>
      <c r="F1" s="20" t="s">
        <v>226</v>
      </c>
      <c r="G1" t="s">
        <v>105</v>
      </c>
      <c r="H1" t="s">
        <v>75</v>
      </c>
      <c r="I1" t="s">
        <v>227</v>
      </c>
      <c r="J1" t="s">
        <v>228</v>
      </c>
      <c r="K1" t="s">
        <v>229</v>
      </c>
      <c r="L1" t="s">
        <v>97</v>
      </c>
      <c r="M1" t="s">
        <v>230</v>
      </c>
      <c r="N1" t="s">
        <v>231</v>
      </c>
      <c r="O1" t="s">
        <v>232</v>
      </c>
      <c r="P1" t="s">
        <v>219</v>
      </c>
      <c r="Q1" t="s">
        <v>245</v>
      </c>
      <c r="R1" t="s">
        <v>242</v>
      </c>
    </row>
    <row r="2" spans="1:18" x14ac:dyDescent="0.25">
      <c r="A2" t="s">
        <v>1</v>
      </c>
      <c r="D2" t="s">
        <v>238</v>
      </c>
      <c r="E2" t="s">
        <v>233</v>
      </c>
      <c r="G2" t="s">
        <v>234</v>
      </c>
      <c r="I2" t="s">
        <v>235</v>
      </c>
      <c r="J2" t="s">
        <v>239</v>
      </c>
      <c r="K2" t="s">
        <v>239</v>
      </c>
      <c r="L2" t="s">
        <v>236</v>
      </c>
      <c r="M2" t="s">
        <v>240</v>
      </c>
      <c r="N2" t="s">
        <v>241</v>
      </c>
      <c r="O2" t="s">
        <v>241</v>
      </c>
      <c r="P2" t="s">
        <v>237</v>
      </c>
    </row>
    <row r="3" spans="1:18" x14ac:dyDescent="0.25">
      <c r="A3" t="s">
        <v>2</v>
      </c>
    </row>
    <row r="4" spans="1:18" ht="110" x14ac:dyDescent="0.25">
      <c r="A4" t="s">
        <v>243</v>
      </c>
      <c r="G4">
        <f>183718/15322</f>
        <v>11.990471217856676</v>
      </c>
      <c r="H4" t="s">
        <v>244</v>
      </c>
      <c r="Q4" s="21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9354-6E4F-0349-8528-CE67C4B1B63A}">
  <dimension ref="A1:D25"/>
  <sheetViews>
    <sheetView workbookViewId="0">
      <selection activeCell="B19" sqref="B19"/>
    </sheetView>
  </sheetViews>
  <sheetFormatPr baseColWidth="10" defaultRowHeight="21" x14ac:dyDescent="0.25"/>
  <sheetData>
    <row r="1" spans="1:4" x14ac:dyDescent="0.25">
      <c r="A1" s="1" t="s">
        <v>28</v>
      </c>
      <c r="B1" s="2"/>
      <c r="C1" s="2"/>
      <c r="D1" s="2"/>
    </row>
    <row r="2" spans="1:4" x14ac:dyDescent="0.25">
      <c r="A2" s="1" t="s">
        <v>29</v>
      </c>
      <c r="B2" s="2"/>
      <c r="C2" s="2"/>
      <c r="D2" s="2"/>
    </row>
    <row r="3" spans="1:4" x14ac:dyDescent="0.25">
      <c r="A3" s="2"/>
      <c r="B3" s="1" t="s">
        <v>30</v>
      </c>
      <c r="C3" s="1" t="s">
        <v>31</v>
      </c>
      <c r="D3" s="2"/>
    </row>
    <row r="4" spans="1:4" x14ac:dyDescent="0.25">
      <c r="A4" s="2" t="s">
        <v>32</v>
      </c>
      <c r="B4" s="2">
        <v>12</v>
      </c>
      <c r="C4" s="2">
        <v>5.4000000000000001E-4</v>
      </c>
      <c r="D4" s="2"/>
    </row>
    <row r="5" spans="1:4" x14ac:dyDescent="0.25">
      <c r="A5" s="2" t="s">
        <v>33</v>
      </c>
      <c r="B5" s="2">
        <v>16.04</v>
      </c>
      <c r="C5" s="2">
        <v>7.2000000000000005E-4</v>
      </c>
      <c r="D5" s="2"/>
    </row>
    <row r="6" spans="1:4" x14ac:dyDescent="0.25">
      <c r="A6" s="2" t="s">
        <v>34</v>
      </c>
      <c r="B6" s="2">
        <v>28.01</v>
      </c>
      <c r="C6" s="2">
        <v>1.25E-3</v>
      </c>
      <c r="D6" s="2"/>
    </row>
    <row r="7" spans="1:4" x14ac:dyDescent="0.25">
      <c r="A7" s="2" t="s">
        <v>35</v>
      </c>
      <c r="B7" s="2">
        <v>44.01</v>
      </c>
      <c r="C7" s="2">
        <v>1.9599999999999999E-3</v>
      </c>
      <c r="D7" s="2"/>
    </row>
    <row r="8" spans="1:4" x14ac:dyDescent="0.25">
      <c r="A8" s="2" t="s">
        <v>36</v>
      </c>
      <c r="B8" s="2">
        <v>2.02</v>
      </c>
      <c r="C8" s="2">
        <v>9.0000000000000006E-5</v>
      </c>
      <c r="D8" s="2"/>
    </row>
    <row r="9" spans="1:4" x14ac:dyDescent="0.25">
      <c r="A9" s="2" t="s">
        <v>37</v>
      </c>
      <c r="B9" s="2">
        <v>18.02</v>
      </c>
      <c r="C9" s="2">
        <v>8.0000000000000004E-4</v>
      </c>
      <c r="D9" s="2"/>
    </row>
    <row r="10" spans="1:4" x14ac:dyDescent="0.25">
      <c r="A10" s="2" t="s">
        <v>38</v>
      </c>
      <c r="B10" s="2">
        <v>92.32</v>
      </c>
      <c r="C10" s="2">
        <v>4.1200000000000004E-3</v>
      </c>
      <c r="D10" s="2"/>
    </row>
    <row r="11" spans="1:4" x14ac:dyDescent="0.25">
      <c r="A11" s="2" t="s">
        <v>39</v>
      </c>
      <c r="B11" s="2">
        <v>28.01</v>
      </c>
      <c r="C11" s="2">
        <v>1.25E-3</v>
      </c>
      <c r="D11" s="2"/>
    </row>
    <row r="12" spans="1:4" x14ac:dyDescent="0.25">
      <c r="A12" s="2" t="s">
        <v>40</v>
      </c>
      <c r="B12" s="2">
        <v>32</v>
      </c>
      <c r="C12" s="2">
        <v>1.4300000000000001E-3</v>
      </c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1" t="s">
        <v>41</v>
      </c>
      <c r="B15" s="2"/>
      <c r="C15" s="2"/>
      <c r="D15" s="2"/>
    </row>
    <row r="16" spans="1:4" x14ac:dyDescent="0.25">
      <c r="A16" s="2"/>
      <c r="B16" s="1" t="s">
        <v>42</v>
      </c>
      <c r="C16" s="1"/>
      <c r="D16" s="2"/>
    </row>
    <row r="17" spans="1:4" x14ac:dyDescent="0.25">
      <c r="A17" s="2" t="s">
        <v>88</v>
      </c>
      <c r="B17" s="2">
        <v>3.6</v>
      </c>
      <c r="C17" s="2"/>
      <c r="D17" s="2"/>
    </row>
    <row r="18" spans="1:4" x14ac:dyDescent="0.25">
      <c r="A18" s="2" t="s">
        <v>87</v>
      </c>
      <c r="B18" s="2">
        <v>3.5999999999999999E-3</v>
      </c>
      <c r="C18" s="2"/>
      <c r="D18" s="2"/>
    </row>
    <row r="19" spans="1:4" x14ac:dyDescent="0.25">
      <c r="A19" s="2" t="s">
        <v>89</v>
      </c>
      <c r="B19" s="2">
        <v>44.61</v>
      </c>
      <c r="C19" s="2"/>
      <c r="D19" s="2"/>
    </row>
    <row r="20" spans="1:4" x14ac:dyDescent="0.25">
      <c r="A20" s="2" t="s">
        <v>90</v>
      </c>
      <c r="B20" s="2">
        <v>1.163</v>
      </c>
      <c r="C20" s="2"/>
      <c r="D20" s="2"/>
    </row>
    <row r="21" spans="1:4" x14ac:dyDescent="0.25">
      <c r="A21" s="2" t="s">
        <v>91</v>
      </c>
      <c r="B21" s="2">
        <v>0.90700000000000003</v>
      </c>
      <c r="C21" s="2"/>
      <c r="D21" s="2"/>
    </row>
    <row r="22" spans="1:4" x14ac:dyDescent="0.25">
      <c r="A22" s="2"/>
      <c r="B22" s="2"/>
      <c r="C22" s="2"/>
      <c r="D22" s="2"/>
    </row>
    <row r="24" spans="1:4" x14ac:dyDescent="0.25">
      <c r="A24" s="2" t="s">
        <v>176</v>
      </c>
    </row>
    <row r="25" spans="1:4" x14ac:dyDescent="0.25">
      <c r="A25" s="2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8D49-AD91-2B4F-BAAA-A7F2224101D6}">
  <dimension ref="A1:P14"/>
  <sheetViews>
    <sheetView tabSelected="1" workbookViewId="0">
      <selection activeCell="B9" sqref="B9"/>
    </sheetView>
  </sheetViews>
  <sheetFormatPr baseColWidth="10" defaultRowHeight="21" x14ac:dyDescent="0.25"/>
  <cols>
    <col min="1" max="1" width="13.75" customWidth="1"/>
    <col min="2" max="2" width="20" customWidth="1"/>
    <col min="3" max="3" width="11.25" bestFit="1" customWidth="1"/>
    <col min="5" max="5" width="12.625" bestFit="1" customWidth="1"/>
    <col min="6" max="6" width="12.625" customWidth="1"/>
    <col min="12" max="12" width="12.25" bestFit="1" customWidth="1"/>
  </cols>
  <sheetData>
    <row r="1" spans="1:16" x14ac:dyDescent="0.25">
      <c r="A1" s="1" t="s">
        <v>0</v>
      </c>
      <c r="B1" s="1" t="s">
        <v>15</v>
      </c>
      <c r="C1" t="s">
        <v>3</v>
      </c>
      <c r="D1" t="s">
        <v>12</v>
      </c>
      <c r="E1" t="s">
        <v>5</v>
      </c>
      <c r="F1" t="s">
        <v>198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201</v>
      </c>
      <c r="O1" s="8" t="s">
        <v>217</v>
      </c>
      <c r="P1" t="s">
        <v>69</v>
      </c>
    </row>
    <row r="2" spans="1:16" x14ac:dyDescent="0.25">
      <c r="A2" s="3" t="s">
        <v>1</v>
      </c>
      <c r="B2" s="3"/>
      <c r="C2" s="4" t="s">
        <v>43</v>
      </c>
      <c r="D2" s="4" t="s">
        <v>43</v>
      </c>
      <c r="E2" s="4" t="s">
        <v>43</v>
      </c>
      <c r="F2" s="4" t="s">
        <v>43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 t="s">
        <v>168</v>
      </c>
      <c r="M2" s="2" t="s">
        <v>168</v>
      </c>
      <c r="N2" s="2" t="s">
        <v>202</v>
      </c>
    </row>
    <row r="3" spans="1:16" x14ac:dyDescent="0.25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</row>
    <row r="4" spans="1:16" hidden="1" x14ac:dyDescent="0.25">
      <c r="A4" t="s">
        <v>14</v>
      </c>
      <c r="B4" t="s">
        <v>253</v>
      </c>
      <c r="C4">
        <f>3.95/12.2</f>
        <v>0.32377049180327871</v>
      </c>
      <c r="D4">
        <f>45.83/12.2</f>
        <v>3.7565573770491802</v>
      </c>
      <c r="E4">
        <f>4.9/12.2</f>
        <v>0.40163934426229514</v>
      </c>
      <c r="F4">
        <v>0</v>
      </c>
      <c r="G4">
        <f>4.34/3.95</f>
        <v>1.0987341772151897</v>
      </c>
      <c r="H4">
        <f>(0.01+0.05)/3.95</f>
        <v>1.518987341772152E-2</v>
      </c>
      <c r="I4">
        <f>0.07/3.95</f>
        <v>1.7721518987341773E-2</v>
      </c>
      <c r="J4">
        <f>0.01/3.95</f>
        <v>2.5316455696202532E-3</v>
      </c>
      <c r="K4">
        <f>46.68/3.95</f>
        <v>11.817721518987341</v>
      </c>
      <c r="L4">
        <f>1269.5/3.95*Ref!$B$18</f>
        <v>1.1570126582278479</v>
      </c>
      <c r="M4">
        <f>(31007*2.013)/(3.95*1000)</f>
        <v>15.801795189873419</v>
      </c>
      <c r="N4">
        <v>0</v>
      </c>
      <c r="O4">
        <v>0</v>
      </c>
    </row>
    <row r="5" spans="1:16" hidden="1" x14ac:dyDescent="0.25">
      <c r="A5" t="s">
        <v>199</v>
      </c>
      <c r="B5" t="s">
        <v>207</v>
      </c>
      <c r="C5">
        <f>247.29/1000</f>
        <v>0.24728999999999998</v>
      </c>
      <c r="D5">
        <f>269.06/1000</f>
        <v>0.26906000000000002</v>
      </c>
      <c r="E5">
        <v>0</v>
      </c>
      <c r="F5">
        <f>301.3610989/1000</f>
        <v>0.30136109890000001</v>
      </c>
      <c r="G5">
        <f>271.99/247.27</f>
        <v>1.0999716908642374</v>
      </c>
      <c r="H5">
        <f>33.26/247.27</f>
        <v>0.13450883649452014</v>
      </c>
      <c r="I5">
        <f>19.31/247.27</f>
        <v>7.8092773082056047E-2</v>
      </c>
      <c r="J5">
        <f>0.56/247.27</f>
        <v>2.2647308610021437E-3</v>
      </c>
      <c r="K5">
        <v>0</v>
      </c>
      <c r="L5">
        <f>190*Ref!B$18/247.27*1000</f>
        <v>2.7662069802240463</v>
      </c>
      <c r="M5">
        <v>8.58</v>
      </c>
      <c r="N5">
        <f>25/247.27</f>
        <v>0.10110405629473854</v>
      </c>
      <c r="O5">
        <v>0</v>
      </c>
    </row>
    <row r="6" spans="1:16" hidden="1" x14ac:dyDescent="0.25">
      <c r="A6" t="s">
        <v>200</v>
      </c>
      <c r="B6" t="s">
        <v>206</v>
      </c>
      <c r="C6">
        <f>22816.98/100000</f>
        <v>0.22816980000000001</v>
      </c>
      <c r="D6">
        <f>25483.31/100000</f>
        <v>0.25483310000000003</v>
      </c>
      <c r="E6">
        <v>0</v>
      </c>
      <c r="F6">
        <f>37519.63/100000</f>
        <v>0.37519629999999998</v>
      </c>
      <c r="G6">
        <f>25098.68/22816.98</f>
        <v>1.100000087654019</v>
      </c>
      <c r="H6">
        <f>3534.12/22816.98</f>
        <v>0.15488991093475121</v>
      </c>
      <c r="I6">
        <f>1781.69/22816.98</f>
        <v>7.8086144616859907E-2</v>
      </c>
      <c r="J6">
        <f>52.05/22816.98</f>
        <v>2.2811958462513444E-3</v>
      </c>
      <c r="K6">
        <v>0</v>
      </c>
      <c r="L6">
        <f>19000*Ref!B$18/22816.98*1000</f>
        <v>2.9977674521343314</v>
      </c>
      <c r="M6">
        <f>269000/22816.98</f>
        <v>11.78946556468034</v>
      </c>
      <c r="N6">
        <f>2500/22816.98</f>
        <v>0.10956752383531913</v>
      </c>
      <c r="O6">
        <v>0</v>
      </c>
    </row>
    <row r="7" spans="1:16" hidden="1" x14ac:dyDescent="0.25">
      <c r="A7" t="s">
        <v>203</v>
      </c>
      <c r="B7" t="s">
        <v>208</v>
      </c>
      <c r="C7">
        <f>25128.74/100000</f>
        <v>0.25128739999999999</v>
      </c>
      <c r="D7">
        <f>29369.64/100000</f>
        <v>0.29369639999999997</v>
      </c>
      <c r="E7">
        <v>0</v>
      </c>
      <c r="F7">
        <f>31513.44/100000</f>
        <v>0.31513439999999998</v>
      </c>
      <c r="G7">
        <f>27641.61/25128.74</f>
        <v>1.0999998408197147</v>
      </c>
      <c r="H7">
        <f>3068.4/25128.74</f>
        <v>0.12210719677946447</v>
      </c>
      <c r="I7">
        <f>1962.2/25128.74</f>
        <v>7.8085888906487155E-2</v>
      </c>
      <c r="J7">
        <f>57.33/25128.74</f>
        <v>2.2814514376765407E-3</v>
      </c>
      <c r="K7">
        <v>0</v>
      </c>
      <c r="L7">
        <f>19000*Ref!B$18/25128.74*1000</f>
        <v>2.7219828769767203</v>
      </c>
      <c r="M7">
        <f>269000/25128.74</f>
        <v>10.704874179923067</v>
      </c>
      <c r="N7">
        <f>2500/25128.74</f>
        <v>9.9487678252073122E-2</v>
      </c>
      <c r="O7">
        <v>0</v>
      </c>
    </row>
    <row r="8" spans="1:16" hidden="1" x14ac:dyDescent="0.25">
      <c r="A8" t="s">
        <v>204</v>
      </c>
      <c r="B8" t="s">
        <v>252</v>
      </c>
      <c r="C8">
        <f>8959/(28157*0.85)</f>
        <v>0.37432965159640585</v>
      </c>
      <c r="D8">
        <f>8910/(25157/0.85)</f>
        <v>0.30104940970703981</v>
      </c>
      <c r="E8">
        <f>9205/(25157/0.85)</f>
        <v>0.31101681440553325</v>
      </c>
      <c r="G8">
        <v>1.1000000000000001</v>
      </c>
      <c r="H8">
        <f>(20+29)/8959</f>
        <v>5.4693604196896974E-3</v>
      </c>
      <c r="I8">
        <f>58/8959</f>
        <v>6.4739368233061728E-3</v>
      </c>
      <c r="J8">
        <f>6/8959</f>
        <v>6.6971760241098341E-4</v>
      </c>
      <c r="K8">
        <f>8910/8959</f>
        <v>0.99453063958031029</v>
      </c>
      <c r="L8">
        <f>2042*Ref!B$18/8.959</f>
        <v>0.82053800647393682</v>
      </c>
      <c r="M8">
        <f>(27681*2.013)/(8959)</f>
        <v>6.2196509655095431</v>
      </c>
      <c r="N8">
        <f>58/8959</f>
        <v>6.4739368233061728E-3</v>
      </c>
      <c r="O8">
        <v>0</v>
      </c>
    </row>
    <row r="9" spans="1:16" x14ac:dyDescent="0.25">
      <c r="A9" t="s">
        <v>185</v>
      </c>
      <c r="B9" t="s">
        <v>251</v>
      </c>
      <c r="C9">
        <f>8959/(28157*0.85)</f>
        <v>0.37432965159640585</v>
      </c>
      <c r="D9">
        <f>8910/(25157/0.85)</f>
        <v>0.30104940970703981</v>
      </c>
      <c r="E9">
        <f>9205/(25157/0.85)</f>
        <v>0.31101681440553325</v>
      </c>
      <c r="G9">
        <v>1.1000000000000001</v>
      </c>
      <c r="H9">
        <f>(20+29)/8959</f>
        <v>5.4693604196896974E-3</v>
      </c>
      <c r="I9">
        <f>58/8959</f>
        <v>6.4739368233061728E-3</v>
      </c>
      <c r="J9">
        <f>6/8959</f>
        <v>6.6971760241098341E-4</v>
      </c>
      <c r="K9">
        <f>8910/8959</f>
        <v>0.99453063958031029</v>
      </c>
      <c r="L9">
        <f>2042*Ref!B$18/8.959</f>
        <v>0.82053800647393682</v>
      </c>
      <c r="M9">
        <f>(27681*2.013)/(8959)</f>
        <v>6.2196509655095431</v>
      </c>
      <c r="N9">
        <f>58/8959</f>
        <v>6.4739368233061728E-3</v>
      </c>
      <c r="O9">
        <v>0</v>
      </c>
    </row>
    <row r="10" spans="1:16" x14ac:dyDescent="0.25">
      <c r="A10" t="s">
        <v>209</v>
      </c>
      <c r="B10" t="s">
        <v>251</v>
      </c>
      <c r="C10">
        <f>8959/(28157*0.85)</f>
        <v>0.37432965159640585</v>
      </c>
      <c r="D10">
        <f>8910/(25157/0.85)</f>
        <v>0.30104940970703981</v>
      </c>
      <c r="E10">
        <f>9205/(25157/0.85)</f>
        <v>0.31101681440553325</v>
      </c>
      <c r="G10">
        <v>1.1000000000000001</v>
      </c>
      <c r="H10">
        <f>(20+29)/8959</f>
        <v>5.4693604196896974E-3</v>
      </c>
      <c r="I10">
        <f>58/8959</f>
        <v>6.4739368233061728E-3</v>
      </c>
      <c r="J10">
        <f>6/8959</f>
        <v>6.6971760241098341E-4</v>
      </c>
      <c r="K10">
        <f>8910/8959</f>
        <v>0.99453063958031029</v>
      </c>
      <c r="L10">
        <f>2042*Ref!B$18/8.959</f>
        <v>0.82053800647393682</v>
      </c>
      <c r="M10">
        <f>(27681*2.013)/(8959)</f>
        <v>6.2196509655095431</v>
      </c>
      <c r="N10">
        <f>58/8959</f>
        <v>6.4739368233061728E-3</v>
      </c>
      <c r="O10">
        <v>0</v>
      </c>
    </row>
    <row r="11" spans="1:16" ht="19" hidden="1" customHeight="1" x14ac:dyDescent="0.25">
      <c r="A11" t="s">
        <v>205</v>
      </c>
      <c r="B11" t="s">
        <v>210</v>
      </c>
      <c r="C11">
        <f>8959/(46667*0.85)</f>
        <v>0.22585552960336</v>
      </c>
      <c r="F11">
        <f>12729/21673</f>
        <v>0.58732062935449636</v>
      </c>
      <c r="G11">
        <f>20669/21673</f>
        <v>0.95367507959211928</v>
      </c>
      <c r="I11">
        <f>689/8959</f>
        <v>7.6905904676861259E-2</v>
      </c>
      <c r="K11">
        <f>100529/8959</f>
        <v>11.221006808795625</v>
      </c>
      <c r="L11">
        <f>9229*Ref!$B18/8.959</f>
        <v>3.708494251590579</v>
      </c>
      <c r="N11">
        <f>1629/8959</f>
        <v>0.18182832905458199</v>
      </c>
      <c r="O11">
        <v>0</v>
      </c>
    </row>
    <row r="12" spans="1:16" hidden="1" x14ac:dyDescent="0.25">
      <c r="A12" t="s">
        <v>248</v>
      </c>
      <c r="B12" t="s">
        <v>253</v>
      </c>
      <c r="C12">
        <f>1/(2.5*0.85)</f>
        <v>0.47058823529411764</v>
      </c>
      <c r="D12">
        <v>0.5</v>
      </c>
      <c r="E12">
        <f>0.5/(2.5/0.85)</f>
        <v>0.16999999999999998</v>
      </c>
      <c r="F12">
        <v>0</v>
      </c>
      <c r="G12">
        <f>4.34/3.95</f>
        <v>1.0987341772151897</v>
      </c>
      <c r="H12">
        <v>0.02</v>
      </c>
      <c r="I12">
        <v>0</v>
      </c>
      <c r="J12">
        <v>0</v>
      </c>
      <c r="K12">
        <v>0</v>
      </c>
      <c r="L12">
        <f>0.17*1000*Ref!B18</f>
        <v>0.61199999999999999</v>
      </c>
      <c r="M12">
        <v>2.6</v>
      </c>
      <c r="N12">
        <v>0</v>
      </c>
      <c r="O12">
        <v>0</v>
      </c>
    </row>
    <row r="13" spans="1:16" hidden="1" x14ac:dyDescent="0.25">
      <c r="A13" t="s">
        <v>249</v>
      </c>
      <c r="B13" t="s">
        <v>253</v>
      </c>
      <c r="C13">
        <f>1/(1.5*0.86)</f>
        <v>0.77519379844961234</v>
      </c>
      <c r="D13">
        <f>1.4/(1.5/0.86)</f>
        <v>0.80266666666666664</v>
      </c>
      <c r="E13">
        <f>0.49/(1.5/0.86)</f>
        <v>0.28093333333333331</v>
      </c>
      <c r="F13">
        <v>0</v>
      </c>
      <c r="G13">
        <v>1.17</v>
      </c>
      <c r="H13">
        <v>0</v>
      </c>
      <c r="I13">
        <v>8.0000000000000002E-3</v>
      </c>
      <c r="J13">
        <v>0</v>
      </c>
      <c r="K13">
        <v>1.3</v>
      </c>
      <c r="L13">
        <f>0.19*1000*Ref!B$18</f>
        <v>0.68399999999999994</v>
      </c>
      <c r="M13">
        <v>6.5</v>
      </c>
      <c r="N13">
        <v>0.01</v>
      </c>
      <c r="O13">
        <v>0</v>
      </c>
    </row>
    <row r="14" spans="1:16" hidden="1" x14ac:dyDescent="0.25">
      <c r="A14" t="s">
        <v>250</v>
      </c>
      <c r="B14" t="s">
        <v>252</v>
      </c>
      <c r="C14">
        <f>3.95/12.2</f>
        <v>0.32377049180327871</v>
      </c>
      <c r="D14">
        <f>45.83/12.2</f>
        <v>3.7565573770491802</v>
      </c>
      <c r="E14">
        <f>4.9/12.2</f>
        <v>0.40163934426229514</v>
      </c>
      <c r="F14">
        <v>0</v>
      </c>
      <c r="G14">
        <f>4.34/3.95</f>
        <v>1.0987341772151897</v>
      </c>
      <c r="H14">
        <f>(0.01+0.05)/3.95</f>
        <v>1.518987341772152E-2</v>
      </c>
      <c r="I14">
        <f>0.07/3.95</f>
        <v>1.7721518987341773E-2</v>
      </c>
      <c r="J14">
        <f>0.01/3.95</f>
        <v>2.5316455696202532E-3</v>
      </c>
      <c r="K14">
        <f>46.68/3.95</f>
        <v>11.817721518987341</v>
      </c>
      <c r="L14">
        <f>1269.5/3.95*Ref!$B$18</f>
        <v>1.1570126582278479</v>
      </c>
      <c r="M14">
        <v>6.5</v>
      </c>
      <c r="N14">
        <v>0</v>
      </c>
      <c r="O14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F473-4EA7-6F41-858E-0940A628EB94}">
  <dimension ref="A1:M6"/>
  <sheetViews>
    <sheetView workbookViewId="0">
      <selection activeCell="B6" sqref="B6"/>
    </sheetView>
  </sheetViews>
  <sheetFormatPr baseColWidth="10" defaultRowHeight="21" x14ac:dyDescent="0.25"/>
  <cols>
    <col min="1" max="1" width="11.625" customWidth="1"/>
    <col min="2" max="2" width="11.5" bestFit="1" customWidth="1"/>
    <col min="3" max="3" width="12.875" bestFit="1" customWidth="1"/>
    <col min="4" max="4" width="14" bestFit="1" customWidth="1"/>
    <col min="5" max="6" width="15" bestFit="1" customWidth="1"/>
    <col min="8" max="8" width="12.25" bestFit="1" customWidth="1"/>
    <col min="11" max="11" width="12.25" bestFit="1" customWidth="1"/>
  </cols>
  <sheetData>
    <row r="1" spans="1:13" x14ac:dyDescent="0.25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45</v>
      </c>
      <c r="K1" t="s">
        <v>10</v>
      </c>
      <c r="L1" t="s">
        <v>11</v>
      </c>
      <c r="M1" s="8" t="s">
        <v>217</v>
      </c>
    </row>
    <row r="2" spans="1:13" x14ac:dyDescent="0.25">
      <c r="A2" s="3" t="s">
        <v>1</v>
      </c>
      <c r="C2" t="s">
        <v>43</v>
      </c>
      <c r="D2" t="s">
        <v>24</v>
      </c>
      <c r="E2" t="s">
        <v>44</v>
      </c>
      <c r="F2" t="s">
        <v>25</v>
      </c>
      <c r="G2" t="s">
        <v>26</v>
      </c>
      <c r="H2" t="s">
        <v>27</v>
      </c>
      <c r="I2" t="s">
        <v>27</v>
      </c>
      <c r="J2" t="s">
        <v>23</v>
      </c>
      <c r="K2" t="s">
        <v>168</v>
      </c>
      <c r="L2" t="s">
        <v>168</v>
      </c>
    </row>
    <row r="3" spans="1:13" x14ac:dyDescent="0.25">
      <c r="A3" s="3" t="s">
        <v>2</v>
      </c>
    </row>
    <row r="4" spans="1:13" x14ac:dyDescent="0.25">
      <c r="A4" t="s">
        <v>14</v>
      </c>
      <c r="B4" t="s">
        <v>186</v>
      </c>
      <c r="C4">
        <v>0.78</v>
      </c>
      <c r="D4" s="5">
        <v>0.86</v>
      </c>
      <c r="E4">
        <v>1.1000000000000001</v>
      </c>
      <c r="F4" s="5">
        <v>0.85</v>
      </c>
      <c r="G4">
        <v>0.01</v>
      </c>
      <c r="H4" s="5">
        <v>7.9600000000000001E-3</v>
      </c>
      <c r="I4">
        <v>9.5370000000000003E-4</v>
      </c>
      <c r="J4" s="6">
        <v>5.7</v>
      </c>
      <c r="K4">
        <f>(1269.5/3.95)*Ref!B$18</f>
        <v>1.1570126582278479</v>
      </c>
      <c r="L4">
        <f>(31007*2013)/1000/(3.95*1000)</f>
        <v>15.801795189873419</v>
      </c>
    </row>
    <row r="5" spans="1:13" x14ac:dyDescent="0.25">
      <c r="A5" s="17" t="s">
        <v>185</v>
      </c>
      <c r="B5" t="s">
        <v>186</v>
      </c>
      <c r="C5">
        <v>0.78</v>
      </c>
      <c r="D5" s="5">
        <v>0.86</v>
      </c>
      <c r="E5">
        <v>1.1000000000000001</v>
      </c>
      <c r="F5" s="5">
        <v>0.85</v>
      </c>
      <c r="G5">
        <v>0.01</v>
      </c>
      <c r="H5" s="5">
        <v>7.9600000000000001E-3</v>
      </c>
      <c r="I5">
        <v>9.5370000000000003E-4</v>
      </c>
      <c r="J5" s="6">
        <v>5.7</v>
      </c>
      <c r="K5">
        <f>(1269.5/3.95)*Ref!B$18</f>
        <v>1.1570126582278479</v>
      </c>
      <c r="L5">
        <f>(31007*2013)/1000/(3.95*1000)</f>
        <v>15.801795189873419</v>
      </c>
      <c r="M5">
        <v>0</v>
      </c>
    </row>
    <row r="6" spans="1:13" x14ac:dyDescent="0.25">
      <c r="A6" t="s">
        <v>209</v>
      </c>
      <c r="B6" t="s">
        <v>186</v>
      </c>
      <c r="C6">
        <v>0.78</v>
      </c>
      <c r="D6" s="5">
        <v>0.86</v>
      </c>
      <c r="E6">
        <v>1.1000000000000001</v>
      </c>
      <c r="F6" s="5">
        <v>0.85</v>
      </c>
      <c r="G6">
        <v>0.01</v>
      </c>
      <c r="H6" s="5">
        <v>7.9600000000000001E-3</v>
      </c>
      <c r="I6">
        <v>9.5370000000000003E-4</v>
      </c>
      <c r="J6" s="6">
        <v>5.7</v>
      </c>
      <c r="K6">
        <f>(1269.5/3.95)*Ref!B$18</f>
        <v>1.1570126582278479</v>
      </c>
      <c r="L6">
        <f>(31007*2013)/1000/(3.95*1000)</f>
        <v>15.801795189873419</v>
      </c>
      <c r="M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9D4A-CF5C-1D46-92B1-768FF1F1DE57}">
  <dimension ref="A1:B6"/>
  <sheetViews>
    <sheetView workbookViewId="0">
      <selection activeCell="B5" sqref="B5"/>
    </sheetView>
  </sheetViews>
  <sheetFormatPr baseColWidth="10" defaultRowHeight="21" x14ac:dyDescent="0.25"/>
  <sheetData>
    <row r="1" spans="1:2" x14ac:dyDescent="0.25">
      <c r="A1" s="1" t="s">
        <v>0</v>
      </c>
      <c r="B1" t="s">
        <v>182</v>
      </c>
    </row>
    <row r="2" spans="1:2" x14ac:dyDescent="0.25">
      <c r="A2" s="3" t="s">
        <v>1</v>
      </c>
      <c r="B2" t="s">
        <v>183</v>
      </c>
    </row>
    <row r="3" spans="1:2" x14ac:dyDescent="0.25">
      <c r="A3" s="3" t="s">
        <v>2</v>
      </c>
      <c r="B3" t="s">
        <v>184</v>
      </c>
    </row>
    <row r="4" spans="1:2" x14ac:dyDescent="0.25">
      <c r="A4" t="s">
        <v>14</v>
      </c>
      <c r="B4">
        <v>2.1204786157213684</v>
      </c>
    </row>
    <row r="5" spans="1:2" x14ac:dyDescent="0.25">
      <c r="A5" s="17" t="s">
        <v>185</v>
      </c>
      <c r="B5">
        <v>2.1204786157213684</v>
      </c>
    </row>
    <row r="6" spans="1:2" x14ac:dyDescent="0.25">
      <c r="A6" t="s">
        <v>209</v>
      </c>
      <c r="B6">
        <v>2.1204786157213684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CD9F-738E-1D41-9708-1FD872D25F11}">
  <dimension ref="A1:I7"/>
  <sheetViews>
    <sheetView topLeftCell="C1" zoomScale="129" zoomScaleNormal="129" workbookViewId="0">
      <selection activeCell="C10" sqref="C10"/>
    </sheetView>
  </sheetViews>
  <sheetFormatPr baseColWidth="10" defaultRowHeight="21" x14ac:dyDescent="0.25"/>
  <cols>
    <col min="2" max="2" width="13" bestFit="1" customWidth="1"/>
    <col min="3" max="3" width="12.5" customWidth="1"/>
    <col min="4" max="4" width="13.375" bestFit="1" customWidth="1"/>
    <col min="6" max="6" width="13.125" bestFit="1" customWidth="1"/>
    <col min="8" max="8" width="11.875" bestFit="1" customWidth="1"/>
    <col min="9" max="9" width="16.375" bestFit="1" customWidth="1"/>
  </cols>
  <sheetData>
    <row r="1" spans="1:9" x14ac:dyDescent="0.25">
      <c r="A1" s="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25">
      <c r="A2" s="3" t="s">
        <v>1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</row>
    <row r="3" spans="1:9" x14ac:dyDescent="0.25">
      <c r="A3" s="3" t="s">
        <v>2</v>
      </c>
    </row>
    <row r="4" spans="1:9" x14ac:dyDescent="0.25">
      <c r="A4" t="s">
        <v>62</v>
      </c>
      <c r="B4">
        <f>619.4/318.2</f>
        <v>1.9465744814582024</v>
      </c>
      <c r="C4">
        <f>761.6/318.2</f>
        <v>2.3934632306725332</v>
      </c>
      <c r="D4">
        <f>(1037.7+2334.8)/619.4</f>
        <v>5.4447852760736195</v>
      </c>
      <c r="E4">
        <f>832.7/619.4</f>
        <v>1.3443655150145304</v>
      </c>
      <c r="F4">
        <f>180.7/761.6</f>
        <v>0.23726365546218486</v>
      </c>
      <c r="G4">
        <f>77.4/619.4</f>
        <v>0.12495963835970295</v>
      </c>
      <c r="H4">
        <f>(4.4+587.1+61.8+2592.4)/619.4</f>
        <v>5.2400710364869223</v>
      </c>
      <c r="I4">
        <f>1185.6/619.4</f>
        <v>1.9141104294478526</v>
      </c>
    </row>
    <row r="5" spans="1:9" x14ac:dyDescent="0.25">
      <c r="A5" t="s">
        <v>63</v>
      </c>
      <c r="B5">
        <f>619.4/(318.2*0.96)</f>
        <v>2.0276817515189607</v>
      </c>
      <c r="C5">
        <f>(761.6*0.891)/(318.2*0.96)</f>
        <v>2.2214330609679447</v>
      </c>
      <c r="D5">
        <f>(1037.7+2334.8)/619.4</f>
        <v>5.4447852760736195</v>
      </c>
      <c r="E5">
        <f>832.7/619.4</f>
        <v>1.3443655150145304</v>
      </c>
      <c r="F5">
        <f>(180.7*0.45)/(761.6*0.891)</f>
        <v>0.11983012902130549</v>
      </c>
      <c r="G5">
        <f>77.4/619.4</f>
        <v>0.12495963835970295</v>
      </c>
      <c r="H5">
        <f>(4.4+587.1+61.8+2592.4-29.0986)/619.4</f>
        <v>5.1930923474329997</v>
      </c>
      <c r="I5">
        <f>1185.6/619.4</f>
        <v>1.9141104294478526</v>
      </c>
    </row>
    <row r="6" spans="1:9" x14ac:dyDescent="0.25">
      <c r="A6" t="s">
        <v>73</v>
      </c>
      <c r="B6">
        <f>(2850+53400)/27021</f>
        <v>2.0817142222715668</v>
      </c>
      <c r="C6">
        <f>(1626*44)/27021</f>
        <v>2.6477184412123904</v>
      </c>
    </row>
    <row r="7" spans="1:9" x14ac:dyDescent="0.25">
      <c r="A7" t="s">
        <v>170</v>
      </c>
      <c r="B7">
        <f>619.4/(318.2+91.7)</f>
        <v>1.5111002683581363</v>
      </c>
      <c r="C7">
        <f>761.6/(318.2+91.7)</f>
        <v>1.8580141497926326</v>
      </c>
      <c r="D7">
        <f>(1037.7+2334.8)/619.4</f>
        <v>5.4447852760736195</v>
      </c>
      <c r="E7">
        <f>832.7/619.4</f>
        <v>1.3443655150145304</v>
      </c>
      <c r="F7">
        <f>180.7/761.6</f>
        <v>0.23726365546218486</v>
      </c>
      <c r="G7">
        <f>77.4/619.4</f>
        <v>0.12495963835970295</v>
      </c>
      <c r="H7">
        <f>(4.4+587.1+61.8+2592.4)/619.4</f>
        <v>5.2400710364869223</v>
      </c>
      <c r="I7">
        <f>1185.6/619.4</f>
        <v>1.9141104294478526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6E2C-8C34-6247-B655-F415EA6BE847}">
  <dimension ref="A1:O17"/>
  <sheetViews>
    <sheetView zoomScale="94" zoomScaleNormal="129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baseColWidth="10" defaultRowHeight="21" x14ac:dyDescent="0.25"/>
  <cols>
    <col min="1" max="1" width="16.625" customWidth="1"/>
    <col min="3" max="3" width="15.75" style="10" customWidth="1"/>
    <col min="4" max="4" width="13.375" style="9" customWidth="1"/>
    <col min="5" max="5" width="25.25" customWidth="1"/>
    <col min="6" max="8" width="15.75" customWidth="1"/>
    <col min="11" max="11" width="11.875" bestFit="1" customWidth="1"/>
    <col min="12" max="14" width="11.875" customWidth="1"/>
  </cols>
  <sheetData>
    <row r="1" spans="1:15" x14ac:dyDescent="0.25">
      <c r="A1" s="1" t="s">
        <v>0</v>
      </c>
      <c r="B1" s="1" t="s">
        <v>191</v>
      </c>
      <c r="C1" s="10" t="s">
        <v>64</v>
      </c>
      <c r="D1" s="9" t="s">
        <v>72</v>
      </c>
      <c r="E1" t="s">
        <v>76</v>
      </c>
      <c r="F1" s="9" t="s">
        <v>197</v>
      </c>
      <c r="G1" t="s">
        <v>187</v>
      </c>
      <c r="H1" s="10" t="s">
        <v>188</v>
      </c>
      <c r="I1" s="8" t="s">
        <v>74</v>
      </c>
      <c r="J1" t="s">
        <v>67</v>
      </c>
      <c r="K1" t="s">
        <v>53</v>
      </c>
      <c r="L1" t="s">
        <v>96</v>
      </c>
      <c r="M1" s="8" t="s">
        <v>217</v>
      </c>
      <c r="N1" s="8" t="s">
        <v>219</v>
      </c>
      <c r="O1" t="s">
        <v>69</v>
      </c>
    </row>
    <row r="2" spans="1:15" x14ac:dyDescent="0.25">
      <c r="A2" s="3" t="s">
        <v>1</v>
      </c>
      <c r="B2" s="3"/>
      <c r="C2" s="10" t="s">
        <v>65</v>
      </c>
      <c r="D2" s="9" t="s">
        <v>71</v>
      </c>
      <c r="E2" t="s">
        <v>169</v>
      </c>
      <c r="F2" s="9" t="s">
        <v>192</v>
      </c>
      <c r="H2" s="10" t="s">
        <v>65</v>
      </c>
      <c r="J2" t="s">
        <v>68</v>
      </c>
      <c r="K2" t="s">
        <v>61</v>
      </c>
      <c r="L2" t="s">
        <v>195</v>
      </c>
      <c r="N2" t="s">
        <v>254</v>
      </c>
    </row>
    <row r="3" spans="1:15" x14ac:dyDescent="0.25">
      <c r="A3" s="3" t="s">
        <v>2</v>
      </c>
      <c r="B3" s="3"/>
      <c r="D3" s="9" t="s">
        <v>194</v>
      </c>
      <c r="E3" t="s">
        <v>193</v>
      </c>
      <c r="F3" s="9"/>
    </row>
    <row r="4" spans="1:15" x14ac:dyDescent="0.25">
      <c r="A4" t="s">
        <v>62</v>
      </c>
      <c r="B4" t="s">
        <v>218</v>
      </c>
      <c r="C4" s="10">
        <v>0.92921960100000001</v>
      </c>
      <c r="D4" s="9">
        <f>(318.2+91.7)/619.4*C4</f>
        <v>0.61492914828850498</v>
      </c>
      <c r="E4">
        <v>0.77</v>
      </c>
      <c r="F4">
        <v>0</v>
      </c>
      <c r="G4" t="s">
        <v>190</v>
      </c>
      <c r="H4">
        <v>0</v>
      </c>
      <c r="I4" t="s">
        <v>179</v>
      </c>
      <c r="J4">
        <f>180.7/761.6</f>
        <v>0.23726365546218486</v>
      </c>
      <c r="K4">
        <f>1185.6/619.4</f>
        <v>1.9141104294478526</v>
      </c>
      <c r="L4">
        <v>0</v>
      </c>
    </row>
    <row r="5" spans="1:15" x14ac:dyDescent="0.25">
      <c r="A5" t="s">
        <v>63</v>
      </c>
      <c r="B5" t="s">
        <v>218</v>
      </c>
      <c r="C5" s="10">
        <v>0.92921960100000001</v>
      </c>
      <c r="D5" s="9">
        <f>(318.2+91.7)/619.4*C5</f>
        <v>0.61492914828850498</v>
      </c>
      <c r="E5">
        <v>0.77</v>
      </c>
      <c r="F5">
        <v>0</v>
      </c>
      <c r="G5" t="s">
        <v>190</v>
      </c>
      <c r="H5">
        <v>0</v>
      </c>
      <c r="I5" t="s">
        <v>179</v>
      </c>
      <c r="J5">
        <f>(180.7*0.45)/(761.6*0.891)</f>
        <v>0.11983012902130549</v>
      </c>
      <c r="K5">
        <f>1185.6/619.4</f>
        <v>1.9141104294478526</v>
      </c>
      <c r="L5">
        <v>0</v>
      </c>
    </row>
    <row r="6" spans="1:15" x14ac:dyDescent="0.25">
      <c r="A6" t="s">
        <v>73</v>
      </c>
      <c r="B6" t="s">
        <v>218</v>
      </c>
      <c r="C6" s="10">
        <v>0.95</v>
      </c>
      <c r="D6" s="9">
        <f>37651/(2850+53400)*C6</f>
        <v>0.63588355555555554</v>
      </c>
      <c r="E6" s="6">
        <f>27021/37351</f>
        <v>0.72343444619956632</v>
      </c>
      <c r="F6">
        <v>0</v>
      </c>
      <c r="G6" t="s">
        <v>190</v>
      </c>
      <c r="H6">
        <v>0</v>
      </c>
      <c r="I6" t="s">
        <v>164</v>
      </c>
      <c r="J6">
        <v>0</v>
      </c>
      <c r="K6">
        <f>(8.9*Ref!B$17)/((2850+53400)/1000)</f>
        <v>0.5696</v>
      </c>
      <c r="L6">
        <v>0</v>
      </c>
    </row>
    <row r="7" spans="1:15" x14ac:dyDescent="0.25">
      <c r="A7" t="s">
        <v>83</v>
      </c>
      <c r="B7" t="s">
        <v>218</v>
      </c>
      <c r="C7" s="10">
        <v>0.95</v>
      </c>
      <c r="D7" s="9">
        <f>37651/(2850+53400)*C7</f>
        <v>0.63588355555555554</v>
      </c>
      <c r="E7" s="6">
        <f>27021/37351</f>
        <v>0.72343444619956632</v>
      </c>
      <c r="F7">
        <v>0</v>
      </c>
      <c r="G7" t="s">
        <v>190</v>
      </c>
      <c r="H7">
        <v>0</v>
      </c>
      <c r="L7">
        <v>0</v>
      </c>
    </row>
    <row r="8" spans="1:15" x14ac:dyDescent="0.25">
      <c r="A8" t="s">
        <v>175</v>
      </c>
      <c r="B8" t="s">
        <v>218</v>
      </c>
      <c r="C8" s="11">
        <v>0.93</v>
      </c>
      <c r="D8" s="9">
        <f>34.03/47*C8</f>
        <v>0.67335957446808514</v>
      </c>
      <c r="E8">
        <v>0.77</v>
      </c>
      <c r="F8">
        <v>0</v>
      </c>
      <c r="G8" t="s">
        <v>190</v>
      </c>
      <c r="H8">
        <v>0</v>
      </c>
      <c r="K8">
        <v>0.84</v>
      </c>
      <c r="L8">
        <v>0</v>
      </c>
      <c r="O8" s="7" t="s">
        <v>70</v>
      </c>
    </row>
    <row r="9" spans="1:15" x14ac:dyDescent="0.25">
      <c r="A9" t="s">
        <v>174</v>
      </c>
      <c r="B9" t="s">
        <v>218</v>
      </c>
      <c r="C9" s="11">
        <v>0.93</v>
      </c>
      <c r="D9" s="9">
        <f>31.6/47*C9</f>
        <v>0.62527659574468097</v>
      </c>
      <c r="E9">
        <v>0.77</v>
      </c>
      <c r="F9">
        <v>0</v>
      </c>
      <c r="G9" t="s">
        <v>190</v>
      </c>
      <c r="H9">
        <v>0</v>
      </c>
      <c r="K9">
        <v>2</v>
      </c>
      <c r="L9">
        <v>0</v>
      </c>
      <c r="O9" t="s">
        <v>70</v>
      </c>
    </row>
    <row r="10" spans="1:15" x14ac:dyDescent="0.25">
      <c r="A10" t="s">
        <v>86</v>
      </c>
      <c r="B10" t="s">
        <v>218</v>
      </c>
      <c r="C10" s="11">
        <v>0.93</v>
      </c>
      <c r="D10" s="9">
        <f>(20.4+9.9)/46.5</f>
        <v>0.65161290322580634</v>
      </c>
      <c r="E10">
        <f>20.4/(20.4+9.9)</f>
        <v>0.67326732673267331</v>
      </c>
      <c r="F10">
        <v>0</v>
      </c>
      <c r="G10" t="s">
        <v>190</v>
      </c>
      <c r="H10">
        <v>0</v>
      </c>
      <c r="K10">
        <f>139*Ref!$B$18</f>
        <v>0.50039999999999996</v>
      </c>
      <c r="L10">
        <v>0</v>
      </c>
    </row>
    <row r="11" spans="1:15" x14ac:dyDescent="0.25">
      <c r="A11" t="s">
        <v>84</v>
      </c>
      <c r="B11" t="s">
        <v>218</v>
      </c>
      <c r="C11" s="11">
        <v>0.93</v>
      </c>
      <c r="D11" s="9">
        <f>(0.25+0.451)</f>
        <v>0.70100000000000007</v>
      </c>
      <c r="E11">
        <f>0.451/(0.25+0.451)</f>
        <v>0.64336661911554915</v>
      </c>
      <c r="F11">
        <v>0</v>
      </c>
      <c r="G11" t="s">
        <v>190</v>
      </c>
      <c r="H11">
        <v>0</v>
      </c>
      <c r="L11">
        <v>0</v>
      </c>
    </row>
    <row r="12" spans="1:15" x14ac:dyDescent="0.25">
      <c r="A12" t="s">
        <v>173</v>
      </c>
      <c r="B12" t="s">
        <v>218</v>
      </c>
      <c r="C12" s="11">
        <v>0.93</v>
      </c>
      <c r="D12" s="9">
        <f>31/47</f>
        <v>0.65957446808510634</v>
      </c>
      <c r="E12">
        <f>24/31</f>
        <v>0.77419354838709675</v>
      </c>
      <c r="F12">
        <v>0</v>
      </c>
      <c r="G12" t="s">
        <v>190</v>
      </c>
      <c r="H12">
        <v>0</v>
      </c>
      <c r="I12" t="s">
        <v>167</v>
      </c>
      <c r="J12">
        <f>0.0003*(44/17)</f>
        <v>7.7647058823529405E-4</v>
      </c>
      <c r="L12">
        <v>0</v>
      </c>
    </row>
    <row r="13" spans="1:15" x14ac:dyDescent="0.25">
      <c r="A13" t="s">
        <v>189</v>
      </c>
      <c r="B13" t="s">
        <v>218</v>
      </c>
      <c r="C13" s="10">
        <v>0.95</v>
      </c>
      <c r="D13" s="9">
        <f>37651/(2850+53400)*C13</f>
        <v>0.63588355555555554</v>
      </c>
      <c r="E13" s="6">
        <f>27021/37351</f>
        <v>0.72343444619956632</v>
      </c>
      <c r="F13">
        <v>0</v>
      </c>
      <c r="G13" t="s">
        <v>190</v>
      </c>
      <c r="H13">
        <v>0.95</v>
      </c>
      <c r="K13">
        <f>139*Ref!$B$18</f>
        <v>0.50039999999999996</v>
      </c>
      <c r="L13">
        <v>0</v>
      </c>
      <c r="M13">
        <v>0</v>
      </c>
      <c r="N13">
        <f>22.1/(2.85+53.4)</f>
        <v>0.3928888888888889</v>
      </c>
    </row>
    <row r="14" spans="1:15" x14ac:dyDescent="0.25">
      <c r="A14" t="s">
        <v>211</v>
      </c>
      <c r="B14" t="s">
        <v>218</v>
      </c>
      <c r="C14" s="10">
        <v>0.95</v>
      </c>
      <c r="D14" s="9">
        <f>37651/(2850+53400)*C14</f>
        <v>0.63588355555555554</v>
      </c>
      <c r="E14" s="6">
        <f>27021/37351</f>
        <v>0.72343444619956632</v>
      </c>
      <c r="F14">
        <v>1</v>
      </c>
      <c r="G14" t="s">
        <v>190</v>
      </c>
      <c r="H14">
        <v>0.95</v>
      </c>
      <c r="K14">
        <f>139*Ref!$B$18</f>
        <v>0.50039999999999996</v>
      </c>
      <c r="L14">
        <v>0</v>
      </c>
      <c r="M14">
        <v>0</v>
      </c>
    </row>
    <row r="15" spans="1:15" x14ac:dyDescent="0.25">
      <c r="A15" t="s">
        <v>247</v>
      </c>
      <c r="B15" t="s">
        <v>218</v>
      </c>
      <c r="C15" s="10">
        <v>0.95</v>
      </c>
      <c r="D15" s="9">
        <f>37651/(2850+53400)*C15</f>
        <v>0.63588355555555554</v>
      </c>
      <c r="E15" s="6">
        <f>27021/37351</f>
        <v>0.72343444619956632</v>
      </c>
      <c r="F15">
        <v>1</v>
      </c>
      <c r="G15" t="s">
        <v>190</v>
      </c>
      <c r="H15">
        <v>0.95</v>
      </c>
      <c r="K15">
        <f>139*Ref!$B$18</f>
        <v>0.50039999999999996</v>
      </c>
      <c r="L15">
        <v>0</v>
      </c>
      <c r="M15">
        <v>0</v>
      </c>
    </row>
    <row r="17" spans="11:11" x14ac:dyDescent="0.25"/>
  </sheetData>
  <hyperlinks>
    <hyperlink ref="O8" r:id="rId1" xr:uid="{17947204-8BE6-3A4A-9E9B-146946CE04F7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50F2-9FBE-6649-B790-956EFF0E8934}">
  <dimension ref="A1:B5"/>
  <sheetViews>
    <sheetView workbookViewId="0">
      <selection activeCell="C4" sqref="C4"/>
    </sheetView>
  </sheetViews>
  <sheetFormatPr baseColWidth="10" defaultRowHeight="21" x14ac:dyDescent="0.25"/>
  <sheetData>
    <row r="1" spans="1:2" x14ac:dyDescent="0.25">
      <c r="A1" s="1" t="s">
        <v>0</v>
      </c>
      <c r="B1" t="s">
        <v>214</v>
      </c>
    </row>
    <row r="2" spans="1:2" x14ac:dyDescent="0.25">
      <c r="A2" s="3" t="s">
        <v>1</v>
      </c>
    </row>
    <row r="3" spans="1:2" x14ac:dyDescent="0.25">
      <c r="A3" s="3" t="s">
        <v>2</v>
      </c>
    </row>
    <row r="4" spans="1:2" x14ac:dyDescent="0.25">
      <c r="A4" t="s">
        <v>189</v>
      </c>
      <c r="B4">
        <v>0.90689033447772671</v>
      </c>
    </row>
    <row r="5" spans="1:2" x14ac:dyDescent="0.25">
      <c r="A5" t="s">
        <v>211</v>
      </c>
      <c r="B5">
        <v>0.90689033447772671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F6A-7BCE-4C41-9953-5AAF61F9E28D}">
  <dimension ref="A1:G11"/>
  <sheetViews>
    <sheetView workbookViewId="0">
      <selection activeCell="C9" sqref="C9"/>
    </sheetView>
  </sheetViews>
  <sheetFormatPr baseColWidth="10" defaultRowHeight="21" x14ac:dyDescent="0.25"/>
  <cols>
    <col min="1" max="1" width="11.875" bestFit="1" customWidth="1"/>
    <col min="2" max="2" width="12.375" bestFit="1" customWidth="1"/>
    <col min="3" max="3" width="11.75" bestFit="1" customWidth="1"/>
  </cols>
  <sheetData>
    <row r="1" spans="1:7" x14ac:dyDescent="0.25">
      <c r="A1" s="1" t="s">
        <v>0</v>
      </c>
      <c r="B1" t="s">
        <v>77</v>
      </c>
      <c r="C1" t="s">
        <v>78</v>
      </c>
      <c r="D1" t="s">
        <v>79</v>
      </c>
      <c r="E1" t="s">
        <v>53</v>
      </c>
      <c r="F1" t="s">
        <v>176</v>
      </c>
      <c r="G1" t="s">
        <v>255</v>
      </c>
    </row>
    <row r="2" spans="1:7" x14ac:dyDescent="0.25">
      <c r="A2" s="3" t="s">
        <v>1</v>
      </c>
      <c r="B2" t="s">
        <v>80</v>
      </c>
      <c r="C2" t="s">
        <v>81</v>
      </c>
      <c r="D2" t="s">
        <v>81</v>
      </c>
      <c r="E2" t="s">
        <v>82</v>
      </c>
      <c r="F2" t="s">
        <v>177</v>
      </c>
    </row>
    <row r="3" spans="1:7" x14ac:dyDescent="0.25">
      <c r="A3" s="3" t="s">
        <v>2</v>
      </c>
    </row>
    <row r="4" spans="1:7" x14ac:dyDescent="0.25">
      <c r="A4" t="s">
        <v>85</v>
      </c>
      <c r="B4">
        <f>53400/94170</f>
        <v>0.56705957311245625</v>
      </c>
      <c r="C4">
        <f>70593/94170</f>
        <v>0.74963364128703414</v>
      </c>
      <c r="D4">
        <v>0</v>
      </c>
      <c r="E4">
        <v>0</v>
      </c>
    </row>
    <row r="5" spans="1:7" x14ac:dyDescent="0.25">
      <c r="A5" t="s">
        <v>84</v>
      </c>
      <c r="B5">
        <v>0.56699999999999995</v>
      </c>
      <c r="C5">
        <v>0.73499999999999999</v>
      </c>
      <c r="D5">
        <v>0</v>
      </c>
      <c r="E5">
        <f>21.1*Ref!B18</f>
        <v>7.596E-2</v>
      </c>
    </row>
    <row r="6" spans="1:7" x14ac:dyDescent="0.25">
      <c r="A6" t="s">
        <v>173</v>
      </c>
      <c r="B6">
        <v>0.56999999999999995</v>
      </c>
      <c r="C6">
        <v>0.74</v>
      </c>
      <c r="D6">
        <v>0</v>
      </c>
      <c r="E6">
        <f>22*Ref!B$18</f>
        <v>7.9199999999999993E-2</v>
      </c>
      <c r="F6">
        <v>0.76</v>
      </c>
    </row>
    <row r="7" spans="1:7" x14ac:dyDescent="0.25">
      <c r="A7" t="s">
        <v>178</v>
      </c>
      <c r="B7">
        <v>0.56999999999999995</v>
      </c>
      <c r="C7">
        <v>0.74</v>
      </c>
      <c r="D7">
        <v>0</v>
      </c>
      <c r="E7">
        <f>110*Ref!B$18</f>
        <v>0.39599999999999996</v>
      </c>
      <c r="F7">
        <v>0.8</v>
      </c>
    </row>
    <row r="8" spans="1:7" x14ac:dyDescent="0.25">
      <c r="A8" t="s">
        <v>189</v>
      </c>
      <c r="B8">
        <f t="shared" ref="B8:B9" si="0">53400/94170</f>
        <v>0.56705957311245625</v>
      </c>
      <c r="C8">
        <f>70593/94170-D8</f>
        <v>0.73264952710803255</v>
      </c>
      <c r="D8">
        <f>70593/94170-((12/60.056)*44/12)</f>
        <v>1.6984114179001586E-2</v>
      </c>
      <c r="E8">
        <f>(8.9*Ref!$B$17)/((2850+53400)/1000)-139*Ref!$B$18</f>
        <v>6.9200000000000039E-2</v>
      </c>
      <c r="G8">
        <v>0</v>
      </c>
    </row>
    <row r="9" spans="1:7" x14ac:dyDescent="0.25">
      <c r="A9" t="s">
        <v>211</v>
      </c>
      <c r="B9">
        <f t="shared" si="0"/>
        <v>0.56705957311245625</v>
      </c>
      <c r="C9">
        <f>70593/94170-D9</f>
        <v>0.73264952710803255</v>
      </c>
      <c r="D9">
        <f>70593/94170-((12/60.056)*44/12)</f>
        <v>1.6984114179001586E-2</v>
      </c>
      <c r="E9">
        <f>(8.9*Ref!$B$17)/((2850+53400)/1000)-139*Ref!$B$18</f>
        <v>6.9200000000000039E-2</v>
      </c>
      <c r="G9">
        <v>1</v>
      </c>
    </row>
    <row r="10" spans="1:7" x14ac:dyDescent="0.25"/>
    <row r="11" spans="1:7" x14ac:dyDescent="0.2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2388-2D14-244A-AC91-0266B246BDFB}">
  <dimension ref="A1:O15"/>
  <sheetViews>
    <sheetView workbookViewId="0">
      <pane xSplit="1" topLeftCell="C1" activePane="topRight" state="frozen"/>
      <selection pane="topRight" activeCell="E11" sqref="E11"/>
    </sheetView>
  </sheetViews>
  <sheetFormatPr baseColWidth="10" defaultRowHeight="21" x14ac:dyDescent="0.25"/>
  <cols>
    <col min="1" max="1" width="15.5" bestFit="1" customWidth="1"/>
    <col min="2" max="2" width="20.75" customWidth="1"/>
    <col min="3" max="6" width="14" customWidth="1"/>
    <col min="7" max="7" width="16.125" bestFit="1" customWidth="1"/>
    <col min="8" max="8" width="16.25" bestFit="1" customWidth="1"/>
    <col min="12" max="14" width="10.625" style="10"/>
  </cols>
  <sheetData>
    <row r="1" spans="1:15" x14ac:dyDescent="0.25">
      <c r="A1" s="1" t="s">
        <v>0</v>
      </c>
      <c r="B1" t="s">
        <v>75</v>
      </c>
      <c r="C1" t="s">
        <v>92</v>
      </c>
      <c r="D1" t="s">
        <v>105</v>
      </c>
      <c r="E1" t="s">
        <v>96</v>
      </c>
      <c r="F1" t="s">
        <v>97</v>
      </c>
      <c r="G1" t="s">
        <v>94</v>
      </c>
      <c r="H1" t="s">
        <v>100</v>
      </c>
      <c r="I1" t="s">
        <v>98</v>
      </c>
      <c r="J1" t="s">
        <v>99</v>
      </c>
      <c r="K1" t="s">
        <v>172</v>
      </c>
      <c r="L1" s="10" t="s">
        <v>120</v>
      </c>
      <c r="M1" s="10" t="s">
        <v>121</v>
      </c>
      <c r="N1" s="10" t="s">
        <v>109</v>
      </c>
      <c r="O1" s="13" t="s">
        <v>124</v>
      </c>
    </row>
    <row r="2" spans="1:15" x14ac:dyDescent="0.25">
      <c r="A2" s="3" t="s">
        <v>1</v>
      </c>
      <c r="D2" t="s">
        <v>106</v>
      </c>
      <c r="E2" t="s">
        <v>104</v>
      </c>
      <c r="F2" t="s">
        <v>104</v>
      </c>
      <c r="G2" t="s">
        <v>102</v>
      </c>
      <c r="H2" t="s">
        <v>101</v>
      </c>
      <c r="I2" t="s">
        <v>107</v>
      </c>
      <c r="J2" t="s">
        <v>108</v>
      </c>
      <c r="K2" t="s">
        <v>115</v>
      </c>
      <c r="L2" s="10" t="s">
        <v>115</v>
      </c>
      <c r="N2" s="10" t="s">
        <v>110</v>
      </c>
    </row>
    <row r="3" spans="1:15" x14ac:dyDescent="0.25">
      <c r="A3" s="3" t="s">
        <v>2</v>
      </c>
    </row>
    <row r="4" spans="1:15" x14ac:dyDescent="0.25">
      <c r="A4" t="s">
        <v>158</v>
      </c>
      <c r="B4" t="s">
        <v>142</v>
      </c>
      <c r="C4" t="s">
        <v>114</v>
      </c>
      <c r="D4">
        <v>5</v>
      </c>
      <c r="E4">
        <v>0.8</v>
      </c>
      <c r="F4">
        <v>0.4</v>
      </c>
      <c r="G4">
        <v>0.6</v>
      </c>
      <c r="H4">
        <v>0.4</v>
      </c>
      <c r="I4">
        <v>0.01</v>
      </c>
      <c r="J4">
        <v>0.01</v>
      </c>
      <c r="K4">
        <f>SUM(L4:M4)</f>
        <v>6</v>
      </c>
      <c r="L4" s="10">
        <v>0</v>
      </c>
      <c r="M4" s="10">
        <v>6</v>
      </c>
      <c r="N4" s="10">
        <v>1.1499999999999999</v>
      </c>
    </row>
    <row r="5" spans="1:15" x14ac:dyDescent="0.25">
      <c r="A5" t="s">
        <v>111</v>
      </c>
      <c r="B5" t="s">
        <v>165</v>
      </c>
      <c r="C5" t="s">
        <v>114</v>
      </c>
      <c r="D5">
        <v>2.0099999999999998</v>
      </c>
      <c r="E5">
        <f>4.02/1.15</f>
        <v>3.4956521739130433</v>
      </c>
      <c r="F5">
        <f>(0.25*Ref!B18)/1.15*1000</f>
        <v>0.78260869565217395</v>
      </c>
      <c r="G5" s="12">
        <v>0.55000000000000004</v>
      </c>
      <c r="H5" s="12">
        <v>0.45</v>
      </c>
      <c r="I5">
        <f>0.003/1.15</f>
        <v>2.6086956521739132E-3</v>
      </c>
      <c r="J5">
        <f>0.1/1.15</f>
        <v>8.6956521739130446E-2</v>
      </c>
      <c r="K5">
        <f t="shared" ref="K5:K11" si="0">SUM(L5:M5)</f>
        <v>0</v>
      </c>
      <c r="L5" s="10">
        <v>0</v>
      </c>
      <c r="M5" s="10">
        <v>0</v>
      </c>
      <c r="N5" s="10">
        <v>1.1499999999999999</v>
      </c>
    </row>
    <row r="6" spans="1:15" x14ac:dyDescent="0.25">
      <c r="A6" t="s">
        <v>112</v>
      </c>
      <c r="B6" t="s">
        <v>113</v>
      </c>
      <c r="C6" t="s">
        <v>114</v>
      </c>
      <c r="D6">
        <f>0.66/1.28</f>
        <v>0.515625</v>
      </c>
      <c r="E6">
        <f>2.24/1.28</f>
        <v>1.7500000000000002</v>
      </c>
      <c r="F6">
        <f>(0.14*Ref!B18)/1.28*1000</f>
        <v>0.39374999999999999</v>
      </c>
      <c r="G6">
        <v>0.55000000000000004</v>
      </c>
      <c r="H6">
        <v>0.45</v>
      </c>
      <c r="I6">
        <v>0</v>
      </c>
      <c r="J6">
        <v>0</v>
      </c>
      <c r="K6">
        <f t="shared" si="0"/>
        <v>0</v>
      </c>
      <c r="L6" s="10">
        <v>0</v>
      </c>
      <c r="M6" s="10">
        <v>0</v>
      </c>
      <c r="N6" s="10">
        <v>1.28</v>
      </c>
    </row>
    <row r="7" spans="1:15" x14ac:dyDescent="0.25">
      <c r="A7" t="s">
        <v>116</v>
      </c>
      <c r="B7" t="s">
        <v>117</v>
      </c>
      <c r="C7" t="s">
        <v>114</v>
      </c>
      <c r="D7">
        <f>25.02/6.64</f>
        <v>3.7680722891566267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0.34789156626506029</v>
      </c>
      <c r="L7" s="10">
        <f>2.31/6.64</f>
        <v>0.34789156626506029</v>
      </c>
      <c r="M7" s="10">
        <v>0</v>
      </c>
      <c r="N7" s="10">
        <v>1.1499999999999999</v>
      </c>
    </row>
    <row r="8" spans="1:15" x14ac:dyDescent="0.25">
      <c r="A8" t="s">
        <v>118</v>
      </c>
      <c r="B8" t="s">
        <v>119</v>
      </c>
      <c r="C8" t="s">
        <v>114</v>
      </c>
      <c r="D8">
        <f>18300/(4020000*N7/1000)</f>
        <v>3.9584685269305644</v>
      </c>
      <c r="E8">
        <f>50*Ref!B17/(4020000*N7/1000)</f>
        <v>3.8935756002595717E-2</v>
      </c>
      <c r="F8">
        <f>562*Ref!B17/(4020000*N7/1000)</f>
        <v>0.43763789746917586</v>
      </c>
      <c r="G8" s="12">
        <v>0.55000000000000004</v>
      </c>
      <c r="H8" s="12">
        <v>0.45</v>
      </c>
      <c r="I8">
        <v>0</v>
      </c>
      <c r="J8">
        <v>0</v>
      </c>
      <c r="K8">
        <f t="shared" si="0"/>
        <v>0</v>
      </c>
      <c r="L8" s="10">
        <v>0</v>
      </c>
      <c r="M8" s="10">
        <v>0</v>
      </c>
      <c r="N8">
        <v>0</v>
      </c>
    </row>
    <row r="9" spans="1:15" x14ac:dyDescent="0.25">
      <c r="A9" t="s">
        <v>122</v>
      </c>
      <c r="B9" t="s">
        <v>144</v>
      </c>
      <c r="C9" t="s">
        <v>114</v>
      </c>
      <c r="D9">
        <f>11.959/2.249</f>
        <v>5.3174744330813688</v>
      </c>
      <c r="E9">
        <v>0</v>
      </c>
      <c r="F9">
        <f>23*Ref!B18</f>
        <v>8.2799999999999999E-2</v>
      </c>
      <c r="G9">
        <v>0</v>
      </c>
      <c r="H9">
        <v>0</v>
      </c>
      <c r="I9">
        <v>0</v>
      </c>
      <c r="J9">
        <v>0</v>
      </c>
      <c r="K9">
        <f t="shared" si="0"/>
        <v>5.3583815028901727</v>
      </c>
      <c r="L9" s="10">
        <f>0.069/2.249</f>
        <v>3.0680302356602934E-2</v>
      </c>
      <c r="M9" s="10">
        <f>11.982/2.249</f>
        <v>5.3277012005335695</v>
      </c>
      <c r="N9" s="10">
        <f>(2.249/11.979)/160*1000</f>
        <v>1.1734076300192005</v>
      </c>
      <c r="O9" t="s">
        <v>125</v>
      </c>
    </row>
    <row r="10" spans="1:15" x14ac:dyDescent="0.25">
      <c r="A10" t="s">
        <v>123</v>
      </c>
      <c r="B10" t="s">
        <v>143</v>
      </c>
      <c r="C10" t="s">
        <v>114</v>
      </c>
      <c r="D10">
        <f>(9.468-3.015)/5.18</f>
        <v>1.2457528957528956</v>
      </c>
      <c r="E10">
        <v>0</v>
      </c>
      <c r="F10">
        <f>110*Ref!B18</f>
        <v>0.39599999999999996</v>
      </c>
      <c r="G10">
        <v>0</v>
      </c>
      <c r="H10">
        <v>0</v>
      </c>
      <c r="I10">
        <v>0</v>
      </c>
      <c r="J10">
        <v>0</v>
      </c>
      <c r="K10">
        <f t="shared" si="0"/>
        <v>0.17258687258687261</v>
      </c>
      <c r="L10" s="10">
        <f>0.854/5.18</f>
        <v>0.16486486486486487</v>
      </c>
      <c r="M10" s="10">
        <f>0.04/5.18</f>
        <v>7.7220077220077222E-3</v>
      </c>
      <c r="N10" s="10">
        <f>(5.18/7.575)/0.62</f>
        <v>1.1029490045778769</v>
      </c>
      <c r="O10" t="s">
        <v>125</v>
      </c>
    </row>
    <row r="11" spans="1:15" x14ac:dyDescent="0.25">
      <c r="A11" t="s">
        <v>126</v>
      </c>
      <c r="B11" t="s">
        <v>142</v>
      </c>
      <c r="C11" t="s">
        <v>114</v>
      </c>
      <c r="D11">
        <f>60000/11965</f>
        <v>5.0146259924780612</v>
      </c>
      <c r="E11">
        <f>(2760/11965)*Ref!B17</f>
        <v>0.83042206435436694</v>
      </c>
      <c r="F11">
        <f>(1080/11965)*Ref!B$17</f>
        <v>0.32494776431257838</v>
      </c>
      <c r="G11">
        <v>0.64800000000000002</v>
      </c>
      <c r="H11">
        <v>0.46500000000000002</v>
      </c>
      <c r="I11">
        <v>0</v>
      </c>
      <c r="J11">
        <v>0</v>
      </c>
      <c r="K11">
        <f t="shared" si="0"/>
        <v>6.6861679899707482</v>
      </c>
      <c r="L11" s="10">
        <v>0</v>
      </c>
      <c r="M11" s="10">
        <f>80000/11965</f>
        <v>6.6861679899707482</v>
      </c>
      <c r="N11">
        <v>0</v>
      </c>
    </row>
    <row r="12" spans="1:15" x14ac:dyDescent="0.25">
      <c r="A12" t="s">
        <v>189</v>
      </c>
      <c r="B12" t="s">
        <v>142</v>
      </c>
      <c r="C12" t="s">
        <v>114</v>
      </c>
      <c r="D12">
        <v>5</v>
      </c>
      <c r="E12">
        <v>0.8</v>
      </c>
      <c r="F12">
        <v>0.4</v>
      </c>
      <c r="G12">
        <v>0.6</v>
      </c>
      <c r="H12">
        <v>0.4</v>
      </c>
      <c r="I12">
        <v>0.01</v>
      </c>
      <c r="J12">
        <v>0.01</v>
      </c>
      <c r="K12">
        <f>SUM(L12:M12)</f>
        <v>6</v>
      </c>
      <c r="L12" s="10">
        <v>0</v>
      </c>
      <c r="M12" s="10">
        <v>6</v>
      </c>
      <c r="N12" s="10">
        <v>1.1499999999999999</v>
      </c>
      <c r="O12" t="s">
        <v>212</v>
      </c>
    </row>
    <row r="13" spans="1:15" x14ac:dyDescent="0.25">
      <c r="A13" t="s">
        <v>211</v>
      </c>
      <c r="B13" t="s">
        <v>142</v>
      </c>
      <c r="C13" t="s">
        <v>114</v>
      </c>
      <c r="D13">
        <v>5</v>
      </c>
      <c r="E13">
        <v>0.8</v>
      </c>
      <c r="F13">
        <v>0.4</v>
      </c>
      <c r="G13">
        <v>0.6</v>
      </c>
      <c r="H13">
        <v>0.4</v>
      </c>
      <c r="I13">
        <v>0.01</v>
      </c>
      <c r="J13">
        <v>0.01</v>
      </c>
      <c r="K13">
        <f>SUM(L13:M13)</f>
        <v>6</v>
      </c>
      <c r="L13" s="10">
        <v>0</v>
      </c>
      <c r="M13" s="10">
        <v>6</v>
      </c>
      <c r="N13" s="10">
        <v>1.1499999999999999</v>
      </c>
      <c r="O13" t="s">
        <v>212</v>
      </c>
    </row>
    <row r="14" spans="1:15" x14ac:dyDescent="0.25">
      <c r="A14" t="s">
        <v>215</v>
      </c>
      <c r="B14" t="s">
        <v>142</v>
      </c>
      <c r="C14" t="s">
        <v>114</v>
      </c>
      <c r="D14">
        <v>5</v>
      </c>
      <c r="E14">
        <v>0.8</v>
      </c>
      <c r="F14">
        <v>0.4</v>
      </c>
      <c r="G14">
        <v>0.6</v>
      </c>
      <c r="H14">
        <v>0.4</v>
      </c>
      <c r="I14">
        <v>0.01</v>
      </c>
      <c r="J14">
        <v>0.01</v>
      </c>
      <c r="K14">
        <f>SUM(L14:M14)</f>
        <v>6</v>
      </c>
      <c r="L14" s="10">
        <v>0</v>
      </c>
      <c r="M14" s="10">
        <v>6</v>
      </c>
      <c r="N14" s="10">
        <v>1.1499999999999999</v>
      </c>
      <c r="O14" t="s">
        <v>212</v>
      </c>
    </row>
    <row r="15" spans="1:15" x14ac:dyDescent="0.25">
      <c r="A15" t="s">
        <v>216</v>
      </c>
      <c r="B15" t="s">
        <v>142</v>
      </c>
      <c r="C15" t="s">
        <v>114</v>
      </c>
      <c r="D15">
        <v>5</v>
      </c>
      <c r="E15">
        <v>0.8</v>
      </c>
      <c r="F15">
        <v>0.4</v>
      </c>
      <c r="G15">
        <v>0.6</v>
      </c>
      <c r="H15">
        <v>0.4</v>
      </c>
      <c r="I15">
        <v>0.01</v>
      </c>
      <c r="J15">
        <v>0.01</v>
      </c>
      <c r="K15">
        <f>SUM(L15:M15)</f>
        <v>6</v>
      </c>
      <c r="L15" s="10">
        <v>0</v>
      </c>
      <c r="M15" s="10">
        <v>6</v>
      </c>
      <c r="N15" s="10">
        <v>1.1499999999999999</v>
      </c>
      <c r="O15" t="s">
        <v>212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lth-box</vt:lpstr>
      <vt:lpstr>eth-box</vt:lpstr>
      <vt:lpstr>eth-stoich</vt:lpstr>
      <vt:lpstr>digestate</vt:lpstr>
      <vt:lpstr>NH3-box</vt:lpstr>
      <vt:lpstr>NH3-stoich</vt:lpstr>
      <vt:lpstr>NH3-split</vt:lpstr>
      <vt:lpstr>urea</vt:lpstr>
      <vt:lpstr>biogas</vt:lpstr>
      <vt:lpstr>biomethane</vt:lpstr>
      <vt:lpstr>H2</vt:lpstr>
      <vt:lpstr>Sheet1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2020-06-17T12:03:18Z</dcterms:created>
  <dcterms:modified xsi:type="dcterms:W3CDTF">2021-02-22T23:59:20Z</dcterms:modified>
</cp:coreProperties>
</file>