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reformatted data/"/>
    </mc:Choice>
  </mc:AlternateContent>
  <xr:revisionPtr revIDLastSave="0" documentId="13_ncr:1_{010282A8-D39F-C74E-8553-92F04555E935}" xr6:coauthVersionLast="47" xr6:coauthVersionMax="47" xr10:uidLastSave="{00000000-0000-0000-0000-000000000000}"/>
  <bookViews>
    <workbookView xWindow="9300" yWindow="460" windowWidth="19500" windowHeight="17540" tabRatio="598" firstSheet="12" activeTab="16" xr2:uid="{00000000-000D-0000-FFFF-FFFF00000000}"/>
  </bookViews>
  <sheets>
    <sheet name="simple_charcoal" sheetId="22" r:id="rId1"/>
    <sheet name="simple_power_dup" sheetId="9" r:id="rId2"/>
    <sheet name="CCS_power" sheetId="28" r:id="rId3"/>
    <sheet name="simple_heat" sheetId="18" r:id="rId4"/>
    <sheet name="CCS_heat" sheetId="29" r:id="rId5"/>
    <sheet name="AC_heat" sheetId="33" r:id="rId6"/>
    <sheet name="simple_CO2capture" sheetId="12" r:id="rId7"/>
    <sheet name="CO2_heat_cocapture" sheetId="34" r:id="rId8"/>
    <sheet name="delete_flow" sheetId="38" r:id="rId9"/>
    <sheet name="CO2_collector" sheetId="35" r:id="rId10"/>
    <sheet name="duplicate_CO2capture" sheetId="30" r:id="rId11"/>
    <sheet name="simple_compression" sheetId="24" r:id="rId12"/>
    <sheet name="simple_CO2storage" sheetId="13" r:id="rId13"/>
    <sheet name="CO2_transport" sheetId="37" r:id="rId14"/>
    <sheet name="CO2_injection" sheetId="36" r:id="rId15"/>
    <sheet name="DAC" sheetId="32" r:id="rId16"/>
    <sheet name="deSNOx" sheetId="31" r:id="rId17"/>
    <sheet name="simple_CLC-capture" sheetId="25" r:id="rId18"/>
    <sheet name="Ref" sheetId="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3" l="1"/>
  <c r="M32" i="22"/>
  <c r="I32" i="22"/>
  <c r="F32" i="22"/>
  <c r="D32" i="22"/>
  <c r="B32" i="22"/>
  <c r="M31" i="22"/>
  <c r="I31" i="22"/>
  <c r="F31" i="22"/>
  <c r="D31" i="22"/>
  <c r="B31" i="22"/>
  <c r="G34" i="18"/>
  <c r="G33" i="18"/>
  <c r="H33" i="29"/>
  <c r="F33" i="29"/>
  <c r="E33" i="29"/>
  <c r="D33" i="29"/>
  <c r="C33" i="29"/>
  <c r="H32" i="29"/>
  <c r="F32" i="29"/>
  <c r="E32" i="29"/>
  <c r="D32" i="29"/>
  <c r="C32" i="29"/>
  <c r="G28" i="12"/>
  <c r="G27" i="12"/>
  <c r="I30" i="22"/>
  <c r="H31" i="29"/>
  <c r="E31" i="29"/>
  <c r="D31" i="29"/>
  <c r="C31" i="29"/>
  <c r="G32" i="18"/>
  <c r="F5" i="31"/>
  <c r="E5" i="31"/>
  <c r="D5" i="31"/>
  <c r="C5" i="31"/>
  <c r="B5" i="31"/>
  <c r="D7" i="36"/>
  <c r="D10" i="24"/>
  <c r="C10" i="24"/>
  <c r="G26" i="12"/>
  <c r="H6" i="33"/>
  <c r="G6" i="33"/>
  <c r="F6" i="33"/>
  <c r="E6" i="33"/>
  <c r="D6" i="33"/>
  <c r="C6" i="33"/>
  <c r="H30" i="29"/>
  <c r="E30" i="29"/>
  <c r="D30" i="29"/>
  <c r="C30" i="29"/>
  <c r="H29" i="29"/>
  <c r="E29" i="29"/>
  <c r="D29" i="29"/>
  <c r="C29" i="29"/>
  <c r="H28" i="29"/>
  <c r="F28" i="29"/>
  <c r="E28" i="29"/>
  <c r="D28" i="29"/>
  <c r="C28" i="29"/>
  <c r="H27" i="29"/>
  <c r="F27" i="29"/>
  <c r="E27" i="29"/>
  <c r="D27" i="29"/>
  <c r="C27" i="29"/>
  <c r="H26" i="29"/>
  <c r="F26" i="29"/>
  <c r="E26" i="29"/>
  <c r="D26" i="29"/>
  <c r="C26" i="29"/>
  <c r="G31" i="18"/>
  <c r="G30" i="18"/>
  <c r="G29" i="18"/>
  <c r="G28" i="18"/>
  <c r="G27" i="18"/>
  <c r="M29" i="22"/>
  <c r="I29" i="22"/>
  <c r="F29" i="22"/>
  <c r="D29" i="22"/>
  <c r="B29" i="22"/>
  <c r="F8" i="13" l="1"/>
  <c r="D6" i="36"/>
  <c r="D5" i="36"/>
  <c r="D4" i="36"/>
  <c r="C9" i="24"/>
  <c r="D9" i="24"/>
  <c r="F4" i="31"/>
  <c r="E4" i="31"/>
  <c r="H25" i="29"/>
  <c r="G25" i="29"/>
  <c r="C25" i="29"/>
  <c r="D24" i="29"/>
  <c r="G25" i="12"/>
  <c r="D4" i="31"/>
  <c r="C4" i="31"/>
  <c r="B4" i="31"/>
  <c r="H7" i="34"/>
  <c r="B6" i="34" l="1"/>
  <c r="H6" i="34"/>
  <c r="E3" i="31" l="1"/>
  <c r="L24" i="12"/>
  <c r="G24" i="12"/>
  <c r="G6" i="18"/>
  <c r="G5" i="33"/>
  <c r="F5" i="33"/>
  <c r="E5" i="33"/>
  <c r="D5" i="33"/>
  <c r="C5" i="33"/>
  <c r="H4" i="33"/>
  <c r="H5" i="33" l="1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K23" i="30" l="1"/>
  <c r="J23" i="30"/>
  <c r="K22" i="30"/>
  <c r="J22" i="30"/>
  <c r="K21" i="30"/>
  <c r="J21" i="30"/>
  <c r="K20" i="30"/>
  <c r="J20" i="30"/>
  <c r="K19" i="30"/>
  <c r="J19" i="30"/>
  <c r="K18" i="30"/>
  <c r="J18" i="30"/>
  <c r="K17" i="30"/>
  <c r="J17" i="30"/>
  <c r="K16" i="30"/>
  <c r="J16" i="30"/>
  <c r="K15" i="30"/>
  <c r="J15" i="30"/>
  <c r="K14" i="30"/>
  <c r="J14" i="30"/>
  <c r="K13" i="30"/>
  <c r="J13" i="30"/>
  <c r="K12" i="30"/>
  <c r="J12" i="30"/>
  <c r="K11" i="30"/>
  <c r="J11" i="30"/>
  <c r="K10" i="30"/>
  <c r="J10" i="30"/>
  <c r="K9" i="30"/>
  <c r="J9" i="30"/>
  <c r="K8" i="30"/>
  <c r="J8" i="30"/>
  <c r="K7" i="30"/>
  <c r="J7" i="30"/>
  <c r="K6" i="30"/>
  <c r="J6" i="30"/>
  <c r="K5" i="30"/>
  <c r="J5" i="30"/>
  <c r="M23" i="12" l="1"/>
  <c r="L23" i="12"/>
  <c r="M22" i="12"/>
  <c r="L22" i="12"/>
  <c r="G26" i="18"/>
  <c r="G25" i="18"/>
  <c r="G24" i="18"/>
  <c r="G24" i="29"/>
  <c r="E24" i="29"/>
  <c r="C24" i="29"/>
  <c r="G23" i="29"/>
  <c r="E23" i="29"/>
  <c r="D23" i="29"/>
  <c r="C23" i="29"/>
  <c r="M21" i="12"/>
  <c r="L21" i="12"/>
  <c r="M20" i="12"/>
  <c r="L20" i="12"/>
  <c r="M19" i="12" l="1"/>
  <c r="L19" i="12"/>
  <c r="M18" i="12"/>
  <c r="L18" i="12"/>
  <c r="M16" i="22"/>
  <c r="I16" i="22"/>
  <c r="F16" i="22"/>
  <c r="E16" i="22"/>
  <c r="D16" i="22"/>
  <c r="B16" i="22"/>
  <c r="B3" i="32" l="1"/>
  <c r="E3" i="32"/>
  <c r="D3" i="32"/>
  <c r="C3" i="32"/>
  <c r="M17" i="12" l="1"/>
  <c r="L17" i="12"/>
  <c r="M16" i="12"/>
  <c r="L16" i="12"/>
  <c r="M15" i="12"/>
  <c r="L15" i="12"/>
  <c r="M14" i="12"/>
  <c r="L14" i="12"/>
  <c r="M13" i="12"/>
  <c r="L13" i="12"/>
  <c r="M12" i="12"/>
  <c r="L12" i="12"/>
  <c r="G22" i="29"/>
  <c r="E22" i="29"/>
  <c r="D22" i="29"/>
  <c r="C22" i="29"/>
  <c r="G21" i="29"/>
  <c r="E21" i="29"/>
  <c r="D21" i="29"/>
  <c r="C21" i="29"/>
  <c r="G20" i="29"/>
  <c r="E20" i="29"/>
  <c r="D20" i="29"/>
  <c r="C20" i="29"/>
  <c r="G17" i="29"/>
  <c r="E17" i="29"/>
  <c r="D17" i="29"/>
  <c r="C17" i="29"/>
  <c r="G23" i="18"/>
  <c r="G22" i="18"/>
  <c r="G21" i="18"/>
  <c r="G14" i="29" l="1"/>
  <c r="E14" i="29"/>
  <c r="D14" i="29"/>
  <c r="C14" i="29"/>
  <c r="G11" i="29"/>
  <c r="E11" i="29"/>
  <c r="D11" i="29"/>
  <c r="C11" i="29"/>
  <c r="G15" i="18" l="1"/>
  <c r="G11" i="18"/>
  <c r="B3" i="31" l="1"/>
  <c r="D3" i="31"/>
  <c r="C3" i="31"/>
  <c r="M11" i="12" l="1"/>
  <c r="L11" i="12"/>
  <c r="M10" i="12"/>
  <c r="L10" i="12"/>
  <c r="M9" i="12"/>
  <c r="L9" i="12"/>
  <c r="M8" i="12"/>
  <c r="L8" i="12"/>
  <c r="G19" i="29"/>
  <c r="E19" i="29"/>
  <c r="D19" i="29"/>
  <c r="C19" i="29"/>
  <c r="G18" i="29"/>
  <c r="E18" i="29"/>
  <c r="D18" i="29"/>
  <c r="C18" i="29"/>
  <c r="G16" i="29"/>
  <c r="E16" i="29"/>
  <c r="D16" i="29"/>
  <c r="C16" i="29"/>
  <c r="G15" i="29"/>
  <c r="E15" i="29"/>
  <c r="D15" i="29"/>
  <c r="C15" i="29"/>
  <c r="G20" i="18"/>
  <c r="G19" i="18"/>
  <c r="G17" i="18"/>
  <c r="G16" i="18"/>
  <c r="M15" i="22"/>
  <c r="I15" i="22"/>
  <c r="F15" i="22"/>
  <c r="E15" i="22"/>
  <c r="D15" i="22"/>
  <c r="B15" i="22"/>
  <c r="M14" i="22"/>
  <c r="I14" i="22"/>
  <c r="F14" i="22"/>
  <c r="E14" i="22"/>
  <c r="D14" i="22"/>
  <c r="B14" i="22"/>
  <c r="M13" i="22"/>
  <c r="I13" i="22"/>
  <c r="F13" i="22"/>
  <c r="E13" i="22"/>
  <c r="D13" i="22"/>
  <c r="B13" i="22"/>
  <c r="M12" i="22"/>
  <c r="I12" i="22"/>
  <c r="F12" i="22"/>
  <c r="E12" i="22"/>
  <c r="D12" i="22"/>
  <c r="B12" i="22"/>
  <c r="G4" i="12" l="1"/>
  <c r="G13" i="29"/>
  <c r="E13" i="29"/>
  <c r="D13" i="29"/>
  <c r="C13" i="29"/>
  <c r="G12" i="29"/>
  <c r="E12" i="29"/>
  <c r="D12" i="29"/>
  <c r="C12" i="29"/>
  <c r="G14" i="18"/>
  <c r="G13" i="18"/>
  <c r="G12" i="18"/>
  <c r="M7" i="12" l="1"/>
  <c r="L7" i="12"/>
  <c r="M6" i="12"/>
  <c r="L6" i="12"/>
  <c r="G18" i="18"/>
  <c r="G10" i="18" l="1"/>
  <c r="G9" i="18"/>
  <c r="G10" i="29"/>
  <c r="E10" i="29"/>
  <c r="D10" i="29"/>
  <c r="C10" i="29"/>
  <c r="G9" i="29"/>
  <c r="E9" i="29"/>
  <c r="D9" i="29"/>
  <c r="C9" i="29"/>
  <c r="G4" i="18" l="1"/>
  <c r="C8" i="24" l="1"/>
  <c r="M11" i="22" l="1"/>
  <c r="I11" i="22"/>
  <c r="D11" i="22"/>
  <c r="M5" i="12" l="1"/>
  <c r="L5" i="12"/>
  <c r="K12" i="25" l="1"/>
  <c r="G12" i="25"/>
  <c r="F12" i="25"/>
  <c r="E12" i="25"/>
  <c r="K11" i="25"/>
  <c r="G11" i="25"/>
  <c r="F11" i="25"/>
  <c r="E11" i="25"/>
  <c r="K10" i="25"/>
  <c r="G10" i="25"/>
  <c r="F10" i="25"/>
  <c r="E10" i="25"/>
  <c r="K9" i="25"/>
  <c r="G9" i="25"/>
  <c r="F9" i="25"/>
  <c r="E9" i="25"/>
  <c r="K8" i="25"/>
  <c r="G8" i="25"/>
  <c r="F8" i="25"/>
  <c r="E8" i="25"/>
  <c r="K7" i="25"/>
  <c r="G7" i="25"/>
  <c r="F7" i="25"/>
  <c r="E7" i="25"/>
  <c r="F7" i="13"/>
  <c r="F5" i="13"/>
  <c r="F6" i="13"/>
  <c r="H4" i="30"/>
  <c r="E4" i="30"/>
  <c r="F11" i="22"/>
  <c r="E11" i="22"/>
  <c r="B11" i="22"/>
  <c r="G8" i="29"/>
  <c r="E8" i="29"/>
  <c r="D8" i="29"/>
  <c r="C8" i="29"/>
  <c r="G7" i="29"/>
  <c r="E7" i="29"/>
  <c r="D7" i="29"/>
  <c r="C7" i="29"/>
  <c r="G6" i="29"/>
  <c r="E6" i="29"/>
  <c r="D6" i="29"/>
  <c r="C6" i="29"/>
  <c r="G5" i="29"/>
  <c r="F5" i="29"/>
  <c r="E5" i="29"/>
  <c r="D5" i="29"/>
  <c r="C5" i="29"/>
  <c r="G8" i="18"/>
  <c r="G7" i="18"/>
  <c r="G5" i="18"/>
  <c r="J4" i="12" l="1"/>
  <c r="H4" i="29"/>
  <c r="C7" i="24"/>
  <c r="B7" i="24"/>
  <c r="F6" i="25"/>
  <c r="F5" i="25"/>
  <c r="G6" i="25"/>
  <c r="G5" i="25"/>
  <c r="K6" i="25"/>
  <c r="K5" i="25"/>
  <c r="M8" i="22"/>
  <c r="E10" i="22"/>
  <c r="N10" i="22"/>
  <c r="L10" i="22"/>
  <c r="K10" i="22"/>
  <c r="J10" i="22"/>
  <c r="M5" i="22"/>
  <c r="M6" i="22"/>
  <c r="M7" i="22"/>
  <c r="D5" i="22"/>
  <c r="L5" i="22"/>
  <c r="K6" i="22"/>
  <c r="I6" i="22" s="1"/>
  <c r="O10" i="22"/>
  <c r="D4" i="22"/>
  <c r="I8" i="22"/>
  <c r="I9" i="22"/>
  <c r="M9" i="22"/>
  <c r="D9" i="22"/>
  <c r="D8" i="22"/>
  <c r="C5" i="22"/>
  <c r="C10" i="22" s="1"/>
  <c r="I4" i="22"/>
  <c r="L6" i="22"/>
  <c r="D6" i="22"/>
  <c r="K7" i="22"/>
  <c r="I7" i="22" s="1"/>
  <c r="K5" i="22"/>
  <c r="I5" i="22" s="1"/>
  <c r="D7" i="22"/>
  <c r="B21" i="7"/>
  <c r="B20" i="7"/>
  <c r="B19" i="7"/>
  <c r="C7" i="7"/>
  <c r="B18" i="7"/>
  <c r="B10" i="7"/>
  <c r="E6" i="25"/>
  <c r="C6" i="24"/>
  <c r="E5" i="25"/>
  <c r="C5" i="24"/>
  <c r="O6" i="22"/>
  <c r="O7" i="22"/>
  <c r="N4" i="22"/>
  <c r="F4" i="13"/>
  <c r="C6" i="7"/>
  <c r="C10" i="7"/>
  <c r="C4" i="7"/>
  <c r="C8" i="7"/>
  <c r="C11" i="7"/>
  <c r="C5" i="7"/>
  <c r="C9" i="7"/>
  <c r="C12" i="7"/>
  <c r="H11" i="29" l="1"/>
  <c r="H24" i="29"/>
  <c r="H23" i="29"/>
  <c r="H20" i="29"/>
  <c r="H17" i="29"/>
  <c r="H22" i="29"/>
  <c r="H21" i="29"/>
  <c r="H14" i="29"/>
  <c r="H19" i="29"/>
  <c r="H18" i="29"/>
  <c r="H16" i="29"/>
  <c r="H15" i="29"/>
  <c r="H13" i="29"/>
  <c r="H12" i="29"/>
  <c r="H10" i="29"/>
  <c r="H9" i="29"/>
  <c r="D10" i="22"/>
  <c r="M10" i="22"/>
  <c r="I10" i="22"/>
  <c r="H8" i="29"/>
  <c r="H6" i="29"/>
  <c r="H7" i="29"/>
  <c r="H5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D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3" authorId="0" shapeId="0" xr:uid="{6689320D-0FD8-5D42-8AF8-7C5843307AF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38.6 t CO2 more IN from air than captured; 40.32 t OUT  in flue
1.72 diff - assumed ot come from flue gas . 36.85 t CO2 embodied in nat gas input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G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Samantha Eleanor Tanzer - TBM:</t>
        </r>
        <r>
          <rPr>
            <sz val="9"/>
            <color indexed="81"/>
            <rFont val="Tahoma"/>
            <family val="2"/>
          </rPr>
          <t xml:space="preserve">
prev 0.071/0.6</t>
        </r>
      </text>
    </comment>
    <comment ref="G8" authorId="0" shapeId="0" xr:uid="{2E9FBA3F-3C62-494C-8603-3453E65DEBBC}">
      <text>
        <r>
          <rPr>
            <b/>
            <sz val="9"/>
            <color indexed="81"/>
            <rFont val="Tahoma"/>
            <family val="2"/>
          </rPr>
          <t>Samantha Eleanor Tanzer - TBM:</t>
        </r>
        <r>
          <rPr>
            <sz val="9"/>
            <color indexed="81"/>
            <rFont val="Tahoma"/>
            <family val="2"/>
          </rPr>
          <t xml:space="preserve">
prev 0.071/0.6</t>
        </r>
      </text>
    </comment>
    <comment ref="G10" authorId="0" shapeId="0" xr:uid="{DFEF6A49-6FDB-F949-B759-F2AA72395A82}">
      <text>
        <r>
          <rPr>
            <b/>
            <sz val="9"/>
            <color indexed="81"/>
            <rFont val="Tahoma"/>
            <family val="2"/>
          </rPr>
          <t>Samantha Eleanor Tanzer - TBM:</t>
        </r>
        <r>
          <rPr>
            <sz val="9"/>
            <color indexed="81"/>
            <rFont val="Tahoma"/>
            <family val="2"/>
          </rPr>
          <t xml:space="preserve">
prev 0.071/0.6</t>
        </r>
      </text>
    </comment>
    <comment ref="G12" authorId="0" shapeId="0" xr:uid="{B80607A6-2DF8-9F47-B16A-6B7A4D124E79}">
      <text>
        <r>
          <rPr>
            <b/>
            <sz val="9"/>
            <color indexed="81"/>
            <rFont val="Tahoma"/>
            <family val="2"/>
          </rPr>
          <t>Samantha Eleanor Tanzer - TBM:</t>
        </r>
        <r>
          <rPr>
            <sz val="9"/>
            <color indexed="81"/>
            <rFont val="Tahoma"/>
            <family val="2"/>
          </rPr>
          <t xml:space="preserve">
prev 0.071/0.6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C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<sst xmlns="http://schemas.openxmlformats.org/spreadsheetml/2006/main" count="851" uniqueCount="208">
  <si>
    <t>scenario</t>
  </si>
  <si>
    <t>meta-unit</t>
  </si>
  <si>
    <t>meta-notes</t>
  </si>
  <si>
    <t>default</t>
  </si>
  <si>
    <t>electricity demand</t>
  </si>
  <si>
    <t>Electricity Demand</t>
  </si>
  <si>
    <t>biofuel type</t>
  </si>
  <si>
    <t>fossil fuel type</t>
  </si>
  <si>
    <t>biomass cofire rate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</si>
  <si>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</si>
  <si>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</si>
  <si>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</si>
  <si>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</si>
  <si>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</si>
  <si>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</si>
  <si>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</si>
  <si>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</si>
  <si>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</si>
  <si>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</si>
  <si>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</si>
  <si>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</si>
  <si>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</si>
  <si>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</si>
  <si>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</si>
  <si>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</si>
  <si>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</si>
  <si>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</si>
  <si>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combustion eff</t>
  </si>
  <si>
    <t>fueltype</t>
  </si>
  <si>
    <t>GJ electricity/GJ fuel</t>
  </si>
  <si>
    <t>Mbtu/ton in GJ/tonne</t>
  </si>
  <si>
    <t>meta-units</t>
  </si>
  <si>
    <t>short ton in metric tonnes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</si>
  <si>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</si>
  <si>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</si>
  <si>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</si>
  <si>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</si>
  <si>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</si>
  <si>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</si>
  <si>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</si>
  <si>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</si>
  <si>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</si>
  <si>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</si>
  <si>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</si>
  <si>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</si>
  <si>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</si>
  <si>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Losses</t>
  </si>
  <si>
    <t>Ancillary Emissions</t>
  </si>
  <si>
    <t>CO2 lost  / CO2 in</t>
  </si>
  <si>
    <t>t CO2 / t CO2 stored</t>
  </si>
  <si>
    <t>natural gas - IPCC</t>
  </si>
  <si>
    <t>meta-IEA2016</t>
  </si>
  <si>
    <t>heat from recovered energy</t>
  </si>
  <si>
    <t>Solvent demand</t>
  </si>
  <si>
    <t>GJ heat/GJ fuel</t>
  </si>
  <si>
    <t>GJ electricity/GJ heat</t>
  </si>
  <si>
    <t>fuel energy demand</t>
  </si>
  <si>
    <t>feedstock demand</t>
  </si>
  <si>
    <t>feedstock type</t>
  </si>
  <si>
    <t>% heat</t>
  </si>
  <si>
    <t>t MEA-eq/t CO2</t>
  </si>
  <si>
    <t>GJ / t CO2 stored</t>
  </si>
  <si>
    <t>ecoinvent GLO</t>
  </si>
  <si>
    <t>dry cleft timber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</si>
  <si>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</si>
  <si>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</si>
  <si>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</si>
  <si>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</si>
  <si>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</si>
  <si>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</si>
  <si>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</si>
  <si>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</si>
  <si>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</si>
  <si>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</si>
  <si>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</si>
  <si>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</si>
  <si>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</si>
  <si>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CO2 losses</t>
  </si>
  <si>
    <t>t CO2 lost / t CO2 in</t>
  </si>
  <si>
    <t xml:space="preserve"> </t>
  </si>
  <si>
    <t>meta-industry</t>
  </si>
  <si>
    <t>cement</t>
  </si>
  <si>
    <t>t atm CO2/t feedstock</t>
  </si>
  <si>
    <t>carbon debt factor</t>
  </si>
  <si>
    <t>rotation period</t>
  </si>
  <si>
    <t>years feedstock</t>
  </si>
  <si>
    <t>CO2 removal</t>
  </si>
  <si>
    <t>t CO2eq/t CO2 removed</t>
  </si>
  <si>
    <t>100y time horizon; Guest et al 2013</t>
  </si>
  <si>
    <t>dry wood chips (EU no swiss)</t>
  </si>
  <si>
    <t>Solvent Type</t>
  </si>
  <si>
    <t>MEA</t>
  </si>
  <si>
    <t>Schakel2018-0B</t>
  </si>
  <si>
    <t>Schakel2018-HB</t>
  </si>
  <si>
    <t>O2 demand</t>
  </si>
  <si>
    <t>t O2/t CO2</t>
  </si>
  <si>
    <t>CaCO3 demand</t>
  </si>
  <si>
    <t>for CLC</t>
  </si>
  <si>
    <t>Fuel Energy Demand</t>
  </si>
  <si>
    <t>Fossil Fuel Type</t>
  </si>
  <si>
    <t>Biofuel Cofire Rate</t>
  </si>
  <si>
    <t>Biofuel Type</t>
  </si>
  <si>
    <t>coal bituminous - IPCC</t>
  </si>
  <si>
    <t>GJ fuel / t flue gas CO2</t>
  </si>
  <si>
    <t>t O2/t CO2 out</t>
  </si>
  <si>
    <t>Offshore Distance</t>
  </si>
  <si>
    <t>Onshore Distance</t>
  </si>
  <si>
    <t>km pipeline</t>
  </si>
  <si>
    <t>CO2 Concentration</t>
  </si>
  <si>
    <t>GJ fuel/t torr biomass</t>
  </si>
  <si>
    <t>t feedstock / t  torr biomass</t>
  </si>
  <si>
    <t>t / t  torr biomass</t>
  </si>
  <si>
    <t>t CO2eq/ t  torr biomass</t>
  </si>
  <si>
    <t>GJ electricity (supplemental) / t torr biomass</t>
  </si>
  <si>
    <t>GJ electricity / t torr biomass</t>
  </si>
  <si>
    <t>BASE</t>
  </si>
  <si>
    <t>BASE-BIO</t>
  </si>
  <si>
    <t>03AC</t>
  </si>
  <si>
    <t>03AC-BIO</t>
  </si>
  <si>
    <t>10AC</t>
  </si>
  <si>
    <t>10AC-BIO</t>
  </si>
  <si>
    <t>IEAGHG-paper</t>
  </si>
  <si>
    <t>transport km</t>
  </si>
  <si>
    <t>H2O demand</t>
  </si>
  <si>
    <t>NH3 demand</t>
  </si>
  <si>
    <t>for DeSO2/DeNOx</t>
  </si>
  <si>
    <t>H2O demand from IEAGHG 2008</t>
  </si>
  <si>
    <t>10AC-BIO_StrLoss</t>
  </si>
  <si>
    <t>10AC-BIO_StrGain</t>
  </si>
  <si>
    <t>2050-BASE</t>
  </si>
  <si>
    <t>2050-BASE-BIO</t>
  </si>
  <si>
    <t>CMU-BIO</t>
  </si>
  <si>
    <t>CMU15AC-BIO</t>
  </si>
  <si>
    <t>CMU15AC-BIO_StrGain</t>
  </si>
  <si>
    <t>2018-RM</t>
  </si>
  <si>
    <t>2018-RM-BIO</t>
  </si>
  <si>
    <t>2050-RM</t>
  </si>
  <si>
    <t>2050-RM-BIO</t>
  </si>
  <si>
    <t>2018-CMU</t>
  </si>
  <si>
    <t>2018-CMU-BIO</t>
  </si>
  <si>
    <t>2050-CMU</t>
  </si>
  <si>
    <t>2050-CMU-BIO</t>
  </si>
  <si>
    <t>EU 2018 - 269g/kWh</t>
  </si>
  <si>
    <t>EU 2050 - 54g/kWh</t>
  </si>
  <si>
    <t>electricity use</t>
  </si>
  <si>
    <t>GJ/t CO2 in gas</t>
  </si>
  <si>
    <t>CaCO3 use</t>
  </si>
  <si>
    <t>Water use</t>
  </si>
  <si>
    <t>t/t CO2</t>
  </si>
  <si>
    <t>meta-source</t>
  </si>
  <si>
    <t>IEAGHG2008</t>
  </si>
  <si>
    <t>CMU15AC-BIO_bioAC</t>
  </si>
  <si>
    <t>10AC-BIO_bioAC</t>
  </si>
  <si>
    <t>2050-BASE-opt</t>
  </si>
  <si>
    <t>2050-BASE-BIO-opt</t>
  </si>
  <si>
    <t>2050-RM-opt</t>
  </si>
  <si>
    <t>2050-RM-BIO-opt</t>
  </si>
  <si>
    <t>2050-CMU-opt</t>
  </si>
  <si>
    <t>2050-CMU-BIO-opt</t>
  </si>
  <si>
    <t>thermal energy demand</t>
  </si>
  <si>
    <t>GJ/t CO2 out</t>
  </si>
  <si>
    <t>GJ/t CO2</t>
  </si>
  <si>
    <t>CaCO3 make up</t>
  </si>
  <si>
    <t>atm CO2</t>
  </si>
  <si>
    <t>CO2 flue</t>
  </si>
  <si>
    <t>%  lost from gas combustion</t>
  </si>
  <si>
    <t>Joule2018 - out is compressed CO2</t>
  </si>
  <si>
    <t>biomethane</t>
  </si>
  <si>
    <t>2050-RM-opt_StrGain</t>
  </si>
  <si>
    <t>2050-CMU-opt_StrGain</t>
  </si>
  <si>
    <t>2050-10AC-BIO-opt_StrGain</t>
  </si>
  <si>
    <t>2050-CMU15AC-BIO-opt_StrGain</t>
  </si>
  <si>
    <t>2050-10AC-opt_StrGain</t>
  </si>
  <si>
    <t>2050-CMU15AC-opt_StrGain</t>
  </si>
  <si>
    <t>EU 2050 - 0g/kWh</t>
  </si>
  <si>
    <t>IEAGHG</t>
  </si>
  <si>
    <t>grid electricity 600g/kWh</t>
  </si>
  <si>
    <t>mixed biomass</t>
  </si>
  <si>
    <t>NH3 use</t>
  </si>
  <si>
    <t>efficiency</t>
  </si>
  <si>
    <t>GJ Heat / t CO2 In</t>
  </si>
  <si>
    <t>CEMCAP</t>
  </si>
  <si>
    <t>grid electricity 262g/kWh</t>
  </si>
  <si>
    <t>electricity primarily included in capture</t>
  </si>
  <si>
    <t>NaOH use</t>
  </si>
  <si>
    <t>CCS Uptime</t>
  </si>
  <si>
    <t>Ship Distance</t>
  </si>
  <si>
    <t>GJ / t CO2 transported</t>
  </si>
  <si>
    <t>t CO2 / t CO2 transported</t>
  </si>
  <si>
    <t>km ship</t>
  </si>
  <si>
    <t>Truck Distance</t>
  </si>
  <si>
    <t>km truck</t>
  </si>
  <si>
    <t>delete pct</t>
  </si>
  <si>
    <t>mass % CO2 in gas</t>
  </si>
  <si>
    <t>TEA-IEAGHGMIX</t>
  </si>
  <si>
    <t>TEA-BASE</t>
  </si>
  <si>
    <t>NL electricity 390g/kWh</t>
  </si>
  <si>
    <t>dry timber for charcoal</t>
  </si>
  <si>
    <t>TEA-WASTE</t>
  </si>
  <si>
    <t>TEA-CHARMIX</t>
  </si>
  <si>
    <t>electricity demand assuming one pumping station need</t>
  </si>
  <si>
    <t>electricity demand assuming two pumping station needed (one for offshore repressurization)</t>
  </si>
  <si>
    <t>wood pellets (dry)</t>
  </si>
  <si>
    <t>TEA-FUTURE-LO</t>
  </si>
  <si>
    <t>TEA-FUTURE-HI</t>
  </si>
  <si>
    <t>COAL</t>
  </si>
  <si>
    <t>CHAR</t>
  </si>
  <si>
    <t>electricity demand also includes two pumping station needed (one for offshore repressurization)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</si>
</sst>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80808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94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0" fillId="0" borderId="0" xfId="0" applyFont="1" applyBorder="1"/>
    <xf numFmtId="0" fontId="0" fillId="0" borderId="0" xfId="0" applyFill="1" applyBorder="1"/>
    <xf numFmtId="165" fontId="0" fillId="0" borderId="9" xfId="0" applyNumberFormat="1" applyBorder="1"/>
    <xf numFmtId="0" fontId="0" fillId="0" borderId="9" xfId="0" applyBorder="1"/>
    <xf numFmtId="0" fontId="14" fillId="0" borderId="0" xfId="0" applyFont="1"/>
    <xf numFmtId="0" fontId="14" fillId="0" borderId="9" xfId="0" applyFont="1" applyBorder="1"/>
    <xf numFmtId="2" fontId="0" fillId="0" borderId="0" xfId="0" applyNumberFormat="1" applyBorder="1"/>
    <xf numFmtId="0" fontId="1" fillId="0" borderId="0" xfId="0" applyFont="1" applyBorder="1"/>
    <xf numFmtId="0" fontId="3" fillId="0" borderId="9" xfId="1" applyBorder="1"/>
    <xf numFmtId="2" fontId="1" fillId="0" borderId="0" xfId="0" applyNumberFormat="1" applyFont="1" applyBorder="1"/>
    <xf numFmtId="166" fontId="3" fillId="0" borderId="0" xfId="1" applyNumberFormat="1" applyBorder="1"/>
    <xf numFmtId="0" fontId="0" fillId="0" borderId="0" xfId="1" applyFont="1" applyBorder="1"/>
    <xf numFmtId="0" fontId="2" fillId="0" borderId="0" xfId="0" applyFont="1" applyBorder="1"/>
    <xf numFmtId="0" fontId="0" fillId="0" borderId="9" xfId="0" applyFont="1" applyBorder="1"/>
    <xf numFmtId="0" fontId="14" fillId="0" borderId="0" xfId="0" applyFont="1" applyBorder="1"/>
    <xf numFmtId="0" fontId="1" fillId="0" borderId="0" xfId="1" applyFont="1" applyBorder="1"/>
    <xf numFmtId="2" fontId="0" fillId="0" borderId="0" xfId="0" applyNumberFormat="1" applyFont="1" applyBorder="1"/>
    <xf numFmtId="0" fontId="3" fillId="0" borderId="0" xfId="0" applyFont="1" applyBorder="1"/>
    <xf numFmtId="0" fontId="3" fillId="0" borderId="0" xfId="1" applyFont="1" applyBorder="1"/>
    <xf numFmtId="2" fontId="13" fillId="0" borderId="0" xfId="1" applyNumberFormat="1" applyFont="1" applyBorder="1"/>
    <xf numFmtId="0" fontId="9" fillId="0" borderId="0" xfId="2" applyFont="1" applyBorder="1"/>
    <xf numFmtId="0" fontId="1" fillId="0" borderId="0" xfId="2" applyFont="1" applyBorder="1"/>
    <xf numFmtId="0" fontId="10" fillId="0" borderId="0" xfId="2" applyFont="1" applyBorder="1"/>
    <xf numFmtId="0" fontId="11" fillId="0" borderId="0" xfId="2" applyFont="1" applyBorder="1"/>
    <xf numFmtId="0" fontId="0" fillId="0" borderId="0" xfId="2" applyFont="1" applyBorder="1"/>
    <xf numFmtId="0" fontId="3" fillId="0" borderId="0" xfId="2" applyBorder="1"/>
    <xf numFmtId="0" fontId="12" fillId="0" borderId="0" xfId="0" applyFont="1" applyBorder="1"/>
    <xf numFmtId="0" fontId="11" fillId="0" borderId="9" xfId="2" applyFont="1" applyBorder="1"/>
    <xf numFmtId="0" fontId="3" fillId="0" borderId="9" xfId="2" applyBorder="1"/>
    <xf numFmtId="0" fontId="0" fillId="0" borderId="9" xfId="2" applyFont="1" applyBorder="1"/>
    <xf numFmtId="0" fontId="3" fillId="0" borderId="0" xfId="2" applyFont="1" applyBorder="1"/>
    <xf numFmtId="166" fontId="0" fillId="0" borderId="0" xfId="0" applyNumberFormat="1"/>
    <xf numFmtId="0" fontId="13" fillId="0" borderId="0" xfId="0" applyFont="1" applyBorder="1"/>
    <xf numFmtId="0" fontId="16" fillId="0" borderId="0" xfId="0" applyFont="1"/>
    <xf numFmtId="165" fontId="14" fillId="0" borderId="0" xfId="0" applyNumberFormat="1" applyFont="1"/>
    <xf numFmtId="0" fontId="0" fillId="0" borderId="0" xfId="0" applyFont="1" applyFill="1" applyBorder="1"/>
    <xf numFmtId="2" fontId="14" fillId="0" borderId="0" xfId="0" applyNumberFormat="1" applyFont="1"/>
    <xf numFmtId="0" fontId="12" fillId="0" borderId="0" xfId="0" applyFont="1"/>
    <xf numFmtId="0" fontId="17" fillId="0" borderId="0" xfId="0" applyFont="1"/>
    <xf numFmtId="0" fontId="12" fillId="0" borderId="9" xfId="0" applyFont="1" applyBorder="1"/>
    <xf numFmtId="0" fontId="0" fillId="0" borderId="5" xfId="0" applyBorder="1"/>
    <xf numFmtId="0" fontId="2" fillId="0" borderId="5" xfId="0" applyFont="1" applyBorder="1"/>
    <xf numFmtId="0" fontId="0" fillId="0" borderId="10" xfId="0" applyBorder="1"/>
    <xf numFmtId="0" fontId="14" fillId="0" borderId="5" xfId="0" applyFont="1" applyBorder="1"/>
    <xf numFmtId="0" fontId="16" fillId="0" borderId="5" xfId="0" applyFont="1" applyBorder="1"/>
    <xf numFmtId="165" fontId="14" fillId="0" borderId="5" xfId="0" applyNumberFormat="1" applyFont="1" applyBorder="1"/>
    <xf numFmtId="0" fontId="0" fillId="0" borderId="11" xfId="0" applyBorder="1"/>
    <xf numFmtId="0" fontId="2" fillId="0" borderId="11" xfId="0" applyFont="1" applyBorder="1"/>
    <xf numFmtId="165" fontId="0" fillId="0" borderId="11" xfId="0" applyNumberFormat="1" applyBorder="1"/>
    <xf numFmtId="0" fontId="0" fillId="0" borderId="12" xfId="0" applyBorder="1"/>
    <xf numFmtId="0" fontId="14" fillId="0" borderId="10" xfId="0" applyFont="1" applyBorder="1"/>
    <xf numFmtId="2" fontId="0" fillId="0" borderId="0" xfId="0" applyNumberFormat="1" applyFont="1"/>
    <xf numFmtId="0" fontId="0" fillId="0" borderId="4" xfId="0" applyBorder="1"/>
    <xf numFmtId="0" fontId="2" fillId="0" borderId="4" xfId="0" applyFont="1" applyBorder="1"/>
    <xf numFmtId="2" fontId="0" fillId="0" borderId="4" xfId="0" applyNumberFormat="1" applyBorder="1"/>
    <xf numFmtId="0" fontId="0" fillId="0" borderId="13" xfId="0" applyBorder="1"/>
    <xf numFmtId="0" fontId="14" fillId="0" borderId="0" xfId="0" applyFont="1" applyFill="1" applyBorder="1"/>
    <xf numFmtId="2" fontId="12" fillId="0" borderId="0" xfId="0" applyNumberFormat="1" applyFont="1"/>
    <xf numFmtId="0" fontId="15" fillId="0" borderId="0" xfId="2" applyFont="1" applyBorder="1"/>
    <xf numFmtId="0" fontId="14" fillId="0" borderId="0" xfId="2" applyFont="1" applyBorder="1"/>
    <xf numFmtId="165" fontId="14" fillId="0" borderId="9" xfId="0" applyNumberFormat="1" applyFont="1" applyBorder="1"/>
    <xf numFmtId="0" fontId="11" fillId="0" borderId="0" xfId="0" applyFont="1"/>
    <xf numFmtId="0" fontId="11" fillId="0" borderId="4" xfId="0" applyFont="1" applyBorder="1"/>
    <xf numFmtId="2" fontId="18" fillId="0" borderId="0" xfId="0" applyNumberFormat="1" applyFont="1"/>
    <xf numFmtId="2" fontId="11" fillId="0" borderId="0" xfId="0" applyNumberFormat="1" applyFont="1"/>
    <xf numFmtId="2" fontId="11" fillId="0" borderId="4" xfId="0" applyNumberFormat="1" applyFont="1" applyBorder="1"/>
    <xf numFmtId="0" fontId="18" fillId="0" borderId="0" xfId="0" applyFont="1"/>
    <xf numFmtId="165" fontId="18" fillId="0" borderId="5" xfId="0" applyNumberFormat="1" applyFont="1" applyBorder="1"/>
    <xf numFmtId="165" fontId="11" fillId="0" borderId="5" xfId="0" applyNumberFormat="1" applyFont="1" applyBorder="1"/>
    <xf numFmtId="0" fontId="11" fillId="0" borderId="5" xfId="0" applyFont="1" applyBorder="1"/>
    <xf numFmtId="0" fontId="11" fillId="0" borderId="0" xfId="0" applyFont="1" applyBorder="1"/>
    <xf numFmtId="0" fontId="3" fillId="0" borderId="0" xfId="2" applyFill="1" applyBorder="1"/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7"/>
  <sheetViews>
    <sheetView zoomScaleNormal="100" workbookViewId="0">
      <pane xSplit="1" ySplit="2" topLeftCell="H3" activePane="bottomRight" state="frozen"/>
      <selection pane="topRight" activeCell="C1" sqref="C1"/>
      <selection pane="bottomLeft" activeCell="A3" sqref="A3"/>
      <selection pane="bottomRight" activeCell="A41" sqref="A41"/>
    </sheetView>
  </sheetViews>
  <sheetFormatPr baseColWidth="10" defaultColWidth="8.83203125" defaultRowHeight="15" x14ac:dyDescent="0.2"/>
  <cols>
    <col min="1" max="1" width="29.5" style="19" customWidth="1"/>
    <col min="2" max="2" width="14.33203125" bestFit="1" customWidth="1"/>
    <col min="3" max="3" width="19.1640625" bestFit="1" customWidth="1"/>
    <col min="4" max="4" width="17.6640625" style="74" bestFit="1" customWidth="1"/>
    <col min="5" max="5" width="14.33203125" style="62" bestFit="1" customWidth="1"/>
    <col min="6" max="6" width="9.1640625" style="19" customWidth="1"/>
    <col min="7" max="7" width="9.1640625" style="36" customWidth="1"/>
    <col min="8" max="8" width="16.83203125" style="2" customWidth="1"/>
    <col min="9" max="9" width="14.33203125" style="74" customWidth="1"/>
    <col min="10" max="10" width="8.83203125" style="26"/>
    <col min="11" max="11" width="15.33203125" style="26" customWidth="1"/>
    <col min="12" max="12" width="9.1640625" style="65"/>
    <col min="13" max="13" width="8.83203125" style="68"/>
    <col min="15" max="15" width="8.83203125" style="65"/>
    <col min="16" max="16" width="8.83203125" style="59"/>
  </cols>
  <sheetData>
    <row r="1" spans="1:17" x14ac:dyDescent="0.2">
      <c r="A1" s="29" t="s">
        <v>0</v>
      </c>
      <c r="B1" t="s">
        <v>7</v>
      </c>
      <c r="C1" s="16" t="s">
        <v>56</v>
      </c>
      <c r="D1" s="74" t="s">
        <v>57</v>
      </c>
      <c r="E1" s="19" t="s">
        <v>58</v>
      </c>
      <c r="F1" s="2" t="s">
        <v>86</v>
      </c>
      <c r="G1" s="78" t="s">
        <v>84</v>
      </c>
      <c r="H1" s="2" t="s">
        <v>83</v>
      </c>
      <c r="I1" s="74" t="s">
        <v>73</v>
      </c>
      <c r="J1" s="26" t="s">
        <v>70</v>
      </c>
      <c r="K1" s="26" t="s">
        <v>64</v>
      </c>
      <c r="L1" s="65" t="s">
        <v>71</v>
      </c>
      <c r="M1" s="68" t="s">
        <v>65</v>
      </c>
      <c r="N1" t="s">
        <v>4</v>
      </c>
      <c r="O1" s="65" t="s">
        <v>72</v>
      </c>
      <c r="P1" s="59" t="s">
        <v>122</v>
      </c>
      <c r="Q1" t="s">
        <v>2</v>
      </c>
    </row>
    <row r="2" spans="1:17" s="1" customFormat="1" x14ac:dyDescent="0.2">
      <c r="A2" s="1" t="s">
        <v>1</v>
      </c>
      <c r="C2" s="1" t="s">
        <v>109</v>
      </c>
      <c r="D2" s="75" t="s">
        <v>110</v>
      </c>
      <c r="F2" s="1" t="s">
        <v>82</v>
      </c>
      <c r="G2" s="55" t="s">
        <v>85</v>
      </c>
      <c r="H2" s="1" t="s">
        <v>87</v>
      </c>
      <c r="I2" s="75" t="s">
        <v>111</v>
      </c>
      <c r="J2" s="55" t="s">
        <v>111</v>
      </c>
      <c r="K2" s="55" t="s">
        <v>111</v>
      </c>
      <c r="L2" s="66" t="s">
        <v>111</v>
      </c>
      <c r="M2" s="69" t="s">
        <v>112</v>
      </c>
      <c r="N2" s="1" t="s">
        <v>113</v>
      </c>
      <c r="O2" s="63" t="s">
        <v>114</v>
      </c>
      <c r="P2" s="60"/>
    </row>
    <row r="3" spans="1:17" x14ac:dyDescent="0.2">
      <c r="A3" s="34" t="s">
        <v>2</v>
      </c>
      <c r="E3" s="19"/>
      <c r="F3" s="2"/>
      <c r="G3" s="26"/>
      <c r="H3" s="2" t="s">
        <v>88</v>
      </c>
    </row>
    <row r="4" spans="1:17" x14ac:dyDescent="0.2">
      <c r="A4" s="22" t="s">
        <v>62</v>
      </c>
      <c r="B4" t="s">
        <v>69</v>
      </c>
      <c r="C4">
        <v>0</v>
      </c>
      <c r="D4" s="74">
        <f>0.0102+0.10641+2.406035</f>
        <v>2.5226450000000002</v>
      </c>
      <c r="E4" s="19" t="s">
        <v>63</v>
      </c>
      <c r="F4" s="73">
        <v>1.65</v>
      </c>
      <c r="G4" s="58"/>
      <c r="H4" s="73"/>
      <c r="I4" s="76">
        <f>J4+K4</f>
        <v>2.6949999999999998</v>
      </c>
      <c r="K4" s="26">
        <v>2.6949999999999998</v>
      </c>
      <c r="L4" s="67"/>
      <c r="M4" s="70">
        <v>0.40333000000000002</v>
      </c>
      <c r="N4">
        <f>75*Ref!B$18</f>
        <v>0.27</v>
      </c>
    </row>
    <row r="5" spans="1:17" x14ac:dyDescent="0.2">
      <c r="A5" s="19" t="s">
        <v>68</v>
      </c>
      <c r="B5" t="s">
        <v>69</v>
      </c>
      <c r="C5">
        <f>13.1*28.6/1000</f>
        <v>0.37466000000000005</v>
      </c>
      <c r="D5" s="74">
        <f>3.7*1.31/1.4</f>
        <v>3.4621428571428576</v>
      </c>
      <c r="E5" s="19" t="s">
        <v>63</v>
      </c>
      <c r="F5" s="2"/>
      <c r="G5" s="26"/>
      <c r="I5" s="76">
        <f>J5+K5</f>
        <v>1.7271428571428573</v>
      </c>
      <c r="K5" s="56">
        <f>2.418/1.4</f>
        <v>1.7271428571428573</v>
      </c>
      <c r="L5" s="67">
        <f>1.195*1.3/1.4</f>
        <v>1.1096428571428574</v>
      </c>
      <c r="M5" s="70">
        <f>0.09*28/1.4</f>
        <v>1.8</v>
      </c>
      <c r="N5">
        <v>0</v>
      </c>
    </row>
    <row r="6" spans="1:17" x14ac:dyDescent="0.2">
      <c r="A6" s="22" t="s">
        <v>66</v>
      </c>
      <c r="B6" t="s">
        <v>69</v>
      </c>
      <c r="C6">
        <v>0</v>
      </c>
      <c r="D6" s="74">
        <f>3.7/1.3</f>
        <v>2.8461538461538463</v>
      </c>
      <c r="E6" s="19" t="s">
        <v>63</v>
      </c>
      <c r="F6" s="2"/>
      <c r="G6" s="26"/>
      <c r="I6" s="76">
        <f>J6+K6</f>
        <v>1.2030769230769232</v>
      </c>
      <c r="K6" s="56">
        <f>1.564/1.3</f>
        <v>1.2030769230769232</v>
      </c>
      <c r="L6" s="67">
        <f>0.954/1.3</f>
        <v>0.73384615384615381</v>
      </c>
      <c r="M6" s="70">
        <f>0.037*28/1.3</f>
        <v>0.79692307692307696</v>
      </c>
      <c r="N6">
        <v>0</v>
      </c>
      <c r="O6" s="65">
        <f>613*Ref!B18</f>
        <v>2.2067999999999999</v>
      </c>
      <c r="P6" s="79"/>
      <c r="Q6" t="s">
        <v>74</v>
      </c>
    </row>
    <row r="7" spans="1:17" x14ac:dyDescent="0.2">
      <c r="A7" s="22" t="s">
        <v>67</v>
      </c>
      <c r="B7" t="s">
        <v>69</v>
      </c>
      <c r="C7">
        <v>0</v>
      </c>
      <c r="D7" s="74">
        <f>3.7/1.3</f>
        <v>2.8461538461538463</v>
      </c>
      <c r="E7" s="19" t="s">
        <v>63</v>
      </c>
      <c r="F7" s="2"/>
      <c r="G7" s="26"/>
      <c r="I7" s="76">
        <f>J7+K7</f>
        <v>2.25</v>
      </c>
      <c r="K7" s="56">
        <f>2.925/1.3</f>
        <v>2.25</v>
      </c>
      <c r="L7" s="67">
        <v>0</v>
      </c>
      <c r="M7" s="70">
        <f>0.049*28/1.3</f>
        <v>1.0553846153846154</v>
      </c>
      <c r="N7">
        <v>0</v>
      </c>
      <c r="O7" s="65">
        <f>1122*Ref!B18</f>
        <v>4.0392000000000001</v>
      </c>
      <c r="P7" s="79"/>
      <c r="Q7" t="s">
        <v>74</v>
      </c>
    </row>
    <row r="8" spans="1:17" x14ac:dyDescent="0.2">
      <c r="A8" s="57" t="s">
        <v>75</v>
      </c>
      <c r="B8" t="s">
        <v>69</v>
      </c>
      <c r="C8">
        <v>0</v>
      </c>
      <c r="D8" s="74">
        <f>1/0.364</f>
        <v>2.7472527472527473</v>
      </c>
      <c r="E8" s="19" t="s">
        <v>63</v>
      </c>
      <c r="F8" s="2"/>
      <c r="G8" s="26"/>
      <c r="I8" s="76">
        <f t="shared" ref="I8" si="0">J8+K8</f>
        <v>0.54300000000000004</v>
      </c>
      <c r="K8" s="58">
        <v>0.54300000000000004</v>
      </c>
      <c r="L8" s="67"/>
      <c r="M8" s="70">
        <f>0.0365*28</f>
        <v>1.022</v>
      </c>
      <c r="N8">
        <v>0</v>
      </c>
      <c r="P8" s="79"/>
    </row>
    <row r="9" spans="1:17" x14ac:dyDescent="0.2">
      <c r="A9" s="57" t="s">
        <v>76</v>
      </c>
      <c r="B9" t="s">
        <v>69</v>
      </c>
      <c r="C9">
        <v>0</v>
      </c>
      <c r="D9" s="74">
        <f>1/0.341</f>
        <v>2.9325513196480935</v>
      </c>
      <c r="E9" s="19" t="s">
        <v>63</v>
      </c>
      <c r="F9" s="2"/>
      <c r="G9" s="26"/>
      <c r="I9" s="76">
        <f>J9+K9</f>
        <v>1.3819999999999999</v>
      </c>
      <c r="K9" s="58">
        <v>1.3819999999999999</v>
      </c>
      <c r="L9" s="67"/>
      <c r="M9" s="70">
        <f>0.047*28</f>
        <v>1.3160000000000001</v>
      </c>
      <c r="N9">
        <v>0</v>
      </c>
      <c r="P9" s="79"/>
    </row>
    <row r="10" spans="1:17" s="25" customFormat="1" ht="16.5" customHeight="1" thickBot="1" x14ac:dyDescent="0.25">
      <c r="A10" s="25" t="s">
        <v>3</v>
      </c>
      <c r="B10" s="25" t="s">
        <v>69</v>
      </c>
      <c r="C10" s="25">
        <f>C5</f>
        <v>0.37466000000000005</v>
      </c>
      <c r="D10" s="77">
        <f>D9</f>
        <v>2.9325513196480935</v>
      </c>
      <c r="E10" s="25" t="str">
        <f>E9</f>
        <v>dry cleft timber</v>
      </c>
      <c r="F10" s="35">
        <v>1.81</v>
      </c>
      <c r="G10" s="27">
        <v>55</v>
      </c>
      <c r="H10" s="35">
        <v>0.32</v>
      </c>
      <c r="I10" s="77">
        <f t="shared" ref="I10:N10" si="1">I9</f>
        <v>1.3819999999999999</v>
      </c>
      <c r="J10" s="25">
        <f t="shared" si="1"/>
        <v>0</v>
      </c>
      <c r="K10" s="25">
        <f t="shared" si="1"/>
        <v>1.3819999999999999</v>
      </c>
      <c r="L10" s="64">
        <f t="shared" si="1"/>
        <v>0</v>
      </c>
      <c r="M10" s="71">
        <f t="shared" si="1"/>
        <v>1.3160000000000001</v>
      </c>
      <c r="N10" s="25">
        <f t="shared" si="1"/>
        <v>0</v>
      </c>
      <c r="O10" s="72">
        <f>O5</f>
        <v>0</v>
      </c>
      <c r="P10" s="61"/>
    </row>
    <row r="11" spans="1:17" x14ac:dyDescent="0.2">
      <c r="A11" t="s">
        <v>115</v>
      </c>
      <c r="B11" t="str">
        <f t="shared" ref="B11:E13" si="2">B$9</f>
        <v>diesel</v>
      </c>
      <c r="C11">
        <v>0</v>
      </c>
      <c r="D11" s="74">
        <f>1/0.364</f>
        <v>2.7472527472527473</v>
      </c>
      <c r="E11" s="19" t="str">
        <f t="shared" si="2"/>
        <v>dry cleft timber</v>
      </c>
      <c r="F11" s="2">
        <f>1.81</f>
        <v>1.81</v>
      </c>
      <c r="G11" s="58">
        <v>60</v>
      </c>
      <c r="H11" s="73">
        <v>0</v>
      </c>
      <c r="I11" s="76">
        <f t="shared" ref="I11" si="3">J11+K11</f>
        <v>0.54300000000000004</v>
      </c>
      <c r="K11" s="58">
        <v>0.54300000000000004</v>
      </c>
      <c r="L11" s="67"/>
      <c r="M11" s="70">
        <f>0.0365*28</f>
        <v>1.022</v>
      </c>
      <c r="N11">
        <v>0</v>
      </c>
      <c r="O11" s="62">
        <v>0</v>
      </c>
      <c r="P11" s="59">
        <v>200</v>
      </c>
    </row>
    <row r="12" spans="1:17" x14ac:dyDescent="0.2">
      <c r="A12" s="19" t="s">
        <v>136</v>
      </c>
      <c r="B12" t="str">
        <f t="shared" si="2"/>
        <v>diesel</v>
      </c>
      <c r="C12">
        <v>0</v>
      </c>
      <c r="D12" s="74">
        <f t="shared" ref="D12:D16" si="4">1/0.364</f>
        <v>2.7472527472527473</v>
      </c>
      <c r="E12" s="19" t="str">
        <f t="shared" si="2"/>
        <v>dry cleft timber</v>
      </c>
      <c r="F12" s="2">
        <f t="shared" ref="F12:F16" si="5">1.81</f>
        <v>1.81</v>
      </c>
      <c r="G12" s="58">
        <v>60</v>
      </c>
      <c r="H12" s="73">
        <v>0</v>
      </c>
      <c r="I12" s="76">
        <f t="shared" ref="I12:I15" si="6">J12+K12</f>
        <v>0.54300000000000004</v>
      </c>
      <c r="K12" s="58">
        <v>0.54300000000000004</v>
      </c>
      <c r="L12" s="67"/>
      <c r="M12" s="70">
        <f t="shared" ref="M12:M16" si="7">0.0365*28</f>
        <v>1.022</v>
      </c>
      <c r="N12">
        <v>0</v>
      </c>
      <c r="O12" s="62">
        <v>0</v>
      </c>
      <c r="P12" s="59">
        <v>80</v>
      </c>
    </row>
    <row r="13" spans="1:17" x14ac:dyDescent="0.2">
      <c r="A13" s="19" t="s">
        <v>137</v>
      </c>
      <c r="B13" t="str">
        <f t="shared" si="2"/>
        <v>diesel</v>
      </c>
      <c r="C13">
        <v>0</v>
      </c>
      <c r="D13" s="74">
        <f t="shared" si="4"/>
        <v>2.7472527472527473</v>
      </c>
      <c r="E13" s="19" t="str">
        <f t="shared" si="2"/>
        <v>dry cleft timber</v>
      </c>
      <c r="F13" s="2">
        <f t="shared" si="5"/>
        <v>1.81</v>
      </c>
      <c r="G13" s="58">
        <v>60</v>
      </c>
      <c r="H13" s="73">
        <v>0</v>
      </c>
      <c r="I13" s="76">
        <f t="shared" si="6"/>
        <v>0.54300000000000004</v>
      </c>
      <c r="K13" s="58">
        <v>0.54300000000000004</v>
      </c>
      <c r="L13" s="67"/>
      <c r="M13" s="70">
        <f t="shared" si="7"/>
        <v>1.022</v>
      </c>
      <c r="N13">
        <v>0</v>
      </c>
      <c r="O13" s="62">
        <v>0</v>
      </c>
      <c r="P13" s="59">
        <v>80</v>
      </c>
    </row>
    <row r="14" spans="1:17" x14ac:dyDescent="0.2">
      <c r="A14" s="23" t="s">
        <v>140</v>
      </c>
      <c r="B14" t="str">
        <f t="shared" ref="B14:E16" si="8">B$9</f>
        <v>diesel</v>
      </c>
      <c r="C14">
        <v>0</v>
      </c>
      <c r="D14" s="74">
        <f t="shared" si="4"/>
        <v>2.7472527472527473</v>
      </c>
      <c r="E14" s="19" t="str">
        <f t="shared" si="8"/>
        <v>dry cleft timber</v>
      </c>
      <c r="F14" s="2">
        <f t="shared" si="5"/>
        <v>1.81</v>
      </c>
      <c r="G14" s="58">
        <v>60</v>
      </c>
      <c r="H14" s="73">
        <v>0</v>
      </c>
      <c r="I14" s="76">
        <f t="shared" si="6"/>
        <v>0.54300000000000004</v>
      </c>
      <c r="K14" s="58">
        <v>0.54300000000000004</v>
      </c>
      <c r="L14" s="67"/>
      <c r="M14" s="70">
        <f t="shared" si="7"/>
        <v>1.022</v>
      </c>
      <c r="N14">
        <v>0</v>
      </c>
      <c r="O14" s="62">
        <v>0</v>
      </c>
      <c r="P14" s="59">
        <v>80</v>
      </c>
    </row>
    <row r="15" spans="1:17" x14ac:dyDescent="0.2">
      <c r="A15" s="23" t="s">
        <v>141</v>
      </c>
      <c r="B15" t="str">
        <f t="shared" si="8"/>
        <v>diesel</v>
      </c>
      <c r="C15">
        <v>0</v>
      </c>
      <c r="D15" s="74">
        <f t="shared" si="4"/>
        <v>2.7472527472527473</v>
      </c>
      <c r="E15" s="19" t="str">
        <f t="shared" si="8"/>
        <v>dry cleft timber</v>
      </c>
      <c r="F15" s="2">
        <f t="shared" si="5"/>
        <v>1.81</v>
      </c>
      <c r="G15" s="58">
        <v>60</v>
      </c>
      <c r="H15" s="73">
        <v>0</v>
      </c>
      <c r="I15" s="76">
        <f t="shared" si="6"/>
        <v>0.54300000000000004</v>
      </c>
      <c r="K15" s="58">
        <v>0.54300000000000004</v>
      </c>
      <c r="L15" s="67"/>
      <c r="M15" s="70">
        <f t="shared" si="7"/>
        <v>1.022</v>
      </c>
      <c r="N15">
        <v>0</v>
      </c>
      <c r="O15" s="62">
        <v>0</v>
      </c>
      <c r="P15" s="59">
        <v>80</v>
      </c>
    </row>
    <row r="16" spans="1:17" x14ac:dyDescent="0.2">
      <c r="A16" t="s">
        <v>153</v>
      </c>
      <c r="B16" t="str">
        <f t="shared" si="8"/>
        <v>diesel</v>
      </c>
      <c r="C16">
        <v>0</v>
      </c>
      <c r="D16" s="74">
        <f t="shared" si="4"/>
        <v>2.7472527472527473</v>
      </c>
      <c r="E16" s="19" t="str">
        <f t="shared" si="8"/>
        <v>dry cleft timber</v>
      </c>
      <c r="F16" s="2">
        <f t="shared" si="5"/>
        <v>1.81</v>
      </c>
      <c r="G16" s="58">
        <v>60</v>
      </c>
      <c r="H16" s="73">
        <v>0</v>
      </c>
      <c r="I16" s="76">
        <f t="shared" ref="I16" si="9">J16+K16</f>
        <v>0.54300000000000004</v>
      </c>
      <c r="K16" s="58">
        <v>0.54300000000000004</v>
      </c>
      <c r="L16" s="67"/>
      <c r="M16" s="70">
        <f t="shared" si="7"/>
        <v>1.022</v>
      </c>
      <c r="N16">
        <v>0</v>
      </c>
      <c r="O16" s="62">
        <v>0</v>
      </c>
      <c r="P16" s="59">
        <v>0</v>
      </c>
    </row>
    <row r="17" spans="1:16" x14ac:dyDescent="0.2">
      <c r="A17" t="s">
        <v>154</v>
      </c>
      <c r="B17" s="83" t="s">
        <v>69</v>
      </c>
      <c r="C17" s="83">
        <v>0</v>
      </c>
      <c r="D17" s="84">
        <v>2.7472527470000001</v>
      </c>
      <c r="E17" s="83" t="s">
        <v>63</v>
      </c>
      <c r="F17" s="83">
        <v>1.81</v>
      </c>
      <c r="G17" s="85">
        <v>60</v>
      </c>
      <c r="H17" s="86">
        <v>0</v>
      </c>
      <c r="I17" s="87">
        <v>0.54</v>
      </c>
      <c r="J17" s="88"/>
      <c r="K17" s="85">
        <v>0.54</v>
      </c>
      <c r="L17" s="89"/>
      <c r="M17" s="90">
        <v>1.022</v>
      </c>
      <c r="N17" s="83">
        <v>0</v>
      </c>
      <c r="O17" s="91">
        <v>0</v>
      </c>
      <c r="P17" s="59">
        <v>0</v>
      </c>
    </row>
    <row r="18" spans="1:16" x14ac:dyDescent="0.2">
      <c r="A18" t="s">
        <v>155</v>
      </c>
      <c r="B18" s="83" t="s">
        <v>69</v>
      </c>
      <c r="C18" s="83">
        <v>0</v>
      </c>
      <c r="D18" s="84">
        <v>2.7472527470000001</v>
      </c>
      <c r="E18" s="83" t="s">
        <v>63</v>
      </c>
      <c r="F18" s="83">
        <v>1.81</v>
      </c>
      <c r="G18" s="85">
        <v>60</v>
      </c>
      <c r="H18" s="86">
        <v>0</v>
      </c>
      <c r="I18" s="87">
        <v>0.54</v>
      </c>
      <c r="J18" s="88"/>
      <c r="K18" s="85">
        <v>0.54</v>
      </c>
      <c r="L18" s="89"/>
      <c r="M18" s="90">
        <v>1.022</v>
      </c>
      <c r="N18" s="83">
        <v>0</v>
      </c>
      <c r="O18" s="91">
        <v>0</v>
      </c>
      <c r="P18" s="59">
        <v>0</v>
      </c>
    </row>
    <row r="19" spans="1:16" x14ac:dyDescent="0.2">
      <c r="A19" t="s">
        <v>168</v>
      </c>
      <c r="B19" s="83" t="s">
        <v>69</v>
      </c>
      <c r="C19" s="83">
        <v>0</v>
      </c>
      <c r="D19" s="84">
        <v>2.7472527470000001</v>
      </c>
      <c r="E19" s="83" t="s">
        <v>63</v>
      </c>
      <c r="F19" s="83">
        <v>1.81</v>
      </c>
      <c r="G19" s="85">
        <v>60</v>
      </c>
      <c r="H19" s="86">
        <v>0</v>
      </c>
      <c r="I19" s="87">
        <v>0.54</v>
      </c>
      <c r="J19" s="88"/>
      <c r="K19" s="85">
        <v>0.54</v>
      </c>
      <c r="L19" s="89"/>
      <c r="M19" s="90">
        <v>1.022</v>
      </c>
      <c r="N19" s="83">
        <v>0</v>
      </c>
      <c r="O19" s="91">
        <v>0</v>
      </c>
      <c r="P19" s="59">
        <v>0</v>
      </c>
    </row>
    <row r="20" spans="1:16" x14ac:dyDescent="0.2">
      <c r="A20" t="s">
        <v>156</v>
      </c>
      <c r="B20" s="83" t="s">
        <v>69</v>
      </c>
      <c r="C20" s="83">
        <v>0</v>
      </c>
      <c r="D20" s="84">
        <v>2.7472527470000001</v>
      </c>
      <c r="E20" s="83" t="s">
        <v>63</v>
      </c>
      <c r="F20" s="83">
        <v>1.81</v>
      </c>
      <c r="G20" s="85">
        <v>60</v>
      </c>
      <c r="H20" s="86">
        <v>0</v>
      </c>
      <c r="I20" s="87">
        <v>0.54</v>
      </c>
      <c r="J20" s="88"/>
      <c r="K20" s="85">
        <v>0.54</v>
      </c>
      <c r="L20" s="89"/>
      <c r="M20" s="90">
        <v>1.022</v>
      </c>
      <c r="N20" s="83">
        <v>0</v>
      </c>
      <c r="O20" s="91">
        <v>0</v>
      </c>
      <c r="P20" s="59">
        <v>0</v>
      </c>
    </row>
    <row r="21" spans="1:16" x14ac:dyDescent="0.2">
      <c r="A21" t="s">
        <v>157</v>
      </c>
      <c r="B21" s="83" t="s">
        <v>69</v>
      </c>
      <c r="C21" s="83">
        <v>0</v>
      </c>
      <c r="D21" s="84">
        <v>2.7472527470000001</v>
      </c>
      <c r="E21" s="83" t="s">
        <v>63</v>
      </c>
      <c r="F21" s="83">
        <v>1.81</v>
      </c>
      <c r="G21" s="85">
        <v>60</v>
      </c>
      <c r="H21" s="86">
        <v>0</v>
      </c>
      <c r="I21" s="87">
        <v>0.54</v>
      </c>
      <c r="J21" s="88"/>
      <c r="K21" s="85">
        <v>0.54</v>
      </c>
      <c r="L21" s="89"/>
      <c r="M21" s="90">
        <v>1.022</v>
      </c>
      <c r="N21" s="83">
        <v>0</v>
      </c>
      <c r="O21" s="91">
        <v>0</v>
      </c>
      <c r="P21" s="59">
        <v>0</v>
      </c>
    </row>
    <row r="22" spans="1:16" x14ac:dyDescent="0.2">
      <c r="A22" t="s">
        <v>169</v>
      </c>
      <c r="B22" s="83" t="s">
        <v>69</v>
      </c>
      <c r="C22" s="83">
        <v>0</v>
      </c>
      <c r="D22" s="84">
        <v>2.7472527470000001</v>
      </c>
      <c r="E22" s="83" t="s">
        <v>63</v>
      </c>
      <c r="F22" s="83">
        <v>1.81</v>
      </c>
      <c r="G22" s="85">
        <v>60</v>
      </c>
      <c r="H22" s="86">
        <v>0</v>
      </c>
      <c r="I22" s="87">
        <v>0.54</v>
      </c>
      <c r="J22" s="88"/>
      <c r="K22" s="85">
        <v>0.54</v>
      </c>
      <c r="L22" s="89"/>
      <c r="M22" s="90">
        <v>1.022</v>
      </c>
      <c r="N22" s="83">
        <v>0</v>
      </c>
      <c r="O22" s="91">
        <v>0</v>
      </c>
      <c r="P22" s="59">
        <v>0</v>
      </c>
    </row>
    <row r="23" spans="1:16" x14ac:dyDescent="0.2">
      <c r="A23" t="s">
        <v>158</v>
      </c>
      <c r="B23" s="83" t="s">
        <v>69</v>
      </c>
      <c r="C23" s="83">
        <v>0</v>
      </c>
      <c r="D23" s="84">
        <v>2.7472527470000001</v>
      </c>
      <c r="E23" s="83" t="s">
        <v>63</v>
      </c>
      <c r="F23" s="83">
        <v>1.81</v>
      </c>
      <c r="G23" s="85">
        <v>60</v>
      </c>
      <c r="H23" s="86">
        <v>0</v>
      </c>
      <c r="I23" s="87">
        <v>0.54</v>
      </c>
      <c r="J23" s="88"/>
      <c r="K23" s="85">
        <v>0.54</v>
      </c>
      <c r="L23" s="89"/>
      <c r="M23" s="90">
        <v>1.022</v>
      </c>
      <c r="N23" s="83">
        <v>0</v>
      </c>
      <c r="O23" s="91">
        <v>0</v>
      </c>
      <c r="P23" s="59">
        <v>0</v>
      </c>
    </row>
    <row r="24" spans="1:16" x14ac:dyDescent="0.2">
      <c r="A24" t="s">
        <v>170</v>
      </c>
      <c r="B24" s="83" t="s">
        <v>69</v>
      </c>
      <c r="C24" s="83">
        <v>0</v>
      </c>
      <c r="D24" s="84">
        <v>2.7472527470000001</v>
      </c>
      <c r="E24" s="83" t="s">
        <v>63</v>
      </c>
      <c r="F24" s="83">
        <v>1.81</v>
      </c>
      <c r="G24" s="85">
        <v>60</v>
      </c>
      <c r="H24" s="86">
        <v>0</v>
      </c>
      <c r="I24" s="87">
        <v>0.54</v>
      </c>
      <c r="J24" s="88"/>
      <c r="K24" s="85">
        <v>0.54</v>
      </c>
      <c r="L24" s="89"/>
      <c r="M24" s="90">
        <v>1.022</v>
      </c>
      <c r="N24" s="83">
        <v>0</v>
      </c>
      <c r="O24" s="91">
        <v>0</v>
      </c>
      <c r="P24" s="59">
        <v>0</v>
      </c>
    </row>
    <row r="25" spans="1:16" x14ac:dyDescent="0.2">
      <c r="A25" t="s">
        <v>171</v>
      </c>
      <c r="B25" s="83" t="s">
        <v>69</v>
      </c>
      <c r="C25" s="83">
        <v>0</v>
      </c>
      <c r="D25" s="84">
        <v>2.7472527470000001</v>
      </c>
      <c r="E25" s="83" t="s">
        <v>63</v>
      </c>
      <c r="F25" s="83">
        <v>1.81</v>
      </c>
      <c r="G25" s="85">
        <v>60</v>
      </c>
      <c r="H25" s="86">
        <v>0</v>
      </c>
      <c r="I25" s="87">
        <v>0.54</v>
      </c>
      <c r="J25" s="88"/>
      <c r="K25" s="85">
        <v>0.54</v>
      </c>
      <c r="L25" s="89"/>
      <c r="M25" s="90">
        <v>1.022</v>
      </c>
      <c r="N25" s="83">
        <v>0</v>
      </c>
      <c r="O25" s="91">
        <v>0</v>
      </c>
      <c r="P25" s="59">
        <v>0</v>
      </c>
    </row>
    <row r="26" spans="1:16" x14ac:dyDescent="0.2">
      <c r="A26" t="s">
        <v>172</v>
      </c>
      <c r="B26" s="83" t="s">
        <v>69</v>
      </c>
      <c r="C26" s="83">
        <v>0</v>
      </c>
      <c r="D26" s="84">
        <v>2.7472527470000001</v>
      </c>
      <c r="E26" s="83" t="s">
        <v>63</v>
      </c>
      <c r="F26" s="83">
        <v>1.81</v>
      </c>
      <c r="G26" s="85">
        <v>60</v>
      </c>
      <c r="H26" s="86">
        <v>0</v>
      </c>
      <c r="I26" s="87">
        <v>0.54</v>
      </c>
      <c r="J26" s="88"/>
      <c r="K26" s="85">
        <v>0.54</v>
      </c>
      <c r="L26" s="89"/>
      <c r="M26" s="90">
        <v>1.022</v>
      </c>
      <c r="N26" s="83">
        <v>0</v>
      </c>
      <c r="O26" s="91">
        <v>0</v>
      </c>
      <c r="P26" s="59">
        <v>0</v>
      </c>
    </row>
    <row r="27" spans="1:16" ht="16" customHeight="1" x14ac:dyDescent="0.2">
      <c r="A27" t="s">
        <v>173</v>
      </c>
      <c r="B27" s="83" t="s">
        <v>69</v>
      </c>
      <c r="C27" s="83">
        <v>0</v>
      </c>
      <c r="D27" s="84">
        <v>2.7472527470000001</v>
      </c>
      <c r="E27" s="83" t="s">
        <v>63</v>
      </c>
      <c r="F27" s="83">
        <v>1.81</v>
      </c>
      <c r="G27" s="85">
        <v>60</v>
      </c>
      <c r="H27" s="86">
        <v>0</v>
      </c>
      <c r="I27" s="87">
        <v>0.54</v>
      </c>
      <c r="J27" s="88"/>
      <c r="K27" s="85">
        <v>0.54</v>
      </c>
      <c r="L27" s="89"/>
      <c r="M27" s="90">
        <v>1.022</v>
      </c>
      <c r="N27" s="83">
        <v>0</v>
      </c>
      <c r="O27" s="91">
        <v>0</v>
      </c>
      <c r="P27" s="59">
        <v>0</v>
      </c>
    </row>
    <row r="28" spans="1:16" x14ac:dyDescent="0.2">
      <c r="A28" s="19" t="s">
        <v>175</v>
      </c>
      <c r="B28" s="83" t="s">
        <v>69</v>
      </c>
      <c r="C28" s="83">
        <v>0</v>
      </c>
      <c r="D28" s="74">
        <v>1</v>
      </c>
      <c r="E28" s="83" t="s">
        <v>177</v>
      </c>
      <c r="F28" s="92">
        <v>0</v>
      </c>
      <c r="G28" s="36">
        <v>0</v>
      </c>
      <c r="H28" s="86">
        <v>0</v>
      </c>
      <c r="I28" s="74">
        <v>0</v>
      </c>
      <c r="J28" s="26">
        <v>0</v>
      </c>
      <c r="K28" s="26">
        <v>0</v>
      </c>
      <c r="L28" s="65">
        <v>0</v>
      </c>
      <c r="M28" s="68">
        <v>0</v>
      </c>
      <c r="N28" s="83">
        <v>0</v>
      </c>
      <c r="O28" s="65">
        <v>0</v>
      </c>
      <c r="P28" s="59">
        <v>0</v>
      </c>
    </row>
    <row r="29" spans="1:16" x14ac:dyDescent="0.2">
      <c r="A29" t="s">
        <v>195</v>
      </c>
      <c r="B29" t="str">
        <f t="shared" ref="B29:B32" si="10">B$9</f>
        <v>diesel</v>
      </c>
      <c r="C29">
        <v>0</v>
      </c>
      <c r="D29" s="74">
        <f>1/0.364</f>
        <v>2.7472527472527473</v>
      </c>
      <c r="E29" s="19" t="s">
        <v>197</v>
      </c>
      <c r="F29" s="2">
        <f>1.81</f>
        <v>1.81</v>
      </c>
      <c r="G29" s="58">
        <v>60</v>
      </c>
      <c r="H29" s="73">
        <v>0</v>
      </c>
      <c r="I29" s="76">
        <f t="shared" ref="I29:I30" si="11">J29+K29</f>
        <v>0.54300000000000004</v>
      </c>
      <c r="K29" s="58">
        <v>0.54300000000000004</v>
      </c>
      <c r="L29" s="67"/>
      <c r="M29" s="70">
        <f>0.0365*28</f>
        <v>1.022</v>
      </c>
      <c r="N29">
        <v>0</v>
      </c>
      <c r="O29" s="62">
        <v>0</v>
      </c>
      <c r="P29" s="59">
        <v>200</v>
      </c>
    </row>
    <row r="30" spans="1:16" x14ac:dyDescent="0.2">
      <c r="A30" t="s">
        <v>194</v>
      </c>
      <c r="B30" s="83" t="s">
        <v>69</v>
      </c>
      <c r="C30" s="83">
        <v>0</v>
      </c>
      <c r="D30" s="74">
        <v>1</v>
      </c>
      <c r="E30" s="83" t="s">
        <v>177</v>
      </c>
      <c r="F30" s="92">
        <v>0</v>
      </c>
      <c r="G30" s="36">
        <v>0</v>
      </c>
      <c r="H30" s="86">
        <v>0</v>
      </c>
      <c r="I30" s="76">
        <f t="shared" si="11"/>
        <v>0</v>
      </c>
      <c r="J30" s="26">
        <v>0</v>
      </c>
      <c r="K30" s="26">
        <v>0</v>
      </c>
      <c r="L30" s="65">
        <v>0</v>
      </c>
      <c r="M30" s="68">
        <v>0</v>
      </c>
      <c r="N30" s="83">
        <v>0</v>
      </c>
      <c r="O30" s="65">
        <v>0</v>
      </c>
      <c r="P30" s="59">
        <v>0</v>
      </c>
    </row>
    <row r="31" spans="1:16" x14ac:dyDescent="0.2">
      <c r="A31" t="s">
        <v>203</v>
      </c>
      <c r="B31" t="str">
        <f t="shared" si="10"/>
        <v>diesel</v>
      </c>
      <c r="C31">
        <v>0</v>
      </c>
      <c r="D31" s="74">
        <f t="shared" ref="D31:D32" si="12">1/0.364</f>
        <v>2.7472527472527473</v>
      </c>
      <c r="E31" s="19" t="s">
        <v>197</v>
      </c>
      <c r="F31" s="2">
        <f t="shared" ref="F31:F32" si="13">1.81</f>
        <v>1.81</v>
      </c>
      <c r="G31" s="58">
        <v>60</v>
      </c>
      <c r="H31" s="73">
        <v>0</v>
      </c>
      <c r="I31" s="76">
        <f t="shared" ref="I31:I32" si="14">J31+K31</f>
        <v>0.54300000000000004</v>
      </c>
      <c r="K31" s="58">
        <v>0.54300000000000004</v>
      </c>
      <c r="L31" s="67"/>
      <c r="M31" s="70">
        <f t="shared" ref="M31:M32" si="15">0.0365*28</f>
        <v>1.022</v>
      </c>
      <c r="N31">
        <v>0</v>
      </c>
      <c r="O31" s="62">
        <v>0</v>
      </c>
      <c r="P31" s="59">
        <v>80</v>
      </c>
    </row>
    <row r="32" spans="1:16" x14ac:dyDescent="0.2">
      <c r="A32" t="s">
        <v>204</v>
      </c>
      <c r="B32" t="str">
        <f t="shared" si="10"/>
        <v>diesel</v>
      </c>
      <c r="C32">
        <v>0</v>
      </c>
      <c r="D32" s="74">
        <f t="shared" si="12"/>
        <v>2.7472527472527473</v>
      </c>
      <c r="E32" s="19" t="s">
        <v>197</v>
      </c>
      <c r="F32" s="2">
        <f t="shared" si="13"/>
        <v>1.81</v>
      </c>
      <c r="G32" s="58">
        <v>60</v>
      </c>
      <c r="H32" s="73">
        <v>0</v>
      </c>
      <c r="I32" s="76">
        <f t="shared" si="14"/>
        <v>0.54300000000000004</v>
      </c>
      <c r="K32" s="58">
        <v>0.54300000000000004</v>
      </c>
      <c r="L32" s="67"/>
      <c r="M32" s="70">
        <f t="shared" si="15"/>
        <v>1.022</v>
      </c>
      <c r="N32">
        <v>0</v>
      </c>
      <c r="O32" s="62">
        <v>0</v>
      </c>
      <c r="P32" s="59">
        <v>0</v>
      </c>
    </row>
    <row r="33" spans="5:5" x14ac:dyDescent="0.2">
      <c r="E33" s="19"/>
    </row>
    <row r="34" spans="5:5" x14ac:dyDescent="0.2">
      <c r="E34" s="19"/>
    </row>
    <row r="35" spans="5:5" x14ac:dyDescent="0.2">
      <c r="E35" s="19"/>
    </row>
    <row r="36" spans="5:5" x14ac:dyDescent="0.2">
      <c r="E36" s="19"/>
    </row>
    <row r="37" spans="5:5" x14ac:dyDescent="0.2">
      <c r="E37" s="19"/>
    </row>
    <row r="38" spans="5:5" x14ac:dyDescent="0.2">
      <c r="E38" s="19"/>
    </row>
    <row r="39" spans="5:5" x14ac:dyDescent="0.2">
      <c r="E39" s="19"/>
    </row>
    <row r="40" spans="5:5" x14ac:dyDescent="0.2">
      <c r="E40" s="19"/>
    </row>
    <row r="41" spans="5:5" x14ac:dyDescent="0.2">
      <c r="E41" s="19"/>
    </row>
    <row r="42" spans="5:5" x14ac:dyDescent="0.2">
      <c r="E42" s="19"/>
    </row>
    <row r="43" spans="5:5" x14ac:dyDescent="0.2">
      <c r="E43" s="19"/>
    </row>
    <row r="44" spans="5:5" x14ac:dyDescent="0.2">
      <c r="E44" s="19"/>
    </row>
    <row r="45" spans="5:5" x14ac:dyDescent="0.2">
      <c r="E45" s="19"/>
    </row>
    <row r="46" spans="5:5" x14ac:dyDescent="0.2">
      <c r="E46" s="19"/>
    </row>
    <row r="47" spans="5:5" x14ac:dyDescent="0.2">
      <c r="E47" s="19"/>
    </row>
    <row r="48" spans="5:5" x14ac:dyDescent="0.2">
      <c r="E48" s="19"/>
    </row>
    <row r="49" spans="5:5" x14ac:dyDescent="0.2">
      <c r="E49" s="19"/>
    </row>
    <row r="50" spans="5:5" x14ac:dyDescent="0.2">
      <c r="E50" s="19"/>
    </row>
    <row r="51" spans="5:5" x14ac:dyDescent="0.2">
      <c r="E51" s="19"/>
    </row>
    <row r="52" spans="5:5" x14ac:dyDescent="0.2">
      <c r="E52" s="19"/>
    </row>
    <row r="53" spans="5:5" x14ac:dyDescent="0.2">
      <c r="E53" s="19"/>
    </row>
    <row r="54" spans="5:5" x14ac:dyDescent="0.2">
      <c r="E54" s="19"/>
    </row>
    <row r="55" spans="5:5" x14ac:dyDescent="0.2">
      <c r="E55" s="19"/>
    </row>
    <row r="56" spans="5:5" x14ac:dyDescent="0.2">
      <c r="E56" s="19"/>
    </row>
    <row r="57" spans="5:5" x14ac:dyDescent="0.2">
      <c r="E57" s="19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2A9D1-5615-2043-87BF-D76B3F0E51D8}">
  <dimension ref="A1:H6"/>
  <sheetViews>
    <sheetView workbookViewId="0">
      <selection activeCell="C37" sqref="C37"/>
    </sheetView>
  </sheetViews>
  <sheetFormatPr baseColWidth="10" defaultRowHeight="15" x14ac:dyDescent="0.2"/>
  <sheetData>
    <row r="1" spans="1:8" x14ac:dyDescent="0.2">
      <c r="A1" s="42" t="s">
        <v>35</v>
      </c>
      <c r="B1" s="43" t="s">
        <v>179</v>
      </c>
      <c r="C1" s="40"/>
      <c r="D1" s="33"/>
      <c r="E1" s="19"/>
      <c r="F1" s="19"/>
      <c r="G1" s="19"/>
      <c r="H1" s="29"/>
    </row>
    <row r="2" spans="1:8" x14ac:dyDescent="0.2">
      <c r="A2" s="44" t="s">
        <v>31</v>
      </c>
      <c r="B2" s="46"/>
      <c r="C2" s="33"/>
      <c r="D2" s="33"/>
      <c r="E2" s="18"/>
      <c r="F2" s="18"/>
      <c r="G2" s="18"/>
      <c r="H2" s="33"/>
    </row>
    <row r="3" spans="1:8" x14ac:dyDescent="0.2">
      <c r="A3" s="44" t="s">
        <v>2</v>
      </c>
      <c r="B3" s="18"/>
      <c r="C3" s="18"/>
      <c r="D3" s="18"/>
      <c r="E3" s="18"/>
      <c r="F3" s="18"/>
      <c r="G3" s="18"/>
      <c r="H3" s="33"/>
    </row>
    <row r="4" spans="1:8" ht="16" thickBot="1" x14ac:dyDescent="0.25">
      <c r="A4" s="49" t="s">
        <v>3</v>
      </c>
    </row>
    <row r="5" spans="1:8" x14ac:dyDescent="0.2">
      <c r="A5" t="s">
        <v>115</v>
      </c>
      <c r="B5">
        <v>1</v>
      </c>
      <c r="C5" s="41"/>
      <c r="D5" s="54"/>
      <c r="E5" s="29"/>
      <c r="F5" s="29"/>
      <c r="H5" s="38"/>
    </row>
    <row r="6" spans="1:8" x14ac:dyDescent="0.2">
      <c r="A6" t="s">
        <v>195</v>
      </c>
      <c r="B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6C8-6B7F-624F-AC1B-6735B8DD9BF3}">
  <dimension ref="A1:M24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H34" sqref="H34"/>
    </sheetView>
  </sheetViews>
  <sheetFormatPr baseColWidth="10" defaultColWidth="8.83203125" defaultRowHeight="15" x14ac:dyDescent="0.2"/>
  <cols>
    <col min="1" max="1" width="11.33203125" style="19" customWidth="1"/>
    <col min="2" max="2" width="17.5" style="19" customWidth="1"/>
    <col min="3" max="3" width="20.83203125" style="19" customWidth="1"/>
    <col min="4" max="4" width="18" style="19" customWidth="1"/>
    <col min="5" max="5" width="13.83203125" style="19" customWidth="1"/>
    <col min="6" max="6" width="14.5" style="19" customWidth="1"/>
    <col min="7" max="7" width="15.5" style="39" bestFit="1" customWidth="1"/>
    <col min="8" max="8" width="15.5" style="39" customWidth="1"/>
    <col min="9" max="9" width="15.5" style="36" customWidth="1"/>
    <col min="10" max="16384" width="8.83203125" style="19"/>
  </cols>
  <sheetData>
    <row r="1" spans="1:13" x14ac:dyDescent="0.2">
      <c r="A1" s="42" t="s">
        <v>35</v>
      </c>
      <c r="B1" s="29" t="s">
        <v>80</v>
      </c>
      <c r="C1" s="42" t="s">
        <v>36</v>
      </c>
      <c r="D1" s="43" t="s">
        <v>37</v>
      </c>
      <c r="E1" s="43" t="s">
        <v>5</v>
      </c>
      <c r="F1" s="43" t="s">
        <v>38</v>
      </c>
      <c r="G1" s="43" t="s">
        <v>90</v>
      </c>
      <c r="H1" s="43" t="s">
        <v>53</v>
      </c>
      <c r="I1" s="43" t="s">
        <v>94</v>
      </c>
      <c r="J1" s="43" t="s">
        <v>123</v>
      </c>
      <c r="K1" s="43" t="s">
        <v>124</v>
      </c>
      <c r="L1" s="80" t="s">
        <v>108</v>
      </c>
      <c r="M1" s="43" t="s">
        <v>39</v>
      </c>
    </row>
    <row r="2" spans="1:13" x14ac:dyDescent="0.2">
      <c r="A2" s="44" t="s">
        <v>31</v>
      </c>
      <c r="B2" s="34"/>
      <c r="C2" s="45" t="s">
        <v>40</v>
      </c>
      <c r="D2" s="46" t="s">
        <v>41</v>
      </c>
      <c r="E2" s="46" t="s">
        <v>42</v>
      </c>
      <c r="F2" s="46" t="s">
        <v>43</v>
      </c>
      <c r="G2" s="46"/>
      <c r="H2" s="52" t="s">
        <v>60</v>
      </c>
      <c r="I2" s="46" t="s">
        <v>95</v>
      </c>
      <c r="J2" s="46"/>
      <c r="K2" s="46"/>
      <c r="L2" s="81"/>
      <c r="M2" s="47"/>
    </row>
    <row r="3" spans="1:13" x14ac:dyDescent="0.2">
      <c r="A3" s="44" t="s">
        <v>2</v>
      </c>
      <c r="B3" s="34"/>
      <c r="C3" s="45" t="s">
        <v>44</v>
      </c>
      <c r="D3" s="46" t="s">
        <v>45</v>
      </c>
      <c r="E3" s="47"/>
      <c r="F3" s="47"/>
      <c r="G3" s="47"/>
      <c r="H3" s="52"/>
      <c r="I3" s="52"/>
      <c r="J3" s="52"/>
      <c r="K3" s="52" t="s">
        <v>125</v>
      </c>
      <c r="L3" s="81"/>
      <c r="M3" s="47"/>
    </row>
    <row r="4" spans="1:13" s="25" customFormat="1" ht="16" thickBot="1" x14ac:dyDescent="0.25">
      <c r="A4" s="49" t="s">
        <v>3</v>
      </c>
      <c r="B4" s="49">
        <v>1</v>
      </c>
      <c r="D4" s="50">
        <v>0.9</v>
      </c>
      <c r="E4" s="31">
        <f>151.9/1.119*Ref!$B$18</f>
        <v>0.48868632707774806</v>
      </c>
      <c r="F4" s="31">
        <v>3.2</v>
      </c>
      <c r="G4" s="19" t="s">
        <v>91</v>
      </c>
      <c r="H4" s="20">
        <f>0.001</f>
        <v>1E-3</v>
      </c>
      <c r="I4" s="24"/>
      <c r="J4" s="51"/>
    </row>
    <row r="5" spans="1:13" s="29" customFormat="1" x14ac:dyDescent="0.2">
      <c r="A5" t="s">
        <v>115</v>
      </c>
      <c r="B5" s="19" t="s">
        <v>81</v>
      </c>
      <c r="C5" s="19">
        <v>1</v>
      </c>
      <c r="D5" s="19">
        <v>0.9</v>
      </c>
      <c r="E5" s="38">
        <f>38*Ref!$B$18</f>
        <v>0.1368</v>
      </c>
      <c r="F5" s="28">
        <v>3.2</v>
      </c>
      <c r="G5" s="19" t="s">
        <v>91</v>
      </c>
      <c r="H5" s="19">
        <v>1E-3</v>
      </c>
      <c r="I5" s="39"/>
      <c r="J5" s="39">
        <f>115152/188424</f>
        <v>0.61113233982932114</v>
      </c>
      <c r="K5" s="39">
        <f>1855/188424</f>
        <v>9.8448180698849398E-3</v>
      </c>
      <c r="L5" s="36"/>
      <c r="M5" s="19" t="s">
        <v>126</v>
      </c>
    </row>
    <row r="6" spans="1:13" x14ac:dyDescent="0.2">
      <c r="A6" s="19" t="s">
        <v>129</v>
      </c>
      <c r="B6" s="19" t="s">
        <v>81</v>
      </c>
      <c r="C6" s="19">
        <v>1</v>
      </c>
      <c r="D6" s="19">
        <v>0.9</v>
      </c>
      <c r="E6" s="38">
        <f>15*Ref!$B$18</f>
        <v>5.3999999999999999E-2</v>
      </c>
      <c r="F6" s="28">
        <v>2.5</v>
      </c>
      <c r="G6" s="19" t="s">
        <v>91</v>
      </c>
      <c r="H6" s="19">
        <v>1E-3</v>
      </c>
      <c r="I6" s="39"/>
      <c r="J6" s="39">
        <f>115152/188424</f>
        <v>0.61113233982932114</v>
      </c>
      <c r="K6" s="39">
        <f>1855/188424</f>
        <v>9.8448180698849398E-3</v>
      </c>
      <c r="L6" s="36"/>
    </row>
    <row r="7" spans="1:13" x14ac:dyDescent="0.2">
      <c r="A7" s="19" t="s">
        <v>130</v>
      </c>
      <c r="B7" s="19" t="s">
        <v>81</v>
      </c>
      <c r="C7" s="19">
        <v>1</v>
      </c>
      <c r="D7" s="19">
        <v>0.9</v>
      </c>
      <c r="E7" s="38">
        <f>15*Ref!$B$18</f>
        <v>5.3999999999999999E-2</v>
      </c>
      <c r="F7" s="28">
        <v>2.5</v>
      </c>
      <c r="G7" s="19" t="s">
        <v>91</v>
      </c>
      <c r="H7" s="19">
        <v>1E-3</v>
      </c>
      <c r="I7" s="39"/>
      <c r="J7" s="39">
        <f t="shared" ref="J7:J23" si="0">115152/188424</f>
        <v>0.61113233982932114</v>
      </c>
      <c r="K7" s="39">
        <f t="shared" ref="K7:K23" si="1">1855/188424</f>
        <v>9.8448180698849398E-3</v>
      </c>
      <c r="L7" s="36"/>
    </row>
    <row r="8" spans="1:13" x14ac:dyDescent="0.2">
      <c r="A8" s="19" t="s">
        <v>136</v>
      </c>
      <c r="B8" s="19" t="s">
        <v>81</v>
      </c>
      <c r="C8" s="19">
        <v>1</v>
      </c>
      <c r="D8" s="19">
        <v>0.9</v>
      </c>
      <c r="E8" s="38">
        <f>15*Ref!$B$18</f>
        <v>5.3999999999999999E-2</v>
      </c>
      <c r="F8" s="28">
        <v>2.5</v>
      </c>
      <c r="G8" s="19" t="s">
        <v>91</v>
      </c>
      <c r="H8" s="19">
        <v>1E-3</v>
      </c>
      <c r="I8" s="39"/>
      <c r="J8" s="39">
        <f t="shared" si="0"/>
        <v>0.61113233982932114</v>
      </c>
      <c r="K8" s="39">
        <f t="shared" si="1"/>
        <v>9.8448180698849398E-3</v>
      </c>
      <c r="L8" s="36"/>
    </row>
    <row r="9" spans="1:13" x14ac:dyDescent="0.2">
      <c r="A9" s="19" t="s">
        <v>137</v>
      </c>
      <c r="B9" s="19" t="s">
        <v>81</v>
      </c>
      <c r="C9" s="19">
        <v>1</v>
      </c>
      <c r="D9" s="19">
        <v>0.9</v>
      </c>
      <c r="E9" s="38">
        <f>15*Ref!$B$18</f>
        <v>5.3999999999999999E-2</v>
      </c>
      <c r="F9" s="28">
        <v>2.5</v>
      </c>
      <c r="G9" s="19" t="s">
        <v>91</v>
      </c>
      <c r="H9" s="19">
        <v>1E-3</v>
      </c>
      <c r="I9" s="39"/>
      <c r="J9" s="39">
        <f t="shared" si="0"/>
        <v>0.61113233982932114</v>
      </c>
      <c r="K9" s="39">
        <f t="shared" si="1"/>
        <v>9.8448180698849398E-3</v>
      </c>
      <c r="L9" s="36"/>
    </row>
    <row r="10" spans="1:13" x14ac:dyDescent="0.2">
      <c r="A10" s="23" t="s">
        <v>140</v>
      </c>
      <c r="B10" s="19" t="s">
        <v>81</v>
      </c>
      <c r="C10" s="19">
        <v>1</v>
      </c>
      <c r="D10" s="19">
        <v>0.9</v>
      </c>
      <c r="E10" s="38">
        <f>15*Ref!$B$18</f>
        <v>5.3999999999999999E-2</v>
      </c>
      <c r="F10" s="28">
        <v>2.5</v>
      </c>
      <c r="G10" s="19" t="s">
        <v>91</v>
      </c>
      <c r="H10" s="19">
        <v>1E-3</v>
      </c>
      <c r="I10" s="39"/>
      <c r="J10" s="39">
        <f t="shared" si="0"/>
        <v>0.61113233982932114</v>
      </c>
      <c r="K10" s="39">
        <f t="shared" si="1"/>
        <v>9.8448180698849398E-3</v>
      </c>
      <c r="L10" s="36"/>
    </row>
    <row r="11" spans="1:13" x14ac:dyDescent="0.2">
      <c r="A11" s="23" t="s">
        <v>141</v>
      </c>
      <c r="B11" s="19" t="s">
        <v>81</v>
      </c>
      <c r="C11" s="19">
        <v>1</v>
      </c>
      <c r="D11" s="19">
        <v>0.9</v>
      </c>
      <c r="E11" s="38">
        <f>15*Ref!$B$18</f>
        <v>5.3999999999999999E-2</v>
      </c>
      <c r="F11" s="28">
        <v>2.5</v>
      </c>
      <c r="G11" s="19" t="s">
        <v>91</v>
      </c>
      <c r="H11" s="19">
        <v>1E-3</v>
      </c>
      <c r="I11" s="39"/>
      <c r="J11" s="39">
        <f t="shared" si="0"/>
        <v>0.61113233982932114</v>
      </c>
      <c r="K11" s="39">
        <f t="shared" si="1"/>
        <v>9.8448180698849398E-3</v>
      </c>
      <c r="L11" s="36"/>
    </row>
    <row r="12" spans="1:13" x14ac:dyDescent="0.2">
      <c r="A12" t="s">
        <v>153</v>
      </c>
      <c r="B12" s="19" t="s">
        <v>81</v>
      </c>
      <c r="C12" s="19">
        <v>1</v>
      </c>
      <c r="D12" s="19">
        <v>0.9</v>
      </c>
      <c r="E12" s="38">
        <f>15*Ref!$B$18</f>
        <v>5.3999999999999999E-2</v>
      </c>
      <c r="F12" s="28">
        <v>2.5</v>
      </c>
      <c r="G12" s="19" t="s">
        <v>91</v>
      </c>
      <c r="H12" s="19">
        <v>1E-3</v>
      </c>
      <c r="I12" s="39"/>
      <c r="J12" s="39">
        <f>115152/188424</f>
        <v>0.61113233982932114</v>
      </c>
      <c r="K12" s="39">
        <f>1855/188424</f>
        <v>9.8448180698849398E-3</v>
      </c>
      <c r="L12" s="36"/>
    </row>
    <row r="13" spans="1:13" x14ac:dyDescent="0.2">
      <c r="A13" t="s">
        <v>154</v>
      </c>
      <c r="B13" s="19" t="s">
        <v>81</v>
      </c>
      <c r="C13" s="19">
        <v>1</v>
      </c>
      <c r="D13" s="19">
        <v>0.9</v>
      </c>
      <c r="E13" s="38">
        <f>15*Ref!$B$18</f>
        <v>5.3999999999999999E-2</v>
      </c>
      <c r="F13" s="28">
        <v>2.5</v>
      </c>
      <c r="G13" s="19" t="s">
        <v>91</v>
      </c>
      <c r="H13" s="19">
        <v>1E-3</v>
      </c>
      <c r="I13" s="39"/>
      <c r="J13" s="39">
        <f t="shared" si="0"/>
        <v>0.61113233982932114</v>
      </c>
      <c r="K13" s="39">
        <f t="shared" si="1"/>
        <v>9.8448180698849398E-3</v>
      </c>
      <c r="L13" s="36"/>
    </row>
    <row r="14" spans="1:13" x14ac:dyDescent="0.2">
      <c r="A14" t="s">
        <v>155</v>
      </c>
      <c r="B14" s="19" t="s">
        <v>81</v>
      </c>
      <c r="C14" s="19">
        <v>1</v>
      </c>
      <c r="D14" s="19">
        <v>0.9</v>
      </c>
      <c r="E14" s="38">
        <f>15*Ref!$B$18</f>
        <v>5.3999999999999999E-2</v>
      </c>
      <c r="F14" s="28">
        <v>2.5</v>
      </c>
      <c r="G14" s="19" t="s">
        <v>91</v>
      </c>
      <c r="H14" s="19">
        <v>1E-3</v>
      </c>
      <c r="I14" s="39"/>
      <c r="J14" s="39">
        <f t="shared" si="0"/>
        <v>0.61113233982932114</v>
      </c>
      <c r="K14" s="39">
        <f t="shared" si="1"/>
        <v>9.8448180698849398E-3</v>
      </c>
      <c r="L14" s="36"/>
    </row>
    <row r="15" spans="1:13" x14ac:dyDescent="0.2">
      <c r="A15" t="s">
        <v>156</v>
      </c>
      <c r="B15" s="19" t="s">
        <v>81</v>
      </c>
      <c r="C15" s="19">
        <v>1</v>
      </c>
      <c r="D15" s="19">
        <v>0.9</v>
      </c>
      <c r="E15" s="38">
        <f>15*Ref!$B$18</f>
        <v>5.3999999999999999E-2</v>
      </c>
      <c r="F15" s="28">
        <v>2.5</v>
      </c>
      <c r="G15" s="19" t="s">
        <v>91</v>
      </c>
      <c r="H15" s="19">
        <v>1E-3</v>
      </c>
      <c r="I15" s="39"/>
      <c r="J15" s="39">
        <f t="shared" si="0"/>
        <v>0.61113233982932114</v>
      </c>
      <c r="K15" s="39">
        <f t="shared" si="1"/>
        <v>9.8448180698849398E-3</v>
      </c>
      <c r="L15" s="36"/>
    </row>
    <row r="16" spans="1:13" x14ac:dyDescent="0.2">
      <c r="A16" t="s">
        <v>157</v>
      </c>
      <c r="B16" s="19" t="s">
        <v>81</v>
      </c>
      <c r="C16" s="19">
        <v>1</v>
      </c>
      <c r="D16" s="19">
        <v>0.9</v>
      </c>
      <c r="E16" s="38">
        <f>15*Ref!$B$18</f>
        <v>5.3999999999999999E-2</v>
      </c>
      <c r="F16" s="28">
        <v>2.5</v>
      </c>
      <c r="G16" s="19" t="s">
        <v>91</v>
      </c>
      <c r="H16" s="19">
        <v>1E-3</v>
      </c>
      <c r="I16" s="39"/>
      <c r="J16" s="39">
        <f t="shared" si="0"/>
        <v>0.61113233982932114</v>
      </c>
      <c r="K16" s="39">
        <f t="shared" si="1"/>
        <v>9.8448180698849398E-3</v>
      </c>
      <c r="L16" s="36"/>
    </row>
    <row r="17" spans="1:12" x14ac:dyDescent="0.2">
      <c r="A17" t="s">
        <v>158</v>
      </c>
      <c r="B17" s="19" t="s">
        <v>81</v>
      </c>
      <c r="C17" s="19">
        <v>1</v>
      </c>
      <c r="D17" s="19">
        <v>0.9</v>
      </c>
      <c r="E17" s="38">
        <f>15*Ref!$B$18</f>
        <v>5.3999999999999999E-2</v>
      </c>
      <c r="F17" s="28">
        <v>2.5</v>
      </c>
      <c r="G17" s="19" t="s">
        <v>91</v>
      </c>
      <c r="H17" s="19">
        <v>1E-3</v>
      </c>
      <c r="I17" s="39"/>
      <c r="J17" s="39">
        <f t="shared" si="0"/>
        <v>0.61113233982932114</v>
      </c>
      <c r="K17" s="39">
        <f t="shared" si="1"/>
        <v>9.8448180698849398E-3</v>
      </c>
      <c r="L17" s="36"/>
    </row>
    <row r="18" spans="1:12" x14ac:dyDescent="0.2">
      <c r="A18" t="s">
        <v>168</v>
      </c>
      <c r="C18" s="19">
        <v>1</v>
      </c>
      <c r="D18" s="19">
        <v>0.9</v>
      </c>
      <c r="E18" s="38">
        <f>15*Ref!$B$18</f>
        <v>5.3999999999999999E-2</v>
      </c>
      <c r="F18" s="28">
        <v>2.5</v>
      </c>
      <c r="G18" s="19" t="s">
        <v>91</v>
      </c>
      <c r="H18" s="19">
        <v>1E-3</v>
      </c>
      <c r="I18" s="39"/>
      <c r="J18" s="39">
        <f t="shared" si="0"/>
        <v>0.61113233982932114</v>
      </c>
      <c r="K18" s="39">
        <f t="shared" si="1"/>
        <v>9.8448180698849398E-3</v>
      </c>
      <c r="L18" s="36"/>
    </row>
    <row r="19" spans="1:12" x14ac:dyDescent="0.2">
      <c r="A19" t="s">
        <v>169</v>
      </c>
      <c r="C19" s="19">
        <v>1</v>
      </c>
      <c r="D19" s="19">
        <v>0.9</v>
      </c>
      <c r="E19" s="38">
        <f>15*Ref!$B$18</f>
        <v>5.3999999999999999E-2</v>
      </c>
      <c r="F19" s="28">
        <v>2.5</v>
      </c>
      <c r="G19" s="19" t="s">
        <v>91</v>
      </c>
      <c r="H19" s="19">
        <v>1E-3</v>
      </c>
      <c r="I19" s="39"/>
      <c r="J19" s="39">
        <f t="shared" si="0"/>
        <v>0.61113233982932114</v>
      </c>
      <c r="K19" s="39">
        <f t="shared" si="1"/>
        <v>9.8448180698849398E-3</v>
      </c>
      <c r="L19" s="36"/>
    </row>
    <row r="20" spans="1:12" x14ac:dyDescent="0.2">
      <c r="A20" t="s">
        <v>170</v>
      </c>
      <c r="C20" s="19">
        <v>1</v>
      </c>
      <c r="D20" s="19">
        <v>0.9</v>
      </c>
      <c r="E20" s="38">
        <f>15*Ref!$B$18</f>
        <v>5.3999999999999999E-2</v>
      </c>
      <c r="F20" s="28">
        <v>2.5</v>
      </c>
      <c r="G20" s="19" t="s">
        <v>91</v>
      </c>
      <c r="H20" s="19">
        <v>1E-3</v>
      </c>
      <c r="I20" s="39"/>
      <c r="J20" s="39">
        <f t="shared" si="0"/>
        <v>0.61113233982932114</v>
      </c>
      <c r="K20" s="39">
        <f t="shared" si="1"/>
        <v>9.8448180698849398E-3</v>
      </c>
      <c r="L20" s="36"/>
    </row>
    <row r="21" spans="1:12" x14ac:dyDescent="0.2">
      <c r="A21" t="s">
        <v>171</v>
      </c>
      <c r="C21" s="19">
        <v>1</v>
      </c>
      <c r="D21" s="19">
        <v>0.9</v>
      </c>
      <c r="E21" s="38">
        <f>15*Ref!$B$18</f>
        <v>5.3999999999999999E-2</v>
      </c>
      <c r="F21" s="28">
        <v>2.5</v>
      </c>
      <c r="G21" s="19" t="s">
        <v>91</v>
      </c>
      <c r="H21" s="19">
        <v>1E-3</v>
      </c>
      <c r="I21" s="39"/>
      <c r="J21" s="39">
        <f t="shared" si="0"/>
        <v>0.61113233982932114</v>
      </c>
      <c r="K21" s="39">
        <f t="shared" si="1"/>
        <v>9.8448180698849398E-3</v>
      </c>
      <c r="L21" s="36"/>
    </row>
    <row r="22" spans="1:12" x14ac:dyDescent="0.2">
      <c r="A22" t="s">
        <v>172</v>
      </c>
      <c r="C22" s="19">
        <v>1</v>
      </c>
      <c r="D22" s="19">
        <v>0.9</v>
      </c>
      <c r="E22" s="38">
        <f>15*Ref!$B$18</f>
        <v>5.3999999999999999E-2</v>
      </c>
      <c r="F22" s="28">
        <v>2.5</v>
      </c>
      <c r="G22" s="19" t="s">
        <v>91</v>
      </c>
      <c r="H22" s="19">
        <v>1E-3</v>
      </c>
      <c r="I22" s="39"/>
      <c r="J22" s="39">
        <f t="shared" si="0"/>
        <v>0.61113233982932114</v>
      </c>
      <c r="K22" s="39">
        <f t="shared" si="1"/>
        <v>9.8448180698849398E-3</v>
      </c>
      <c r="L22" s="36"/>
    </row>
    <row r="23" spans="1:12" x14ac:dyDescent="0.2">
      <c r="A23" t="s">
        <v>173</v>
      </c>
      <c r="C23" s="19">
        <v>1</v>
      </c>
      <c r="D23" s="19">
        <v>0.9</v>
      </c>
      <c r="E23" s="38">
        <f>15*Ref!$B$18</f>
        <v>5.3999999999999999E-2</v>
      </c>
      <c r="F23" s="28">
        <v>2.5</v>
      </c>
      <c r="G23" s="19" t="s">
        <v>91</v>
      </c>
      <c r="H23" s="19">
        <v>1E-3</v>
      </c>
      <c r="I23" s="39"/>
      <c r="J23" s="39">
        <f t="shared" si="0"/>
        <v>0.61113233982932114</v>
      </c>
      <c r="K23" s="39">
        <f t="shared" si="1"/>
        <v>9.8448180698849398E-3</v>
      </c>
      <c r="L23" s="36"/>
    </row>
    <row r="24" spans="1:12" x14ac:dyDescent="0.2">
      <c r="G24" s="19"/>
      <c r="I24" s="39"/>
      <c r="J24" s="39"/>
      <c r="K24" s="39"/>
      <c r="L24" s="3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"/>
  <sheetViews>
    <sheetView zoomScaleNormal="100" workbookViewId="0">
      <selection activeCell="E22" sqref="E22"/>
    </sheetView>
  </sheetViews>
  <sheetFormatPr baseColWidth="10" defaultColWidth="11.5" defaultRowHeight="15" x14ac:dyDescent="0.2"/>
  <cols>
    <col min="1" max="1" width="14.6640625" customWidth="1"/>
  </cols>
  <sheetData>
    <row r="1" spans="1:6" x14ac:dyDescent="0.2">
      <c r="A1" s="42" t="s">
        <v>35</v>
      </c>
      <c r="B1" s="42" t="s">
        <v>77</v>
      </c>
      <c r="C1" s="43" t="s">
        <v>5</v>
      </c>
      <c r="D1" s="43" t="s">
        <v>38</v>
      </c>
      <c r="E1" s="19" t="s">
        <v>2</v>
      </c>
      <c r="F1" s="19"/>
    </row>
    <row r="2" spans="1:6" x14ac:dyDescent="0.2">
      <c r="A2" s="44" t="s">
        <v>31</v>
      </c>
      <c r="B2" s="45" t="s">
        <v>78</v>
      </c>
      <c r="C2" s="46" t="s">
        <v>42</v>
      </c>
      <c r="D2" s="46"/>
      <c r="E2" s="19"/>
      <c r="F2" s="19"/>
    </row>
    <row r="3" spans="1:6" x14ac:dyDescent="0.2">
      <c r="A3" s="44" t="s">
        <v>2</v>
      </c>
      <c r="B3" s="45" t="s">
        <v>44</v>
      </c>
      <c r="C3" s="47"/>
      <c r="D3" s="47"/>
      <c r="E3" s="19"/>
      <c r="F3" s="19"/>
    </row>
    <row r="4" spans="1:6" x14ac:dyDescent="0.2">
      <c r="A4" s="45" t="s">
        <v>3</v>
      </c>
      <c r="B4" s="31">
        <v>0</v>
      </c>
      <c r="C4" s="47">
        <v>0.32</v>
      </c>
      <c r="D4" s="47">
        <v>0</v>
      </c>
      <c r="E4" s="19"/>
      <c r="F4" s="19"/>
    </row>
    <row r="5" spans="1:6" x14ac:dyDescent="0.2">
      <c r="A5" s="23" t="s">
        <v>92</v>
      </c>
      <c r="B5" s="19">
        <v>0</v>
      </c>
      <c r="C5" s="31">
        <f>94*Ref!$B$18</f>
        <v>0.33839999999999998</v>
      </c>
      <c r="D5" s="31">
        <v>0</v>
      </c>
      <c r="E5" s="19"/>
      <c r="F5" s="19"/>
    </row>
    <row r="6" spans="1:6" x14ac:dyDescent="0.2">
      <c r="A6" s="23" t="s">
        <v>93</v>
      </c>
      <c r="B6" s="19">
        <v>0</v>
      </c>
      <c r="C6" s="31">
        <f>94*Ref!$B$18</f>
        <v>0.33839999999999998</v>
      </c>
      <c r="D6" s="31">
        <v>0</v>
      </c>
      <c r="E6" s="19"/>
      <c r="F6" s="19"/>
    </row>
    <row r="7" spans="1:6" x14ac:dyDescent="0.2">
      <c r="A7" s="23" t="s">
        <v>121</v>
      </c>
      <c r="B7" s="19">
        <f>0</f>
        <v>0</v>
      </c>
      <c r="C7" s="19">
        <f>22.26/64.2</f>
        <v>0.34672897196261682</v>
      </c>
      <c r="D7" s="93">
        <v>0</v>
      </c>
      <c r="E7" s="19"/>
      <c r="F7" s="19"/>
    </row>
    <row r="8" spans="1:6" x14ac:dyDescent="0.2">
      <c r="A8" s="19" t="s">
        <v>115</v>
      </c>
      <c r="B8" s="31">
        <v>0</v>
      </c>
      <c r="C8" s="47">
        <f>96*Ref!$B$18</f>
        <v>0.34560000000000002</v>
      </c>
      <c r="D8" s="47">
        <v>0</v>
      </c>
      <c r="E8" s="19"/>
      <c r="F8" s="19"/>
    </row>
    <row r="9" spans="1:6" x14ac:dyDescent="0.2">
      <c r="A9" s="23" t="s">
        <v>181</v>
      </c>
      <c r="B9" s="23">
        <v>0</v>
      </c>
      <c r="C9">
        <f>0.045/1000</f>
        <v>4.4999999999999996E-5</v>
      </c>
      <c r="D9" s="93">
        <f>2.62/1000</f>
        <v>2.6199999999999999E-3</v>
      </c>
      <c r="E9" t="s">
        <v>183</v>
      </c>
    </row>
    <row r="10" spans="1:6" x14ac:dyDescent="0.2">
      <c r="A10" s="23" t="s">
        <v>195</v>
      </c>
      <c r="B10" s="23">
        <v>0</v>
      </c>
      <c r="C10">
        <f>0.045/1000</f>
        <v>4.4999999999999996E-5</v>
      </c>
      <c r="D10" s="93">
        <f>2.62/1000</f>
        <v>2.6199999999999999E-3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"/>
  <sheetViews>
    <sheetView zoomScale="152" zoomScaleNormal="152" workbookViewId="0">
      <selection activeCell="D26" sqref="D26"/>
    </sheetView>
  </sheetViews>
  <sheetFormatPr baseColWidth="10" defaultColWidth="8.83203125" defaultRowHeight="15" x14ac:dyDescent="0.2"/>
  <cols>
    <col min="1" max="1" width="15" style="19" bestFit="1" customWidth="1"/>
    <col min="2" max="2" width="8.83203125" style="19"/>
    <col min="3" max="3" width="16.1640625" style="19" bestFit="1" customWidth="1"/>
    <col min="4" max="4" width="14.1640625" style="19" bestFit="1" customWidth="1"/>
    <col min="5" max="5" width="14.1640625" style="19" customWidth="1"/>
    <col min="6" max="6" width="15.33203125" style="19" bestFit="1" customWidth="1"/>
    <col min="7" max="16384" width="8.83203125" style="19"/>
  </cols>
  <sheetData>
    <row r="1" spans="1:7" x14ac:dyDescent="0.2">
      <c r="A1" s="42" t="s">
        <v>35</v>
      </c>
      <c r="B1" s="19" t="s">
        <v>46</v>
      </c>
      <c r="C1" s="19" t="s">
        <v>47</v>
      </c>
      <c r="D1" s="19" t="s">
        <v>106</v>
      </c>
      <c r="E1" s="19" t="s">
        <v>105</v>
      </c>
      <c r="F1" s="19" t="s">
        <v>4</v>
      </c>
    </row>
    <row r="2" spans="1:7" x14ac:dyDescent="0.2">
      <c r="A2" s="44" t="s">
        <v>31</v>
      </c>
      <c r="B2" s="19" t="s">
        <v>48</v>
      </c>
      <c r="C2" s="19" t="s">
        <v>49</v>
      </c>
      <c r="D2" s="19" t="s">
        <v>107</v>
      </c>
      <c r="E2" s="23" t="s">
        <v>107</v>
      </c>
      <c r="F2" s="23" t="s">
        <v>61</v>
      </c>
    </row>
    <row r="3" spans="1:7" x14ac:dyDescent="0.2">
      <c r="A3" s="44" t="s">
        <v>2</v>
      </c>
    </row>
    <row r="4" spans="1:7" x14ac:dyDescent="0.2">
      <c r="A4" s="45" t="s">
        <v>3</v>
      </c>
      <c r="B4" s="19">
        <v>0.01</v>
      </c>
      <c r="C4" s="28">
        <v>0</v>
      </c>
      <c r="D4" s="19">
        <v>100</v>
      </c>
      <c r="E4" s="19">
        <v>0</v>
      </c>
      <c r="F4" s="19">
        <f>7*Ref!$B$18</f>
        <v>2.52E-2</v>
      </c>
    </row>
    <row r="5" spans="1:7" x14ac:dyDescent="0.2">
      <c r="A5" s="23" t="s">
        <v>92</v>
      </c>
      <c r="B5" s="19">
        <v>6.0000000000000001E-3</v>
      </c>
      <c r="D5" s="19">
        <v>100</v>
      </c>
      <c r="F5" s="28">
        <f>14.2*Ref!$B$18</f>
        <v>5.1119999999999999E-2</v>
      </c>
    </row>
    <row r="6" spans="1:7" s="29" customFormat="1" x14ac:dyDescent="0.2">
      <c r="A6" s="23" t="s">
        <v>93</v>
      </c>
      <c r="B6" s="19">
        <v>6.0000000000000001E-3</v>
      </c>
      <c r="C6" s="19"/>
      <c r="D6" s="22">
        <v>100</v>
      </c>
      <c r="E6" s="22"/>
      <c r="F6" s="28">
        <f>14.2*Ref!$B$18</f>
        <v>5.1119999999999999E-2</v>
      </c>
    </row>
    <row r="7" spans="1:7" x14ac:dyDescent="0.2">
      <c r="A7" s="19" t="s">
        <v>115</v>
      </c>
      <c r="B7" s="19">
        <v>0.01</v>
      </c>
      <c r="C7" s="28">
        <v>0</v>
      </c>
      <c r="D7" s="19">
        <v>200</v>
      </c>
      <c r="E7" s="19">
        <v>0</v>
      </c>
      <c r="F7" s="19">
        <f>7*Ref!$B$18</f>
        <v>2.52E-2</v>
      </c>
    </row>
    <row r="8" spans="1:7" x14ac:dyDescent="0.2">
      <c r="A8" s="23" t="s">
        <v>181</v>
      </c>
      <c r="B8" s="19">
        <v>0.01</v>
      </c>
      <c r="C8" s="28">
        <v>0</v>
      </c>
      <c r="D8" s="19">
        <v>200</v>
      </c>
      <c r="E8" s="19">
        <v>0</v>
      </c>
      <c r="F8" s="19">
        <f>7*Ref!$B$18</f>
        <v>2.52E-2</v>
      </c>
    </row>
    <row r="9" spans="1:7" x14ac:dyDescent="0.2">
      <c r="A9" s="23" t="s">
        <v>175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</row>
    <row r="10" spans="1:7" x14ac:dyDescent="0.2">
      <c r="A10" s="23" t="s">
        <v>195</v>
      </c>
      <c r="B10" s="19">
        <v>0.01</v>
      </c>
      <c r="C10" s="28">
        <v>0</v>
      </c>
      <c r="D10" s="19">
        <v>100</v>
      </c>
      <c r="E10" s="19">
        <v>10</v>
      </c>
      <c r="F10" s="19">
        <f>7*Ref!$B$18+0.01</f>
        <v>3.5200000000000002E-2</v>
      </c>
      <c r="G10" s="19" t="s">
        <v>207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4FDB-17E9-EF47-85D7-1244A8C0EAD4}">
  <dimension ref="A1:I10"/>
  <sheetViews>
    <sheetView topLeftCell="D1" zoomScale="152" zoomScaleNormal="152" workbookViewId="0">
      <selection activeCell="F19" sqref="F19"/>
    </sheetView>
  </sheetViews>
  <sheetFormatPr baseColWidth="10" defaultColWidth="8.83203125" defaultRowHeight="15" x14ac:dyDescent="0.2"/>
  <cols>
    <col min="1" max="1" width="15" style="19" bestFit="1" customWidth="1"/>
    <col min="2" max="2" width="8.83203125" style="19"/>
    <col min="3" max="3" width="16.1640625" style="19" bestFit="1" customWidth="1"/>
    <col min="4" max="4" width="14.1640625" style="19" bestFit="1" customWidth="1"/>
    <col min="5" max="7" width="14.1640625" style="19" customWidth="1"/>
    <col min="8" max="8" width="15.33203125" style="19" bestFit="1" customWidth="1"/>
    <col min="9" max="16384" width="8.83203125" style="19"/>
  </cols>
  <sheetData>
    <row r="1" spans="1:9" x14ac:dyDescent="0.2">
      <c r="A1" s="42" t="s">
        <v>35</v>
      </c>
      <c r="B1" s="19" t="s">
        <v>46</v>
      </c>
      <c r="C1" s="19" t="s">
        <v>47</v>
      </c>
      <c r="D1" s="19" t="s">
        <v>106</v>
      </c>
      <c r="E1" s="19" t="s">
        <v>105</v>
      </c>
      <c r="F1" s="23" t="s">
        <v>186</v>
      </c>
      <c r="G1" s="23" t="s">
        <v>190</v>
      </c>
      <c r="H1" s="19" t="s">
        <v>4</v>
      </c>
      <c r="I1" s="23" t="s">
        <v>2</v>
      </c>
    </row>
    <row r="2" spans="1:9" x14ac:dyDescent="0.2">
      <c r="A2" s="44" t="s">
        <v>31</v>
      </c>
      <c r="B2" s="19" t="s">
        <v>48</v>
      </c>
      <c r="C2" s="19" t="s">
        <v>188</v>
      </c>
      <c r="D2" s="19" t="s">
        <v>107</v>
      </c>
      <c r="E2" s="23" t="s">
        <v>107</v>
      </c>
      <c r="F2" s="23" t="s">
        <v>189</v>
      </c>
      <c r="G2" s="23" t="s">
        <v>191</v>
      </c>
      <c r="H2" s="23" t="s">
        <v>187</v>
      </c>
    </row>
    <row r="3" spans="1:9" x14ac:dyDescent="0.2">
      <c r="A3" s="44" t="s">
        <v>2</v>
      </c>
    </row>
    <row r="4" spans="1:9" x14ac:dyDescent="0.2">
      <c r="A4" s="45" t="s">
        <v>3</v>
      </c>
      <c r="B4" s="19">
        <v>0.01</v>
      </c>
      <c r="C4" s="28">
        <v>0</v>
      </c>
      <c r="D4" s="19">
        <v>100</v>
      </c>
      <c r="E4" s="19">
        <v>0</v>
      </c>
      <c r="F4" s="19">
        <v>0</v>
      </c>
      <c r="G4" s="19">
        <v>0</v>
      </c>
      <c r="H4" s="19">
        <v>0</v>
      </c>
    </row>
    <row r="5" spans="1:9" x14ac:dyDescent="0.2">
      <c r="A5" s="23" t="s">
        <v>92</v>
      </c>
      <c r="B5" s="19">
        <v>6.0000000000000001E-3</v>
      </c>
      <c r="D5" s="19">
        <v>100</v>
      </c>
      <c r="F5" s="19">
        <v>0</v>
      </c>
      <c r="G5" s="19">
        <v>0</v>
      </c>
      <c r="H5" s="19">
        <v>0</v>
      </c>
    </row>
    <row r="6" spans="1:9" s="29" customFormat="1" x14ac:dyDescent="0.2">
      <c r="A6" s="23" t="s">
        <v>93</v>
      </c>
      <c r="B6" s="19">
        <v>6.0000000000000001E-3</v>
      </c>
      <c r="C6" s="19"/>
      <c r="D6" s="22">
        <v>100</v>
      </c>
      <c r="E6" s="22"/>
      <c r="F6" s="19">
        <v>0</v>
      </c>
      <c r="G6" s="19">
        <v>0</v>
      </c>
      <c r="H6" s="19">
        <v>0</v>
      </c>
    </row>
    <row r="7" spans="1:9" x14ac:dyDescent="0.2">
      <c r="A7" s="19" t="s">
        <v>115</v>
      </c>
      <c r="B7" s="19">
        <v>0.01</v>
      </c>
      <c r="C7" s="28">
        <v>0</v>
      </c>
      <c r="D7" s="19">
        <v>200</v>
      </c>
      <c r="E7" s="19">
        <v>0</v>
      </c>
      <c r="F7" s="19">
        <v>0</v>
      </c>
      <c r="G7" s="19">
        <v>0</v>
      </c>
      <c r="H7" s="19">
        <v>0</v>
      </c>
    </row>
    <row r="8" spans="1:9" x14ac:dyDescent="0.2">
      <c r="A8" s="23" t="s">
        <v>181</v>
      </c>
      <c r="B8" s="19">
        <v>0.01</v>
      </c>
      <c r="C8" s="28">
        <v>0</v>
      </c>
      <c r="D8" s="19">
        <v>100</v>
      </c>
      <c r="E8" s="19">
        <v>0</v>
      </c>
      <c r="F8" s="19">
        <v>0</v>
      </c>
      <c r="G8" s="19">
        <v>0</v>
      </c>
      <c r="H8" s="19">
        <v>5.0000000000000001E-3</v>
      </c>
      <c r="I8" s="19" t="s">
        <v>200</v>
      </c>
    </row>
    <row r="9" spans="1:9" x14ac:dyDescent="0.2">
      <c r="A9" s="23" t="s">
        <v>175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</row>
    <row r="10" spans="1:9" x14ac:dyDescent="0.2">
      <c r="A10" s="23" t="s">
        <v>195</v>
      </c>
      <c r="B10" s="19">
        <v>0.01</v>
      </c>
      <c r="C10" s="28">
        <v>0</v>
      </c>
      <c r="D10" s="19">
        <v>100</v>
      </c>
      <c r="E10" s="19">
        <v>10</v>
      </c>
      <c r="F10" s="19">
        <v>0</v>
      </c>
      <c r="G10" s="19">
        <v>0</v>
      </c>
      <c r="H10" s="19">
        <v>0.01</v>
      </c>
      <c r="I10" s="19" t="s">
        <v>201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96DA-23BE-B645-BC89-E6E3FD3C070E}">
  <dimension ref="A1:D7"/>
  <sheetViews>
    <sheetView zoomScale="152" zoomScaleNormal="152" workbookViewId="0">
      <selection activeCell="B24" sqref="B24"/>
    </sheetView>
  </sheetViews>
  <sheetFormatPr baseColWidth="10" defaultColWidth="8.83203125" defaultRowHeight="15" x14ac:dyDescent="0.2"/>
  <cols>
    <col min="1" max="1" width="15" style="19" bestFit="1" customWidth="1"/>
    <col min="2" max="2" width="8.83203125" style="19"/>
    <col min="3" max="3" width="16.1640625" style="19" bestFit="1" customWidth="1"/>
    <col min="4" max="4" width="15.33203125" style="19" bestFit="1" customWidth="1"/>
    <col min="5" max="16384" width="8.83203125" style="19"/>
  </cols>
  <sheetData>
    <row r="1" spans="1:4" x14ac:dyDescent="0.2">
      <c r="A1" s="42" t="s">
        <v>35</v>
      </c>
      <c r="B1" s="19" t="s">
        <v>46</v>
      </c>
      <c r="C1" s="19" t="s">
        <v>47</v>
      </c>
      <c r="D1" s="19" t="s">
        <v>4</v>
      </c>
    </row>
    <row r="2" spans="1:4" x14ac:dyDescent="0.2">
      <c r="A2" s="44" t="s">
        <v>31</v>
      </c>
      <c r="B2" s="19" t="s">
        <v>48</v>
      </c>
      <c r="C2" s="19" t="s">
        <v>49</v>
      </c>
      <c r="D2" s="23" t="s">
        <v>187</v>
      </c>
    </row>
    <row r="3" spans="1:4" x14ac:dyDescent="0.2">
      <c r="A3" s="44" t="s">
        <v>2</v>
      </c>
    </row>
    <row r="4" spans="1:4" x14ac:dyDescent="0.2">
      <c r="A4" s="19" t="s">
        <v>115</v>
      </c>
      <c r="B4" s="19">
        <v>0</v>
      </c>
      <c r="C4" s="28">
        <v>0</v>
      </c>
      <c r="D4" s="19">
        <f>7*Ref!$B$18</f>
        <v>2.52E-2</v>
      </c>
    </row>
    <row r="5" spans="1:4" x14ac:dyDescent="0.2">
      <c r="A5" s="23" t="s">
        <v>181</v>
      </c>
      <c r="B5" s="19">
        <v>0</v>
      </c>
      <c r="C5" s="28">
        <v>0</v>
      </c>
      <c r="D5" s="19">
        <f>7*Ref!$B$18</f>
        <v>2.52E-2</v>
      </c>
    </row>
    <row r="6" spans="1:4" x14ac:dyDescent="0.2">
      <c r="A6" s="23" t="s">
        <v>175</v>
      </c>
      <c r="B6" s="19">
        <v>0</v>
      </c>
      <c r="C6" s="28">
        <v>0</v>
      </c>
      <c r="D6" s="19">
        <f>7*Ref!$B$18</f>
        <v>2.52E-2</v>
      </c>
    </row>
    <row r="7" spans="1:4" x14ac:dyDescent="0.2">
      <c r="A7" s="23" t="s">
        <v>195</v>
      </c>
      <c r="B7" s="19">
        <v>0</v>
      </c>
      <c r="C7" s="28">
        <v>0</v>
      </c>
      <c r="D7" s="19">
        <f>7*Ref!$B$18</f>
        <v>2.52E-2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9DAB-B5B6-BD47-B6BA-6581B990649B}">
  <dimension ref="A1:J23"/>
  <sheetViews>
    <sheetView workbookViewId="0">
      <selection activeCell="H22" sqref="H22"/>
    </sheetView>
  </sheetViews>
  <sheetFormatPr baseColWidth="10" defaultRowHeight="15" x14ac:dyDescent="0.2"/>
  <cols>
    <col min="2" max="2" width="21.6640625" customWidth="1"/>
    <col min="3" max="3" width="18.33203125" customWidth="1"/>
    <col min="4" max="4" width="12.83203125" customWidth="1"/>
    <col min="7" max="7" width="17.33203125" style="40" customWidth="1"/>
    <col min="8" max="9" width="15.83203125" style="40" customWidth="1"/>
  </cols>
  <sheetData>
    <row r="1" spans="1:10" x14ac:dyDescent="0.2">
      <c r="A1" s="29" t="s">
        <v>0</v>
      </c>
      <c r="B1" t="s">
        <v>159</v>
      </c>
      <c r="C1" t="s">
        <v>4</v>
      </c>
      <c r="D1" t="s">
        <v>162</v>
      </c>
      <c r="E1" t="s">
        <v>163</v>
      </c>
      <c r="F1" t="s">
        <v>164</v>
      </c>
      <c r="G1" s="22" t="s">
        <v>7</v>
      </c>
      <c r="H1" s="22" t="s">
        <v>8</v>
      </c>
      <c r="I1" s="22" t="s">
        <v>6</v>
      </c>
      <c r="J1" t="s">
        <v>2</v>
      </c>
    </row>
    <row r="2" spans="1:10" x14ac:dyDescent="0.2">
      <c r="A2" s="34" t="s">
        <v>1</v>
      </c>
      <c r="B2" t="s">
        <v>160</v>
      </c>
      <c r="C2" t="s">
        <v>161</v>
      </c>
      <c r="D2" t="s">
        <v>148</v>
      </c>
      <c r="F2" t="s">
        <v>165</v>
      </c>
    </row>
    <row r="3" spans="1:10" x14ac:dyDescent="0.2">
      <c r="A3" t="s">
        <v>115</v>
      </c>
      <c r="B3">
        <f>(670+315)/(171*0.9712)</f>
        <v>5.9310481035097355</v>
      </c>
      <c r="C3">
        <f>366*Ref!$B$18</f>
        <v>1.3175999999999999</v>
      </c>
      <c r="D3">
        <f>3.4/(171*0.9712)</f>
        <v>2.0472653352216347E-2</v>
      </c>
      <c r="E3">
        <f>112/(171*0.9712)</f>
        <v>0.67439328689653844</v>
      </c>
      <c r="F3">
        <v>0.05</v>
      </c>
      <c r="G3" s="40" t="s">
        <v>50</v>
      </c>
      <c r="H3" s="40">
        <v>0</v>
      </c>
      <c r="I3" s="40" t="s">
        <v>167</v>
      </c>
      <c r="J3" t="s">
        <v>166</v>
      </c>
    </row>
    <row r="4" spans="1:10" x14ac:dyDescent="0.2">
      <c r="G4" s="22"/>
      <c r="H4" s="22"/>
      <c r="I4" s="2"/>
    </row>
    <row r="5" spans="1:10" x14ac:dyDescent="0.2">
      <c r="G5" s="22"/>
      <c r="H5" s="22"/>
      <c r="I5" s="2"/>
    </row>
    <row r="6" spans="1:10" x14ac:dyDescent="0.2">
      <c r="G6" s="22"/>
      <c r="H6" s="22"/>
      <c r="I6" s="2"/>
    </row>
    <row r="7" spans="1:10" x14ac:dyDescent="0.2">
      <c r="G7" s="22"/>
      <c r="H7" s="22"/>
      <c r="I7" s="2"/>
    </row>
    <row r="8" spans="1:10" x14ac:dyDescent="0.2">
      <c r="G8" s="22"/>
      <c r="H8" s="22"/>
      <c r="I8" s="2"/>
    </row>
    <row r="9" spans="1:10" x14ac:dyDescent="0.2">
      <c r="G9" s="22"/>
      <c r="H9" s="22"/>
      <c r="I9" s="2"/>
    </row>
    <row r="10" spans="1:10" x14ac:dyDescent="0.2">
      <c r="G10" s="22"/>
      <c r="H10" s="22"/>
      <c r="I10" s="2"/>
    </row>
    <row r="11" spans="1:10" x14ac:dyDescent="0.2">
      <c r="G11" s="22"/>
      <c r="H11" s="22"/>
      <c r="I11" s="2"/>
    </row>
    <row r="12" spans="1:10" x14ac:dyDescent="0.2">
      <c r="G12" s="22"/>
      <c r="H12" s="22"/>
      <c r="I12" s="2"/>
    </row>
    <row r="13" spans="1:10" x14ac:dyDescent="0.2">
      <c r="G13" s="22"/>
      <c r="H13" s="22"/>
      <c r="I13" s="2"/>
    </row>
    <row r="14" spans="1:10" x14ac:dyDescent="0.2">
      <c r="G14" s="22"/>
      <c r="H14" s="22"/>
      <c r="I14" s="2"/>
    </row>
    <row r="15" spans="1:10" x14ac:dyDescent="0.2">
      <c r="G15" s="22"/>
      <c r="H15" s="22"/>
      <c r="I15" s="2"/>
    </row>
    <row r="16" spans="1:10" x14ac:dyDescent="0.2">
      <c r="G16" s="22"/>
      <c r="H16" s="22"/>
      <c r="I16" s="2"/>
    </row>
    <row r="17" spans="7:9" x14ac:dyDescent="0.2">
      <c r="G17" s="22"/>
      <c r="H17" s="22"/>
      <c r="I17" s="2"/>
    </row>
    <row r="18" spans="7:9" x14ac:dyDescent="0.2">
      <c r="G18" s="22"/>
      <c r="H18" s="22"/>
      <c r="I18" s="2"/>
    </row>
    <row r="19" spans="7:9" x14ac:dyDescent="0.2">
      <c r="G19" s="22"/>
      <c r="H19" s="22"/>
      <c r="I19" s="2"/>
    </row>
    <row r="20" spans="7:9" x14ac:dyDescent="0.2">
      <c r="G20" s="22"/>
      <c r="H20" s="22"/>
      <c r="I20" s="2"/>
    </row>
    <row r="21" spans="7:9" x14ac:dyDescent="0.2">
      <c r="G21" s="22"/>
      <c r="H21" s="22"/>
      <c r="I21" s="2"/>
    </row>
    <row r="22" spans="7:9" x14ac:dyDescent="0.2">
      <c r="G22" s="22"/>
      <c r="H22" s="22"/>
      <c r="I22" s="2"/>
    </row>
    <row r="23" spans="7:9" x14ac:dyDescent="0.2">
      <c r="G23" s="22"/>
      <c r="H23" s="22"/>
      <c r="I23" s="2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61DB-ACC6-D94F-8508-53BA893782E9}">
  <dimension ref="A1:G5"/>
  <sheetViews>
    <sheetView tabSelected="1" workbookViewId="0">
      <selection activeCell="I33" sqref="I33"/>
    </sheetView>
  </sheetViews>
  <sheetFormatPr baseColWidth="10" defaultRowHeight="15" x14ac:dyDescent="0.2"/>
  <cols>
    <col min="1" max="1" width="10.1640625" bestFit="1" customWidth="1"/>
  </cols>
  <sheetData>
    <row r="1" spans="1:7" x14ac:dyDescent="0.2">
      <c r="A1" s="42" t="s">
        <v>35</v>
      </c>
      <c r="B1" t="s">
        <v>144</v>
      </c>
      <c r="C1" t="s">
        <v>146</v>
      </c>
      <c r="D1" t="s">
        <v>147</v>
      </c>
      <c r="E1" t="s">
        <v>178</v>
      </c>
      <c r="F1" t="s">
        <v>184</v>
      </c>
      <c r="G1" t="s">
        <v>149</v>
      </c>
    </row>
    <row r="2" spans="1:7" x14ac:dyDescent="0.2">
      <c r="A2" s="44" t="s">
        <v>31</v>
      </c>
      <c r="B2" t="s">
        <v>145</v>
      </c>
      <c r="C2" t="s">
        <v>148</v>
      </c>
      <c r="D2" t="s">
        <v>148</v>
      </c>
      <c r="E2" t="s">
        <v>148</v>
      </c>
      <c r="F2" t="s">
        <v>148</v>
      </c>
    </row>
    <row r="3" spans="1:7" x14ac:dyDescent="0.2">
      <c r="A3" t="s">
        <v>115</v>
      </c>
      <c r="B3">
        <f>1.79/43.91</f>
        <v>4.0765201548622183E-2</v>
      </c>
      <c r="C3">
        <f>0.045/43.91</f>
        <v>1.0248235026189935E-3</v>
      </c>
      <c r="D3">
        <f>4.04/43.91</f>
        <v>9.2006376679571858E-2</v>
      </c>
      <c r="E3">
        <f>1855/(1067734/0.85)</f>
        <v>1.4767254765700071E-3</v>
      </c>
      <c r="G3" t="s">
        <v>150</v>
      </c>
    </row>
    <row r="4" spans="1:7" x14ac:dyDescent="0.2">
      <c r="A4" t="s">
        <v>181</v>
      </c>
      <c r="B4">
        <f>1.79/43.91</f>
        <v>4.0765201548622183E-2</v>
      </c>
      <c r="C4">
        <f>0.045/43.91</f>
        <v>1.0248235026189935E-3</v>
      </c>
      <c r="D4">
        <f>4.04/43.91</f>
        <v>9.2006376679571858E-2</v>
      </c>
      <c r="E4">
        <f>0.6/(120.65*0.85)+0.0002</f>
        <v>6.050661856122473E-3</v>
      </c>
      <c r="F4">
        <f>0.1/(120.65*0.85)</f>
        <v>9.7511030935374559E-4</v>
      </c>
      <c r="G4" t="s">
        <v>150</v>
      </c>
    </row>
    <row r="5" spans="1:7" x14ac:dyDescent="0.2">
      <c r="A5" t="s">
        <v>195</v>
      </c>
      <c r="B5">
        <f>1.79/43.91</f>
        <v>4.0765201548622183E-2</v>
      </c>
      <c r="C5">
        <f>0.045/43.91</f>
        <v>1.0248235026189935E-3</v>
      </c>
      <c r="D5">
        <f>4.04/43.91</f>
        <v>9.2006376679571858E-2</v>
      </c>
      <c r="E5">
        <f>0.6/(120.65*0.85)+0.0002</f>
        <v>6.050661856122473E-3</v>
      </c>
      <c r="F5">
        <f>0.1/(120.65*0.85)</f>
        <v>9.7511030935374559E-4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7" sqref="E37"/>
    </sheetView>
  </sheetViews>
  <sheetFormatPr baseColWidth="10" defaultColWidth="8.83203125" defaultRowHeight="15" x14ac:dyDescent="0.2"/>
  <cols>
    <col min="1" max="1" width="11.33203125" style="19" customWidth="1"/>
    <col min="2" max="2" width="16.33203125" style="19" customWidth="1"/>
    <col min="3" max="3" width="17.5" style="19" customWidth="1"/>
    <col min="4" max="4" width="20.83203125" style="19" customWidth="1"/>
    <col min="5" max="5" width="18" style="19" customWidth="1"/>
    <col min="6" max="6" width="23" style="19" bestFit="1" customWidth="1"/>
    <col min="7" max="7" width="15.5" style="39" customWidth="1"/>
    <col min="8" max="8" width="15.1640625" style="19" bestFit="1" customWidth="1"/>
    <col min="9" max="9" width="18" style="19" bestFit="1" customWidth="1"/>
    <col min="10" max="10" width="18" style="19" customWidth="1"/>
    <col min="11" max="11" width="15.5" style="39" customWidth="1"/>
    <col min="12" max="16384" width="8.83203125" style="19"/>
  </cols>
  <sheetData>
    <row r="1" spans="1:11" x14ac:dyDescent="0.2">
      <c r="A1" s="42" t="s">
        <v>35</v>
      </c>
      <c r="B1" s="29" t="s">
        <v>80</v>
      </c>
      <c r="C1" s="42" t="s">
        <v>36</v>
      </c>
      <c r="D1" s="43" t="s">
        <v>37</v>
      </c>
      <c r="E1" s="43" t="s">
        <v>5</v>
      </c>
      <c r="F1" s="43" t="s">
        <v>98</v>
      </c>
      <c r="G1" s="43" t="s">
        <v>96</v>
      </c>
      <c r="H1" s="43" t="s">
        <v>99</v>
      </c>
      <c r="I1" s="43" t="s">
        <v>100</v>
      </c>
      <c r="J1" s="43" t="s">
        <v>101</v>
      </c>
      <c r="K1" s="43" t="s">
        <v>94</v>
      </c>
    </row>
    <row r="2" spans="1:11" x14ac:dyDescent="0.2">
      <c r="A2" s="44" t="s">
        <v>31</v>
      </c>
      <c r="B2" s="34"/>
      <c r="C2" s="45" t="s">
        <v>40</v>
      </c>
      <c r="D2" s="46" t="s">
        <v>41</v>
      </c>
      <c r="E2" s="46" t="s">
        <v>42</v>
      </c>
      <c r="F2" s="46" t="s">
        <v>103</v>
      </c>
      <c r="G2" s="46" t="s">
        <v>103</v>
      </c>
      <c r="H2" s="46"/>
      <c r="I2" s="46"/>
      <c r="J2" s="46"/>
      <c r="K2" s="46" t="s">
        <v>104</v>
      </c>
    </row>
    <row r="3" spans="1:11" x14ac:dyDescent="0.2">
      <c r="A3" s="44" t="s">
        <v>2</v>
      </c>
      <c r="B3" s="34"/>
      <c r="C3" s="45" t="s">
        <v>44</v>
      </c>
      <c r="D3" s="46" t="s">
        <v>45</v>
      </c>
      <c r="E3" s="47"/>
      <c r="F3" s="47"/>
      <c r="G3" s="46" t="s">
        <v>97</v>
      </c>
      <c r="H3" s="47"/>
      <c r="I3" s="47"/>
      <c r="J3" s="47"/>
      <c r="K3" s="52"/>
    </row>
    <row r="4" spans="1:11" x14ac:dyDescent="0.2">
      <c r="A4" s="45" t="s">
        <v>3</v>
      </c>
      <c r="C4" s="45">
        <v>1</v>
      </c>
      <c r="D4" s="47">
        <v>0.9</v>
      </c>
      <c r="E4" s="47">
        <v>1.05</v>
      </c>
      <c r="F4" s="47">
        <v>0</v>
      </c>
      <c r="G4" s="20"/>
      <c r="H4" s="47"/>
      <c r="I4" s="47"/>
      <c r="J4" s="47"/>
      <c r="K4" s="20"/>
    </row>
    <row r="5" spans="1:11" x14ac:dyDescent="0.2">
      <c r="A5" s="23" t="s">
        <v>92</v>
      </c>
      <c r="C5" s="19">
        <v>1</v>
      </c>
      <c r="D5" s="19">
        <v>0.85</v>
      </c>
      <c r="E5" s="19">
        <f>5*Ref!$B$18</f>
        <v>1.7999999999999999E-2</v>
      </c>
      <c r="F5" s="19">
        <f>5.82/(0.74/0.85)</f>
        <v>6.6851351351351349</v>
      </c>
      <c r="G5" s="39">
        <f>0.22/(0.74/0.85)</f>
        <v>0.25270270270270268</v>
      </c>
      <c r="H5" s="19" t="s">
        <v>102</v>
      </c>
      <c r="I5" s="9">
        <v>0</v>
      </c>
      <c r="J5" s="22" t="s">
        <v>89</v>
      </c>
      <c r="K5" s="39">
        <f>0.49/1.43</f>
        <v>0.34265734265734266</v>
      </c>
    </row>
    <row r="6" spans="1:11" x14ac:dyDescent="0.2">
      <c r="A6" s="23" t="s">
        <v>93</v>
      </c>
      <c r="C6" s="19">
        <v>1</v>
      </c>
      <c r="D6" s="19">
        <v>0.85</v>
      </c>
      <c r="E6" s="19">
        <f>6.22*Ref!$B$18</f>
        <v>2.2391999999999999E-2</v>
      </c>
      <c r="F6" s="19">
        <f>4.95/(0.74/0.85)</f>
        <v>5.6858108108108105</v>
      </c>
      <c r="G6" s="39">
        <f>0.09/(0.74/0.85)</f>
        <v>0.10337837837837838</v>
      </c>
      <c r="H6" s="19" t="s">
        <v>102</v>
      </c>
      <c r="I6" s="9">
        <v>1</v>
      </c>
      <c r="J6" s="22" t="s">
        <v>89</v>
      </c>
      <c r="K6" s="22">
        <f>0.34/1.23</f>
        <v>0.27642276422764228</v>
      </c>
    </row>
    <row r="7" spans="1:11" x14ac:dyDescent="0.2">
      <c r="A7" s="19" t="s">
        <v>115</v>
      </c>
      <c r="B7" s="19" t="s">
        <v>81</v>
      </c>
      <c r="C7" s="19">
        <v>1</v>
      </c>
      <c r="D7" s="19">
        <v>0.85</v>
      </c>
      <c r="E7" s="19">
        <f>5*Ref!$B$18</f>
        <v>1.7999999999999999E-2</v>
      </c>
      <c r="F7" s="19">
        <f t="shared" ref="F7" si="0">5.82/(0.74/0.85)</f>
        <v>6.6851351351351349</v>
      </c>
      <c r="G7" s="39">
        <f t="shared" ref="G7" si="1">0.22/(0.74/0.85)</f>
        <v>0.25270270270270268</v>
      </c>
      <c r="H7" s="19" t="s">
        <v>102</v>
      </c>
      <c r="I7" s="9">
        <v>0</v>
      </c>
      <c r="J7" s="22" t="s">
        <v>89</v>
      </c>
      <c r="K7" s="39">
        <f t="shared" ref="K7" si="2">0.49/1.43</f>
        <v>0.34265734265734266</v>
      </c>
    </row>
    <row r="8" spans="1:11" x14ac:dyDescent="0.2">
      <c r="A8" s="19" t="s">
        <v>116</v>
      </c>
      <c r="B8" s="19" t="s">
        <v>81</v>
      </c>
      <c r="C8" s="19">
        <v>1</v>
      </c>
      <c r="D8" s="19">
        <v>0.85</v>
      </c>
      <c r="E8" s="19">
        <f>6.22*Ref!$B$18</f>
        <v>2.2391999999999999E-2</v>
      </c>
      <c r="F8" s="19">
        <f t="shared" ref="F8" si="3">4.95/(0.74/0.85)</f>
        <v>5.6858108108108105</v>
      </c>
      <c r="G8" s="39">
        <f t="shared" ref="G8" si="4">0.09/(0.74/0.85)</f>
        <v>0.10337837837837838</v>
      </c>
      <c r="H8" s="19" t="s">
        <v>102</v>
      </c>
      <c r="I8" s="9">
        <v>1</v>
      </c>
      <c r="J8" s="22" t="s">
        <v>89</v>
      </c>
      <c r="K8" s="22">
        <f t="shared" ref="K8" si="5">0.34/1.23</f>
        <v>0.27642276422764228</v>
      </c>
    </row>
    <row r="9" spans="1:11" x14ac:dyDescent="0.2">
      <c r="A9" s="19" t="s">
        <v>117</v>
      </c>
      <c r="B9" s="19" t="s">
        <v>81</v>
      </c>
      <c r="C9" s="19">
        <v>1</v>
      </c>
      <c r="D9" s="19">
        <v>0.85</v>
      </c>
      <c r="E9" s="19">
        <f>5*Ref!$B$18</f>
        <v>1.7999999999999999E-2</v>
      </c>
      <c r="F9" s="19">
        <f t="shared" ref="F9" si="6">5.82/(0.74/0.85)</f>
        <v>6.6851351351351349</v>
      </c>
      <c r="G9" s="39">
        <f t="shared" ref="G9" si="7">0.22/(0.74/0.85)</f>
        <v>0.25270270270270268</v>
      </c>
      <c r="H9" s="19" t="s">
        <v>102</v>
      </c>
      <c r="I9" s="9">
        <v>0</v>
      </c>
      <c r="J9" s="22" t="s">
        <v>89</v>
      </c>
      <c r="K9" s="39">
        <f t="shared" ref="K9" si="8">0.49/1.43</f>
        <v>0.34265734265734266</v>
      </c>
    </row>
    <row r="10" spans="1:11" x14ac:dyDescent="0.2">
      <c r="A10" s="19" t="s">
        <v>118</v>
      </c>
      <c r="B10" s="19" t="s">
        <v>81</v>
      </c>
      <c r="C10" s="19">
        <v>1</v>
      </c>
      <c r="D10" s="19">
        <v>0.85</v>
      </c>
      <c r="E10" s="19">
        <f>6.22*Ref!$B$18</f>
        <v>2.2391999999999999E-2</v>
      </c>
      <c r="F10" s="19">
        <f t="shared" ref="F10" si="9">4.95/(0.74/0.85)</f>
        <v>5.6858108108108105</v>
      </c>
      <c r="G10" s="39">
        <f t="shared" ref="G10" si="10">0.09/(0.74/0.85)</f>
        <v>0.10337837837837838</v>
      </c>
      <c r="H10" s="19" t="s">
        <v>102</v>
      </c>
      <c r="I10" s="9">
        <v>1</v>
      </c>
      <c r="J10" s="22" t="s">
        <v>89</v>
      </c>
      <c r="K10" s="22">
        <f t="shared" ref="K10" si="11">0.34/1.23</f>
        <v>0.27642276422764228</v>
      </c>
    </row>
    <row r="11" spans="1:11" x14ac:dyDescent="0.2">
      <c r="A11" s="19" t="s">
        <v>119</v>
      </c>
      <c r="B11" s="19" t="s">
        <v>81</v>
      </c>
      <c r="C11" s="19">
        <v>1</v>
      </c>
      <c r="D11" s="19">
        <v>0.85</v>
      </c>
      <c r="E11" s="19">
        <f>5*Ref!$B$18</f>
        <v>1.7999999999999999E-2</v>
      </c>
      <c r="F11" s="19">
        <f t="shared" ref="F11" si="12">5.82/(0.74/0.85)</f>
        <v>6.6851351351351349</v>
      </c>
      <c r="G11" s="39">
        <f t="shared" ref="G11" si="13">0.22/(0.74/0.85)</f>
        <v>0.25270270270270268</v>
      </c>
      <c r="H11" s="19" t="s">
        <v>102</v>
      </c>
      <c r="I11" s="9">
        <v>0</v>
      </c>
      <c r="J11" s="22" t="s">
        <v>89</v>
      </c>
      <c r="K11" s="39">
        <f t="shared" ref="K11" si="14">0.49/1.43</f>
        <v>0.34265734265734266</v>
      </c>
    </row>
    <row r="12" spans="1:11" s="48" customFormat="1" x14ac:dyDescent="0.2">
      <c r="A12" s="19" t="s">
        <v>120</v>
      </c>
      <c r="B12" s="19" t="s">
        <v>81</v>
      </c>
      <c r="C12" s="19">
        <v>1</v>
      </c>
      <c r="D12" s="19">
        <v>0.85</v>
      </c>
      <c r="E12" s="19">
        <f>6.22*Ref!$B$18</f>
        <v>2.2391999999999999E-2</v>
      </c>
      <c r="F12" s="19">
        <f t="shared" ref="F12" si="15">4.95/(0.74/0.85)</f>
        <v>5.6858108108108105</v>
      </c>
      <c r="G12" s="39">
        <f t="shared" ref="G12" si="16">0.09/(0.74/0.85)</f>
        <v>0.10337837837837838</v>
      </c>
      <c r="H12" s="19" t="s">
        <v>102</v>
      </c>
      <c r="I12" s="9">
        <v>1</v>
      </c>
      <c r="J12" s="22" t="s">
        <v>89</v>
      </c>
      <c r="K12" s="22">
        <f t="shared" ref="K12" si="17">0.34/1.23</f>
        <v>0.27642276422764228</v>
      </c>
    </row>
    <row r="16" spans="1:11" s="29" customFormat="1" x14ac:dyDescent="0.2">
      <c r="A16" s="19"/>
      <c r="B16" s="19"/>
      <c r="C16" s="19"/>
      <c r="D16" s="19"/>
      <c r="E16" s="19"/>
      <c r="F16" s="19"/>
      <c r="G16" s="39"/>
      <c r="H16" s="19"/>
      <c r="I16" s="19"/>
      <c r="J16" s="19"/>
      <c r="K16" s="39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8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3" t="s">
        <v>9</v>
      </c>
      <c r="B1" s="4"/>
      <c r="C1" s="4"/>
    </row>
    <row r="2" spans="1:8" x14ac:dyDescent="0.2">
      <c r="A2" s="3" t="s">
        <v>10</v>
      </c>
      <c r="B2" s="4"/>
      <c r="C2" s="4"/>
    </row>
    <row r="3" spans="1:8" x14ac:dyDescent="0.2">
      <c r="A3" s="5"/>
      <c r="B3" s="6" t="s">
        <v>11</v>
      </c>
      <c r="C3" s="7" t="s">
        <v>12</v>
      </c>
    </row>
    <row r="4" spans="1:8" x14ac:dyDescent="0.2">
      <c r="A4" s="8" t="s">
        <v>13</v>
      </c>
      <c r="B4" s="9">
        <v>12</v>
      </c>
      <c r="C4" s="10">
        <f>(B4*$B$19)/1000/1000</f>
        <v>5.3537967341839917E-4</v>
      </c>
    </row>
    <row r="5" spans="1:8" x14ac:dyDescent="0.2">
      <c r="A5" s="8" t="s">
        <v>14</v>
      </c>
      <c r="B5" s="9">
        <v>16.042459999999998</v>
      </c>
      <c r="C5" s="10">
        <f t="shared" ref="C5:C12" si="0">(B5*$B$19)/1000/1000</f>
        <v>7.1573391630231102E-4</v>
      </c>
    </row>
    <row r="6" spans="1:8" x14ac:dyDescent="0.2">
      <c r="A6" s="8" t="s">
        <v>15</v>
      </c>
      <c r="B6" s="9">
        <v>28.010100000000001</v>
      </c>
      <c r="C6" s="10">
        <f t="shared" si="0"/>
        <v>1.2496698492013921E-3</v>
      </c>
    </row>
    <row r="7" spans="1:8" x14ac:dyDescent="0.2">
      <c r="A7" s="8" t="s">
        <v>16</v>
      </c>
      <c r="B7" s="9">
        <v>44.009500000000003</v>
      </c>
      <c r="C7" s="10">
        <f t="shared" si="0"/>
        <v>1.963482644775587E-3</v>
      </c>
    </row>
    <row r="8" spans="1:8" x14ac:dyDescent="0.2">
      <c r="A8" s="8" t="s">
        <v>17</v>
      </c>
      <c r="B8" s="9">
        <v>2.0158800000000001</v>
      </c>
      <c r="C8" s="10">
        <f t="shared" si="0"/>
        <v>8.9938431337556905E-5</v>
      </c>
    </row>
    <row r="9" spans="1:8" x14ac:dyDescent="0.2">
      <c r="A9" s="8" t="s">
        <v>18</v>
      </c>
      <c r="B9" s="9">
        <v>18.015280000000001</v>
      </c>
      <c r="C9" s="10">
        <f t="shared" si="0"/>
        <v>8.0375122691175155E-4</v>
      </c>
    </row>
    <row r="10" spans="1:8" x14ac:dyDescent="0.2">
      <c r="A10" s="8" t="s">
        <v>19</v>
      </c>
      <c r="B10" s="9">
        <f>(78.12+92.15+106.7)/3</f>
        <v>92.323333333333338</v>
      </c>
      <c r="C10" s="10">
        <f t="shared" si="0"/>
        <v>4.1190030040748338E-3</v>
      </c>
    </row>
    <row r="11" spans="1:8" x14ac:dyDescent="0.2">
      <c r="A11" s="8" t="s">
        <v>20</v>
      </c>
      <c r="B11" s="9">
        <v>28.013400000000001</v>
      </c>
      <c r="C11" s="10">
        <f t="shared" si="0"/>
        <v>1.2498170786115822E-3</v>
      </c>
    </row>
    <row r="12" spans="1:8" x14ac:dyDescent="0.2">
      <c r="A12" s="8" t="s">
        <v>21</v>
      </c>
      <c r="B12" s="9">
        <v>31.998799999999999</v>
      </c>
      <c r="C12" s="10">
        <f t="shared" si="0"/>
        <v>1.4276255911483892E-3</v>
      </c>
    </row>
    <row r="13" spans="1:8" x14ac:dyDescent="0.2">
      <c r="A13" s="11"/>
      <c r="B13" s="12"/>
      <c r="C13" s="13"/>
    </row>
    <row r="14" spans="1:8" x14ac:dyDescent="0.2">
      <c r="A14" s="4"/>
      <c r="B14" s="14"/>
      <c r="C14" s="14"/>
    </row>
    <row r="15" spans="1:8" x14ac:dyDescent="0.2">
      <c r="A15" s="3" t="s">
        <v>22</v>
      </c>
      <c r="B15" s="14"/>
      <c r="C15" s="14"/>
    </row>
    <row r="16" spans="1:8" x14ac:dyDescent="0.2">
      <c r="A16" s="18"/>
      <c r="B16" s="15" t="s">
        <v>23</v>
      </c>
      <c r="C16" s="15"/>
      <c r="H16" s="53"/>
    </row>
    <row r="17" spans="1:8" x14ac:dyDescent="0.2">
      <c r="A17" s="18" t="s">
        <v>24</v>
      </c>
      <c r="B17" s="21">
        <v>3.6</v>
      </c>
      <c r="C17" s="9"/>
    </row>
    <row r="18" spans="1:8" x14ac:dyDescent="0.2">
      <c r="A18" s="18" t="s">
        <v>25</v>
      </c>
      <c r="B18" s="32">
        <f>B17/1000</f>
        <v>3.5999999999999999E-3</v>
      </c>
      <c r="C18" s="9"/>
      <c r="D18" s="21"/>
      <c r="E18" s="53"/>
    </row>
    <row r="19" spans="1:8" x14ac:dyDescent="0.2">
      <c r="A19" s="18" t="s">
        <v>26</v>
      </c>
      <c r="B19" s="9">
        <f>1/0.022414</f>
        <v>44.614972784866602</v>
      </c>
      <c r="C19" s="9"/>
    </row>
    <row r="20" spans="1:8" x14ac:dyDescent="0.2">
      <c r="A20" s="17" t="s">
        <v>30</v>
      </c>
      <c r="B20" s="19">
        <f>1.163</f>
        <v>1.163</v>
      </c>
      <c r="E20" s="53"/>
    </row>
    <row r="21" spans="1:8" x14ac:dyDescent="0.2">
      <c r="A21" s="17" t="s">
        <v>32</v>
      </c>
      <c r="B21" s="20">
        <f>2000/2204.62</f>
        <v>0.90718581887127947</v>
      </c>
    </row>
    <row r="28" spans="1:8" x14ac:dyDescent="0.2">
      <c r="H28" t="s">
        <v>79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"/>
  <sheetViews>
    <sheetView topLeftCell="A6" zoomScale="130" zoomScaleNormal="130" workbookViewId="0">
      <selection activeCell="B25" sqref="B25"/>
    </sheetView>
  </sheetViews>
  <sheetFormatPr baseColWidth="10" defaultColWidth="10.1640625" defaultRowHeight="15" x14ac:dyDescent="0.2"/>
  <cols>
    <col min="1" max="1" width="23.33203125" style="19" customWidth="1"/>
    <col min="2" max="2" width="15" style="18" customWidth="1"/>
    <col min="3" max="3" width="10.83203125" style="18" customWidth="1"/>
    <col min="4" max="4" width="17.6640625" style="18" customWidth="1"/>
    <col min="5" max="5" width="19" style="18" bestFit="1" customWidth="1"/>
    <col min="6" max="6" width="28.5" style="18" bestFit="1" customWidth="1"/>
    <col min="7" max="7" width="20.5" style="18" bestFit="1" customWidth="1"/>
    <col min="8" max="8" width="11" style="18" bestFit="1" customWidth="1"/>
    <col min="9" max="16384" width="10.1640625" style="18"/>
  </cols>
  <sheetData>
    <row r="1" spans="1:9" x14ac:dyDescent="0.2">
      <c r="A1" s="29" t="s">
        <v>0</v>
      </c>
      <c r="B1" s="40" t="s">
        <v>27</v>
      </c>
      <c r="C1" s="40" t="s">
        <v>33</v>
      </c>
      <c r="D1" s="29" t="s">
        <v>28</v>
      </c>
      <c r="E1" s="29" t="s">
        <v>2</v>
      </c>
      <c r="F1" s="29"/>
      <c r="G1" s="29"/>
      <c r="H1" s="29"/>
      <c r="I1" s="29"/>
    </row>
    <row r="2" spans="1:9" x14ac:dyDescent="0.2">
      <c r="A2" s="34" t="s">
        <v>1</v>
      </c>
      <c r="B2" s="33" t="s">
        <v>29</v>
      </c>
      <c r="C2" s="33" t="s">
        <v>34</v>
      </c>
      <c r="F2" s="40"/>
    </row>
    <row r="3" spans="1:9" x14ac:dyDescent="0.2">
      <c r="A3" s="34" t="s">
        <v>2</v>
      </c>
    </row>
    <row r="4" spans="1:9" s="29" customFormat="1" x14ac:dyDescent="0.2">
      <c r="A4" t="s">
        <v>115</v>
      </c>
      <c r="B4" s="18">
        <v>0.56599999999999995</v>
      </c>
      <c r="C4" s="9">
        <v>0</v>
      </c>
      <c r="D4" s="33" t="s">
        <v>50</v>
      </c>
      <c r="E4" s="18"/>
      <c r="F4" s="18"/>
      <c r="G4" s="18"/>
      <c r="H4" s="18"/>
      <c r="I4" s="18"/>
    </row>
    <row r="5" spans="1:9" s="29" customFormat="1" x14ac:dyDescent="0.2">
      <c r="A5" t="s">
        <v>116</v>
      </c>
      <c r="B5" s="18">
        <v>0.56599999999999995</v>
      </c>
      <c r="C5" s="9">
        <v>0</v>
      </c>
      <c r="D5" s="33" t="s">
        <v>50</v>
      </c>
      <c r="E5" s="18"/>
      <c r="F5" s="18"/>
      <c r="G5" s="18"/>
      <c r="H5" s="18"/>
      <c r="I5" s="18"/>
    </row>
    <row r="6" spans="1:9" x14ac:dyDescent="0.2">
      <c r="A6" s="19" t="s">
        <v>134</v>
      </c>
      <c r="B6" s="18">
        <v>1</v>
      </c>
      <c r="C6" s="9">
        <v>0</v>
      </c>
      <c r="D6" t="s">
        <v>142</v>
      </c>
    </row>
    <row r="7" spans="1:9" s="37" customFormat="1" x14ac:dyDescent="0.2">
      <c r="A7" s="19" t="s">
        <v>135</v>
      </c>
      <c r="B7" s="18">
        <v>1</v>
      </c>
      <c r="C7" s="9">
        <v>0</v>
      </c>
      <c r="D7" t="s">
        <v>142</v>
      </c>
      <c r="E7" s="18"/>
      <c r="F7" s="18"/>
      <c r="G7" s="18"/>
      <c r="H7" s="18"/>
      <c r="I7" s="18"/>
    </row>
    <row r="8" spans="1:9" s="37" customFormat="1" x14ac:dyDescent="0.2">
      <c r="A8" s="23" t="s">
        <v>138</v>
      </c>
      <c r="B8" s="18">
        <v>1</v>
      </c>
      <c r="C8" s="9">
        <v>0</v>
      </c>
      <c r="D8" t="s">
        <v>142</v>
      </c>
      <c r="E8" s="18"/>
      <c r="F8" s="18"/>
      <c r="G8" s="18"/>
      <c r="H8" s="18"/>
      <c r="I8" s="18"/>
    </row>
    <row r="9" spans="1:9" s="37" customFormat="1" x14ac:dyDescent="0.2">
      <c r="A9" s="23" t="s">
        <v>139</v>
      </c>
      <c r="B9" s="18">
        <v>1</v>
      </c>
      <c r="C9" s="9">
        <v>0</v>
      </c>
      <c r="D9" t="s">
        <v>142</v>
      </c>
      <c r="E9" s="18"/>
      <c r="F9" s="18"/>
      <c r="G9" s="18"/>
      <c r="H9" s="18"/>
      <c r="I9" s="18"/>
    </row>
    <row r="10" spans="1:9" x14ac:dyDescent="0.2">
      <c r="A10" s="19" t="s">
        <v>136</v>
      </c>
      <c r="B10" s="18">
        <v>1</v>
      </c>
      <c r="C10" s="9">
        <v>0</v>
      </c>
      <c r="D10" t="s">
        <v>143</v>
      </c>
    </row>
    <row r="11" spans="1:9" x14ac:dyDescent="0.2">
      <c r="A11" s="19" t="s">
        <v>137</v>
      </c>
      <c r="B11" s="18">
        <v>1</v>
      </c>
      <c r="C11" s="9">
        <v>0</v>
      </c>
      <c r="D11" t="s">
        <v>143</v>
      </c>
    </row>
    <row r="12" spans="1:9" x14ac:dyDescent="0.2">
      <c r="A12" s="23" t="s">
        <v>140</v>
      </c>
      <c r="B12" s="18">
        <v>1</v>
      </c>
      <c r="C12" s="9">
        <v>0</v>
      </c>
      <c r="D12" t="s">
        <v>143</v>
      </c>
    </row>
    <row r="13" spans="1:9" x14ac:dyDescent="0.2">
      <c r="A13" s="23" t="s">
        <v>141</v>
      </c>
      <c r="B13" s="18">
        <v>1</v>
      </c>
      <c r="C13" s="9">
        <v>0</v>
      </c>
      <c r="D13" t="s">
        <v>143</v>
      </c>
    </row>
    <row r="14" spans="1:9" x14ac:dyDescent="0.2">
      <c r="A14" t="s">
        <v>153</v>
      </c>
      <c r="B14" s="18">
        <v>1</v>
      </c>
      <c r="C14" s="9">
        <v>0</v>
      </c>
      <c r="D14" t="s">
        <v>174</v>
      </c>
    </row>
    <row r="15" spans="1:9" x14ac:dyDescent="0.2">
      <c r="A15" t="s">
        <v>154</v>
      </c>
      <c r="B15" s="18">
        <v>1</v>
      </c>
      <c r="C15" s="9">
        <v>0</v>
      </c>
      <c r="D15" t="s">
        <v>174</v>
      </c>
    </row>
    <row r="16" spans="1:9" x14ac:dyDescent="0.2">
      <c r="A16" t="s">
        <v>155</v>
      </c>
      <c r="B16" s="18">
        <v>1</v>
      </c>
      <c r="C16" s="9">
        <v>0</v>
      </c>
      <c r="D16" t="s">
        <v>174</v>
      </c>
    </row>
    <row r="17" spans="1:9" x14ac:dyDescent="0.2">
      <c r="A17" t="s">
        <v>156</v>
      </c>
      <c r="B17" s="18">
        <v>1</v>
      </c>
      <c r="C17" s="9">
        <v>0</v>
      </c>
      <c r="D17" t="s">
        <v>174</v>
      </c>
    </row>
    <row r="18" spans="1:9" x14ac:dyDescent="0.2">
      <c r="A18" t="s">
        <v>157</v>
      </c>
      <c r="B18" s="18">
        <v>1</v>
      </c>
      <c r="C18" s="9">
        <v>0</v>
      </c>
      <c r="D18" t="s">
        <v>174</v>
      </c>
    </row>
    <row r="19" spans="1:9" x14ac:dyDescent="0.2">
      <c r="A19" t="s">
        <v>158</v>
      </c>
      <c r="B19" s="18">
        <v>1</v>
      </c>
      <c r="C19" s="9">
        <v>0</v>
      </c>
      <c r="D19" t="s">
        <v>174</v>
      </c>
    </row>
    <row r="20" spans="1:9" x14ac:dyDescent="0.2">
      <c r="A20" t="s">
        <v>168</v>
      </c>
      <c r="B20" s="18">
        <v>1</v>
      </c>
      <c r="C20" s="9">
        <v>0</v>
      </c>
      <c r="D20" t="s">
        <v>174</v>
      </c>
    </row>
    <row r="21" spans="1:9" x14ac:dyDescent="0.2">
      <c r="A21" t="s">
        <v>169</v>
      </c>
      <c r="B21" s="18">
        <v>1</v>
      </c>
      <c r="C21" s="9">
        <v>0</v>
      </c>
      <c r="D21" t="s">
        <v>174</v>
      </c>
    </row>
    <row r="22" spans="1:9" x14ac:dyDescent="0.2">
      <c r="A22" t="s">
        <v>170</v>
      </c>
      <c r="B22" s="18">
        <v>1</v>
      </c>
      <c r="C22" s="9">
        <v>0</v>
      </c>
      <c r="D22" t="s">
        <v>174</v>
      </c>
    </row>
    <row r="23" spans="1:9" x14ac:dyDescent="0.2">
      <c r="A23" t="s">
        <v>171</v>
      </c>
      <c r="B23" s="18">
        <v>1</v>
      </c>
      <c r="C23" s="9">
        <v>0</v>
      </c>
      <c r="D23" t="s">
        <v>174</v>
      </c>
    </row>
    <row r="24" spans="1:9" x14ac:dyDescent="0.2">
      <c r="A24" t="s">
        <v>172</v>
      </c>
      <c r="B24" s="18">
        <v>1</v>
      </c>
      <c r="C24" s="9">
        <v>0</v>
      </c>
      <c r="D24" t="s">
        <v>174</v>
      </c>
    </row>
    <row r="25" spans="1:9" x14ac:dyDescent="0.2">
      <c r="A25" t="s">
        <v>173</v>
      </c>
      <c r="B25" s="18">
        <v>1</v>
      </c>
      <c r="C25" s="9">
        <v>0</v>
      </c>
      <c r="D25" t="s">
        <v>174</v>
      </c>
    </row>
    <row r="26" spans="1:9" s="29" customFormat="1" x14ac:dyDescent="0.2">
      <c r="A26" t="s">
        <v>175</v>
      </c>
      <c r="B26" s="18">
        <v>1</v>
      </c>
      <c r="C26" s="9">
        <v>0</v>
      </c>
      <c r="D26" t="s">
        <v>176</v>
      </c>
      <c r="E26" s="18"/>
      <c r="F26" s="18"/>
      <c r="G26" s="18"/>
      <c r="H26" s="18"/>
      <c r="I26" s="18"/>
    </row>
    <row r="27" spans="1:9" x14ac:dyDescent="0.2">
      <c r="A27" s="19" t="s">
        <v>181</v>
      </c>
      <c r="B27" s="18">
        <v>1</v>
      </c>
      <c r="C27" s="18">
        <v>0</v>
      </c>
      <c r="D27" t="s">
        <v>182</v>
      </c>
    </row>
    <row r="28" spans="1:9" x14ac:dyDescent="0.2">
      <c r="A28" s="23" t="s">
        <v>195</v>
      </c>
      <c r="B28" s="18">
        <v>1</v>
      </c>
      <c r="C28" s="9">
        <v>0</v>
      </c>
      <c r="D28" t="s">
        <v>196</v>
      </c>
    </row>
    <row r="29" spans="1:9" x14ac:dyDescent="0.2">
      <c r="A29" t="s">
        <v>203</v>
      </c>
      <c r="B29" s="18">
        <v>1</v>
      </c>
      <c r="C29" s="9">
        <v>0</v>
      </c>
      <c r="D29" t="s">
        <v>143</v>
      </c>
    </row>
    <row r="30" spans="1:9" x14ac:dyDescent="0.2">
      <c r="A30" t="s">
        <v>204</v>
      </c>
      <c r="B30" s="18">
        <v>1</v>
      </c>
      <c r="C30" s="9">
        <v>0</v>
      </c>
      <c r="D30" t="s">
        <v>174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2801-7AA7-1B40-897D-136340C88BD2}">
  <dimension ref="A1:I30"/>
  <sheetViews>
    <sheetView topLeftCell="A8" zoomScale="130" zoomScaleNormal="130" workbookViewId="0">
      <selection activeCell="A29" sqref="A29:XFD33"/>
    </sheetView>
  </sheetViews>
  <sheetFormatPr baseColWidth="10" defaultColWidth="10.1640625" defaultRowHeight="15" x14ac:dyDescent="0.2"/>
  <cols>
    <col min="1" max="1" width="23.33203125" style="19" customWidth="1"/>
    <col min="2" max="2" width="15" style="18" customWidth="1"/>
    <col min="3" max="3" width="10.83203125" style="18" customWidth="1"/>
    <col min="4" max="4" width="17.6640625" style="18" customWidth="1"/>
    <col min="5" max="5" width="19" style="18" bestFit="1" customWidth="1"/>
    <col min="6" max="6" width="28.5" style="18" bestFit="1" customWidth="1"/>
    <col min="7" max="7" width="20.5" style="18" bestFit="1" customWidth="1"/>
    <col min="8" max="8" width="11" style="18" bestFit="1" customWidth="1"/>
    <col min="9" max="16384" width="10.1640625" style="18"/>
  </cols>
  <sheetData>
    <row r="1" spans="1:9" x14ac:dyDescent="0.2">
      <c r="A1" s="29" t="s">
        <v>0</v>
      </c>
      <c r="B1" s="40" t="s">
        <v>27</v>
      </c>
      <c r="C1" s="40" t="s">
        <v>33</v>
      </c>
      <c r="D1" s="29" t="s">
        <v>28</v>
      </c>
      <c r="E1" s="29" t="s">
        <v>2</v>
      </c>
      <c r="F1" s="29"/>
      <c r="G1" s="29"/>
      <c r="H1" s="29"/>
      <c r="I1" s="29"/>
    </row>
    <row r="2" spans="1:9" x14ac:dyDescent="0.2">
      <c r="A2" s="34" t="s">
        <v>1</v>
      </c>
      <c r="B2" s="33" t="s">
        <v>29</v>
      </c>
      <c r="C2" s="33" t="s">
        <v>34</v>
      </c>
      <c r="F2" s="40"/>
    </row>
    <row r="3" spans="1:9" x14ac:dyDescent="0.2">
      <c r="A3" s="34" t="s">
        <v>2</v>
      </c>
    </row>
    <row r="4" spans="1:9" s="37" customFormat="1" x14ac:dyDescent="0.2">
      <c r="A4" t="s">
        <v>115</v>
      </c>
      <c r="B4" s="18">
        <v>0.56599999999999995</v>
      </c>
      <c r="C4" s="9">
        <v>0</v>
      </c>
      <c r="D4" s="33" t="s">
        <v>50</v>
      </c>
      <c r="E4" s="18"/>
      <c r="F4" s="18"/>
      <c r="G4" s="18"/>
      <c r="H4" s="18"/>
      <c r="I4" s="18"/>
    </row>
    <row r="5" spans="1:9" s="37" customFormat="1" x14ac:dyDescent="0.2">
      <c r="A5" t="s">
        <v>116</v>
      </c>
      <c r="B5" s="18">
        <v>0.56599999999999995</v>
      </c>
      <c r="C5" s="9">
        <v>0</v>
      </c>
      <c r="D5" s="33" t="s">
        <v>50</v>
      </c>
      <c r="E5" s="18"/>
      <c r="F5" s="18"/>
      <c r="G5" s="18"/>
      <c r="H5" s="18"/>
      <c r="I5" s="18"/>
    </row>
    <row r="6" spans="1:9" x14ac:dyDescent="0.2">
      <c r="A6" s="19" t="s">
        <v>134</v>
      </c>
      <c r="B6" s="18">
        <v>1</v>
      </c>
      <c r="C6" s="9">
        <v>0</v>
      </c>
      <c r="D6" t="s">
        <v>142</v>
      </c>
    </row>
    <row r="7" spans="1:9" x14ac:dyDescent="0.2">
      <c r="A7" s="19" t="s">
        <v>135</v>
      </c>
      <c r="B7" s="18">
        <v>1</v>
      </c>
      <c r="C7" s="9">
        <v>0</v>
      </c>
      <c r="D7" t="s">
        <v>142</v>
      </c>
    </row>
    <row r="8" spans="1:9" x14ac:dyDescent="0.2">
      <c r="A8" s="23" t="s">
        <v>138</v>
      </c>
      <c r="B8" s="18">
        <v>1</v>
      </c>
      <c r="C8" s="9">
        <v>0</v>
      </c>
      <c r="D8" t="s">
        <v>142</v>
      </c>
    </row>
    <row r="9" spans="1:9" x14ac:dyDescent="0.2">
      <c r="A9" s="23" t="s">
        <v>139</v>
      </c>
      <c r="B9" s="18">
        <v>1</v>
      </c>
      <c r="C9" s="9">
        <v>0</v>
      </c>
      <c r="D9" t="s">
        <v>142</v>
      </c>
    </row>
    <row r="10" spans="1:9" x14ac:dyDescent="0.2">
      <c r="A10" s="19" t="s">
        <v>136</v>
      </c>
      <c r="B10" s="18">
        <v>1</v>
      </c>
      <c r="C10" s="9">
        <v>0</v>
      </c>
      <c r="D10" t="s">
        <v>143</v>
      </c>
    </row>
    <row r="11" spans="1:9" x14ac:dyDescent="0.2">
      <c r="A11" s="19" t="s">
        <v>137</v>
      </c>
      <c r="B11" s="18">
        <v>1</v>
      </c>
      <c r="C11" s="9">
        <v>0</v>
      </c>
      <c r="D11" t="s">
        <v>143</v>
      </c>
    </row>
    <row r="12" spans="1:9" x14ac:dyDescent="0.2">
      <c r="A12" s="23" t="s">
        <v>140</v>
      </c>
      <c r="B12" s="18">
        <v>1</v>
      </c>
      <c r="C12" s="9">
        <v>0</v>
      </c>
      <c r="D12" t="s">
        <v>143</v>
      </c>
    </row>
    <row r="13" spans="1:9" x14ac:dyDescent="0.2">
      <c r="A13" s="23" t="s">
        <v>141</v>
      </c>
      <c r="B13" s="18">
        <v>1</v>
      </c>
      <c r="C13" s="9">
        <v>0</v>
      </c>
      <c r="D13" t="s">
        <v>143</v>
      </c>
    </row>
    <row r="14" spans="1:9" x14ac:dyDescent="0.2">
      <c r="A14" t="s">
        <v>153</v>
      </c>
      <c r="B14" s="18">
        <v>1</v>
      </c>
      <c r="C14" s="9">
        <v>0</v>
      </c>
      <c r="D14" t="s">
        <v>174</v>
      </c>
    </row>
    <row r="15" spans="1:9" x14ac:dyDescent="0.2">
      <c r="A15" t="s">
        <v>154</v>
      </c>
      <c r="B15" s="18">
        <v>1</v>
      </c>
      <c r="C15" s="9">
        <v>0</v>
      </c>
      <c r="D15" t="s">
        <v>174</v>
      </c>
    </row>
    <row r="16" spans="1:9" x14ac:dyDescent="0.2">
      <c r="A16" t="s">
        <v>155</v>
      </c>
      <c r="B16" s="18">
        <v>1</v>
      </c>
      <c r="C16" s="9">
        <v>0</v>
      </c>
      <c r="D16" t="s">
        <v>174</v>
      </c>
    </row>
    <row r="17" spans="1:9" x14ac:dyDescent="0.2">
      <c r="A17" t="s">
        <v>156</v>
      </c>
      <c r="B17" s="18">
        <v>1</v>
      </c>
      <c r="C17" s="9">
        <v>0</v>
      </c>
      <c r="D17" t="s">
        <v>174</v>
      </c>
    </row>
    <row r="18" spans="1:9" x14ac:dyDescent="0.2">
      <c r="A18" t="s">
        <v>157</v>
      </c>
      <c r="B18" s="18">
        <v>1</v>
      </c>
      <c r="C18" s="9">
        <v>0</v>
      </c>
      <c r="D18" t="s">
        <v>174</v>
      </c>
    </row>
    <row r="19" spans="1:9" x14ac:dyDescent="0.2">
      <c r="A19" t="s">
        <v>158</v>
      </c>
      <c r="B19" s="18">
        <v>1</v>
      </c>
      <c r="C19" s="9">
        <v>0</v>
      </c>
      <c r="D19" t="s">
        <v>174</v>
      </c>
    </row>
    <row r="20" spans="1:9" x14ac:dyDescent="0.2">
      <c r="A20" t="s">
        <v>168</v>
      </c>
      <c r="B20" s="18">
        <v>1</v>
      </c>
      <c r="C20" s="9">
        <v>0</v>
      </c>
      <c r="D20" t="s">
        <v>174</v>
      </c>
    </row>
    <row r="21" spans="1:9" x14ac:dyDescent="0.2">
      <c r="A21" t="s">
        <v>169</v>
      </c>
      <c r="B21" s="18">
        <v>1</v>
      </c>
      <c r="C21" s="9">
        <v>0</v>
      </c>
      <c r="D21" t="s">
        <v>174</v>
      </c>
    </row>
    <row r="22" spans="1:9" x14ac:dyDescent="0.2">
      <c r="A22" t="s">
        <v>170</v>
      </c>
      <c r="B22" s="18">
        <v>1</v>
      </c>
      <c r="C22" s="9">
        <v>0</v>
      </c>
      <c r="D22" t="s">
        <v>174</v>
      </c>
    </row>
    <row r="23" spans="1:9" x14ac:dyDescent="0.2">
      <c r="A23" t="s">
        <v>171</v>
      </c>
      <c r="B23" s="18">
        <v>1</v>
      </c>
      <c r="C23" s="9">
        <v>0</v>
      </c>
      <c r="D23" t="s">
        <v>174</v>
      </c>
    </row>
    <row r="24" spans="1:9" x14ac:dyDescent="0.2">
      <c r="A24" t="s">
        <v>172</v>
      </c>
      <c r="B24" s="18">
        <v>1</v>
      </c>
      <c r="C24" s="9">
        <v>0</v>
      </c>
      <c r="D24" t="s">
        <v>174</v>
      </c>
    </row>
    <row r="25" spans="1:9" x14ac:dyDescent="0.2">
      <c r="A25" t="s">
        <v>173</v>
      </c>
      <c r="B25" s="18">
        <v>1</v>
      </c>
      <c r="C25" s="9">
        <v>0</v>
      </c>
      <c r="D25" t="s">
        <v>174</v>
      </c>
    </row>
    <row r="26" spans="1:9" s="37" customFormat="1" x14ac:dyDescent="0.2">
      <c r="A26" t="s">
        <v>175</v>
      </c>
      <c r="B26" s="18">
        <v>1</v>
      </c>
      <c r="C26" s="9">
        <v>0</v>
      </c>
      <c r="D26" t="s">
        <v>176</v>
      </c>
      <c r="E26" s="18"/>
      <c r="F26" s="18"/>
      <c r="G26" s="18"/>
      <c r="H26" s="18"/>
      <c r="I26" s="18"/>
    </row>
    <row r="27" spans="1:9" s="37" customFormat="1" x14ac:dyDescent="0.2">
      <c r="A27" t="s">
        <v>181</v>
      </c>
      <c r="B27" s="18">
        <v>1</v>
      </c>
      <c r="C27" s="18">
        <v>0</v>
      </c>
      <c r="D27" t="s">
        <v>182</v>
      </c>
      <c r="E27" s="18"/>
      <c r="F27" s="18"/>
      <c r="G27" s="18"/>
      <c r="H27" s="18"/>
      <c r="I27" s="18"/>
    </row>
    <row r="28" spans="1:9" x14ac:dyDescent="0.2">
      <c r="A28" s="23" t="s">
        <v>195</v>
      </c>
      <c r="B28" s="18">
        <v>1</v>
      </c>
      <c r="C28" s="9">
        <v>0</v>
      </c>
      <c r="D28" t="s">
        <v>196</v>
      </c>
    </row>
    <row r="29" spans="1:9" x14ac:dyDescent="0.2">
      <c r="A29" t="s">
        <v>203</v>
      </c>
      <c r="B29" s="18">
        <v>1</v>
      </c>
      <c r="C29" s="9">
        <v>0</v>
      </c>
      <c r="D29" t="s">
        <v>143</v>
      </c>
    </row>
    <row r="30" spans="1:9" x14ac:dyDescent="0.2">
      <c r="A30" t="s">
        <v>204</v>
      </c>
      <c r="B30" s="18">
        <v>1</v>
      </c>
      <c r="C30" s="9">
        <v>0</v>
      </c>
      <c r="D30" t="s">
        <v>174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4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8.5" style="19" customWidth="1"/>
    <col min="2" max="2" width="13.1640625" style="18" bestFit="1" customWidth="1"/>
    <col min="3" max="3" width="13.1640625" style="18" customWidth="1"/>
    <col min="4" max="4" width="17.33203125" style="18" customWidth="1"/>
    <col min="5" max="6" width="15.83203125" style="18" customWidth="1"/>
    <col min="7" max="7" width="15.83203125" style="33" customWidth="1"/>
    <col min="8" max="8" width="19" style="18" bestFit="1" customWidth="1"/>
    <col min="9" max="9" width="17.83203125" style="18" bestFit="1" customWidth="1"/>
    <col min="10" max="16384" width="8.83203125" style="19"/>
  </cols>
  <sheetData>
    <row r="1" spans="1:9" x14ac:dyDescent="0.2">
      <c r="A1" s="29" t="s">
        <v>0</v>
      </c>
      <c r="B1" s="40" t="s">
        <v>27</v>
      </c>
      <c r="C1" s="33" t="s">
        <v>52</v>
      </c>
      <c r="D1" s="19" t="s">
        <v>7</v>
      </c>
      <c r="E1" s="19" t="s">
        <v>8</v>
      </c>
      <c r="F1" s="19" t="s">
        <v>6</v>
      </c>
      <c r="G1" s="29" t="s">
        <v>5</v>
      </c>
      <c r="H1" s="29" t="s">
        <v>2</v>
      </c>
      <c r="I1" s="29" t="s">
        <v>51</v>
      </c>
    </row>
    <row r="2" spans="1:9" x14ac:dyDescent="0.2">
      <c r="A2" s="34" t="s">
        <v>1</v>
      </c>
      <c r="B2" s="33" t="s">
        <v>54</v>
      </c>
      <c r="C2" s="33" t="s">
        <v>59</v>
      </c>
      <c r="G2" s="33" t="s">
        <v>55</v>
      </c>
    </row>
    <row r="3" spans="1:9" x14ac:dyDescent="0.2">
      <c r="A3" s="34" t="s">
        <v>2</v>
      </c>
    </row>
    <row r="4" spans="1:9" s="25" customFormat="1" ht="16" thickBot="1" x14ac:dyDescent="0.25">
      <c r="A4" s="25" t="s">
        <v>3</v>
      </c>
      <c r="B4" s="41">
        <v>0.9</v>
      </c>
      <c r="C4" s="54">
        <v>0</v>
      </c>
      <c r="D4" s="29" t="s">
        <v>50</v>
      </c>
      <c r="E4" s="29">
        <v>0</v>
      </c>
      <c r="F4" t="s">
        <v>89</v>
      </c>
      <c r="G4" s="38">
        <f>(25.3/4.6668)*Ref!B$18</f>
        <v>1.9516585240421703E-2</v>
      </c>
      <c r="H4" s="30"/>
      <c r="I4" s="30"/>
    </row>
    <row r="5" spans="1:9" x14ac:dyDescent="0.2">
      <c r="A5" t="s">
        <v>115</v>
      </c>
      <c r="B5" s="41">
        <v>0.9</v>
      </c>
      <c r="C5" s="54">
        <v>0</v>
      </c>
      <c r="D5" s="29" t="s">
        <v>50</v>
      </c>
      <c r="E5" s="29">
        <v>0</v>
      </c>
      <c r="F5" t="s">
        <v>89</v>
      </c>
      <c r="G5" s="38">
        <f>(25.3/4.6668)*Ref!B$18</f>
        <v>1.9516585240421703E-2</v>
      </c>
    </row>
    <row r="6" spans="1:9" x14ac:dyDescent="0.2">
      <c r="A6" t="s">
        <v>116</v>
      </c>
      <c r="B6" s="41">
        <v>0.9</v>
      </c>
      <c r="C6" s="54">
        <v>0</v>
      </c>
      <c r="D6" s="29" t="s">
        <v>50</v>
      </c>
      <c r="E6" s="29">
        <v>1</v>
      </c>
      <c r="F6" t="s">
        <v>89</v>
      </c>
      <c r="G6" s="38">
        <f>(25.3/4.6668)*Ref!B$18</f>
        <v>1.9516585240421703E-2</v>
      </c>
    </row>
    <row r="7" spans="1:9" x14ac:dyDescent="0.2">
      <c r="A7" t="s">
        <v>118</v>
      </c>
      <c r="B7" s="41">
        <v>0.9</v>
      </c>
      <c r="C7" s="54">
        <v>0</v>
      </c>
      <c r="D7" s="29" t="s">
        <v>50</v>
      </c>
      <c r="E7" s="29">
        <v>1</v>
      </c>
      <c r="F7" t="s">
        <v>89</v>
      </c>
      <c r="G7" s="38">
        <f>(25.3/4.6668)*Ref!B$18</f>
        <v>1.9516585240421703E-2</v>
      </c>
    </row>
    <row r="8" spans="1:9" x14ac:dyDescent="0.2">
      <c r="A8" t="s">
        <v>120</v>
      </c>
      <c r="B8" s="41">
        <v>0.9</v>
      </c>
      <c r="C8" s="54">
        <v>0</v>
      </c>
      <c r="D8" s="29" t="s">
        <v>50</v>
      </c>
      <c r="E8" s="29">
        <v>1</v>
      </c>
      <c r="F8" t="s">
        <v>89</v>
      </c>
      <c r="G8" s="38">
        <f>(25.3/4.6668)*Ref!B$18</f>
        <v>1.9516585240421703E-2</v>
      </c>
    </row>
    <row r="9" spans="1:9" x14ac:dyDescent="0.2">
      <c r="A9" t="s">
        <v>127</v>
      </c>
      <c r="B9" s="41">
        <v>0.9</v>
      </c>
      <c r="C9" s="54">
        <v>0</v>
      </c>
      <c r="D9" s="29" t="s">
        <v>50</v>
      </c>
      <c r="E9" s="29">
        <v>1</v>
      </c>
      <c r="F9" t="s">
        <v>89</v>
      </c>
      <c r="G9" s="38">
        <f>(25.3/4.6668)*Ref!B$18</f>
        <v>1.9516585240421703E-2</v>
      </c>
    </row>
    <row r="10" spans="1:9" x14ac:dyDescent="0.2">
      <c r="A10" t="s">
        <v>128</v>
      </c>
      <c r="B10" s="41">
        <v>0.9</v>
      </c>
      <c r="C10" s="54">
        <v>0</v>
      </c>
      <c r="D10" s="29" t="s">
        <v>50</v>
      </c>
      <c r="E10" s="29">
        <v>1</v>
      </c>
      <c r="F10" t="s">
        <v>89</v>
      </c>
      <c r="G10" s="38">
        <f>(25.3/4.6668)*Ref!B$18</f>
        <v>1.9516585240421703E-2</v>
      </c>
    </row>
    <row r="11" spans="1:9" x14ac:dyDescent="0.2">
      <c r="A11" t="s">
        <v>152</v>
      </c>
      <c r="B11" s="41">
        <v>0.9</v>
      </c>
      <c r="C11" s="54">
        <v>0</v>
      </c>
      <c r="D11" s="29" t="s">
        <v>50</v>
      </c>
      <c r="E11" s="29">
        <v>1</v>
      </c>
      <c r="F11" t="s">
        <v>89</v>
      </c>
      <c r="G11" s="38">
        <f>(25.3/4.6668)*Ref!B$18</f>
        <v>1.9516585240421703E-2</v>
      </c>
    </row>
    <row r="12" spans="1:9" x14ac:dyDescent="0.2">
      <c r="A12" t="s">
        <v>131</v>
      </c>
      <c r="B12" s="41">
        <v>0.9</v>
      </c>
      <c r="C12" s="54">
        <v>0</v>
      </c>
      <c r="D12" s="29" t="s">
        <v>50</v>
      </c>
      <c r="E12" s="29">
        <v>1</v>
      </c>
      <c r="F12" t="s">
        <v>89</v>
      </c>
      <c r="G12" s="38">
        <f>(25.3/4.6668)*Ref!B$18</f>
        <v>1.9516585240421703E-2</v>
      </c>
    </row>
    <row r="13" spans="1:9" x14ac:dyDescent="0.2">
      <c r="A13" t="s">
        <v>132</v>
      </c>
      <c r="B13" s="41">
        <v>0.9</v>
      </c>
      <c r="C13" s="54">
        <v>0</v>
      </c>
      <c r="D13" s="29" t="s">
        <v>50</v>
      </c>
      <c r="E13" s="29">
        <v>1</v>
      </c>
      <c r="F13" t="s">
        <v>89</v>
      </c>
      <c r="G13" s="38">
        <f>(25.3/4.6668)*Ref!B$18</f>
        <v>1.9516585240421703E-2</v>
      </c>
    </row>
    <row r="14" spans="1:9" x14ac:dyDescent="0.2">
      <c r="A14" t="s">
        <v>133</v>
      </c>
      <c r="B14" s="41">
        <v>0.9</v>
      </c>
      <c r="C14" s="54">
        <v>0</v>
      </c>
      <c r="D14" s="29" t="s">
        <v>50</v>
      </c>
      <c r="E14" s="29">
        <v>1</v>
      </c>
      <c r="F14" t="s">
        <v>89</v>
      </c>
      <c r="G14" s="38">
        <f>(25.3/4.6668)*Ref!B$18</f>
        <v>1.9516585240421703E-2</v>
      </c>
    </row>
    <row r="15" spans="1:9" x14ac:dyDescent="0.2">
      <c r="A15" t="s">
        <v>151</v>
      </c>
      <c r="B15" s="41">
        <v>0.9</v>
      </c>
      <c r="C15" s="54">
        <v>0</v>
      </c>
      <c r="D15" s="29" t="s">
        <v>50</v>
      </c>
      <c r="E15" s="29">
        <v>1</v>
      </c>
      <c r="F15" t="s">
        <v>89</v>
      </c>
      <c r="G15" s="38">
        <f>(25.3/4.6668)*Ref!B$18</f>
        <v>1.9516585240421703E-2</v>
      </c>
    </row>
    <row r="16" spans="1:9" x14ac:dyDescent="0.2">
      <c r="A16" s="19" t="s">
        <v>135</v>
      </c>
      <c r="B16" s="41">
        <v>0.9</v>
      </c>
      <c r="C16" s="54">
        <v>0</v>
      </c>
      <c r="D16" s="29" t="s">
        <v>50</v>
      </c>
      <c r="E16" s="29">
        <v>1</v>
      </c>
      <c r="F16" t="s">
        <v>89</v>
      </c>
      <c r="G16" s="38">
        <f>(25.3/4.6668)*Ref!B$18</f>
        <v>1.9516585240421703E-2</v>
      </c>
    </row>
    <row r="17" spans="1:7" x14ac:dyDescent="0.2">
      <c r="A17" s="23" t="s">
        <v>139</v>
      </c>
      <c r="B17" s="41">
        <v>0.9</v>
      </c>
      <c r="C17" s="54">
        <v>0</v>
      </c>
      <c r="D17" s="29" t="s">
        <v>50</v>
      </c>
      <c r="E17" s="29">
        <v>1</v>
      </c>
      <c r="F17" t="s">
        <v>89</v>
      </c>
      <c r="G17" s="38">
        <f>(25.3/4.6668)*Ref!B$18</f>
        <v>1.9516585240421703E-2</v>
      </c>
    </row>
    <row r="18" spans="1:7" x14ac:dyDescent="0.2">
      <c r="A18" s="19" t="s">
        <v>130</v>
      </c>
      <c r="B18" s="41">
        <v>0.9</v>
      </c>
      <c r="C18" s="54">
        <v>0</v>
      </c>
      <c r="D18" s="29" t="s">
        <v>50</v>
      </c>
      <c r="E18" s="29">
        <v>1</v>
      </c>
      <c r="F18" t="s">
        <v>89</v>
      </c>
      <c r="G18" s="38">
        <f>(25.3/4.6668)*Ref!B$18</f>
        <v>1.9516585240421703E-2</v>
      </c>
    </row>
    <row r="19" spans="1:7" x14ac:dyDescent="0.2">
      <c r="A19" s="19" t="s">
        <v>137</v>
      </c>
      <c r="B19" s="41">
        <v>0.9</v>
      </c>
      <c r="C19" s="54">
        <v>0</v>
      </c>
      <c r="D19" s="29" t="s">
        <v>50</v>
      </c>
      <c r="E19" s="29">
        <v>1</v>
      </c>
      <c r="F19" t="s">
        <v>89</v>
      </c>
      <c r="G19" s="38">
        <f>(25.3/4.6668)*Ref!B$18</f>
        <v>1.9516585240421703E-2</v>
      </c>
    </row>
    <row r="20" spans="1:7" x14ac:dyDescent="0.2">
      <c r="A20" s="23" t="s">
        <v>141</v>
      </c>
      <c r="B20" s="41">
        <v>0.9</v>
      </c>
      <c r="C20" s="54">
        <v>0</v>
      </c>
      <c r="D20" s="29" t="s">
        <v>50</v>
      </c>
      <c r="E20" s="29">
        <v>1</v>
      </c>
      <c r="F20" t="s">
        <v>89</v>
      </c>
      <c r="G20" s="38">
        <f>(25.3/4.6668)*Ref!B$18</f>
        <v>1.9516585240421703E-2</v>
      </c>
    </row>
    <row r="21" spans="1:7" x14ac:dyDescent="0.2">
      <c r="A21" t="s">
        <v>154</v>
      </c>
      <c r="B21" s="41">
        <v>0.9</v>
      </c>
      <c r="C21" s="54">
        <v>0</v>
      </c>
      <c r="D21" s="29" t="s">
        <v>50</v>
      </c>
      <c r="E21" s="29">
        <v>1</v>
      </c>
      <c r="F21" t="s">
        <v>89</v>
      </c>
      <c r="G21" s="38">
        <f>(25.3/4.6668)*Ref!B$18</f>
        <v>1.9516585240421703E-2</v>
      </c>
    </row>
    <row r="22" spans="1:7" x14ac:dyDescent="0.2">
      <c r="A22" t="s">
        <v>156</v>
      </c>
      <c r="B22" s="41">
        <v>0.9</v>
      </c>
      <c r="C22" s="54">
        <v>0</v>
      </c>
      <c r="D22" s="29" t="s">
        <v>50</v>
      </c>
      <c r="E22" s="29">
        <v>1</v>
      </c>
      <c r="F22" t="s">
        <v>89</v>
      </c>
      <c r="G22" s="38">
        <f>(25.3/4.6668)*Ref!B$18</f>
        <v>1.9516585240421703E-2</v>
      </c>
    </row>
    <row r="23" spans="1:7" x14ac:dyDescent="0.2">
      <c r="A23" t="s">
        <v>158</v>
      </c>
      <c r="B23" s="41">
        <v>0.9</v>
      </c>
      <c r="C23" s="54">
        <v>0</v>
      </c>
      <c r="D23" s="29" t="s">
        <v>50</v>
      </c>
      <c r="E23" s="29">
        <v>1</v>
      </c>
      <c r="F23" t="s">
        <v>89</v>
      </c>
      <c r="G23" s="38">
        <f>(25.3/4.6668)*Ref!B$18</f>
        <v>1.9516585240421703E-2</v>
      </c>
    </row>
    <row r="24" spans="1:7" x14ac:dyDescent="0.2">
      <c r="A24" t="s">
        <v>170</v>
      </c>
      <c r="B24" s="41">
        <v>0.9</v>
      </c>
      <c r="C24" s="54">
        <v>0</v>
      </c>
      <c r="D24" s="29" t="s">
        <v>50</v>
      </c>
      <c r="E24" s="29">
        <v>1</v>
      </c>
      <c r="F24" t="s">
        <v>89</v>
      </c>
      <c r="G24" s="38">
        <f>(25.3/4.6668)*Ref!B$18</f>
        <v>1.9516585240421703E-2</v>
      </c>
    </row>
    <row r="25" spans="1:7" x14ac:dyDescent="0.2">
      <c r="A25" t="s">
        <v>171</v>
      </c>
      <c r="B25" s="41">
        <v>0.9</v>
      </c>
      <c r="C25" s="54">
        <v>0</v>
      </c>
      <c r="D25" s="29" t="s">
        <v>50</v>
      </c>
      <c r="E25" s="29">
        <v>1</v>
      </c>
      <c r="F25" t="s">
        <v>89</v>
      </c>
      <c r="G25" s="38">
        <f>(25.3/4.6668)*Ref!B$18</f>
        <v>1.9516585240421703E-2</v>
      </c>
    </row>
    <row r="26" spans="1:7" x14ac:dyDescent="0.2">
      <c r="A26" t="s">
        <v>173</v>
      </c>
      <c r="B26" s="41">
        <v>0.9</v>
      </c>
      <c r="C26" s="54">
        <v>0</v>
      </c>
      <c r="D26" s="29" t="s">
        <v>50</v>
      </c>
      <c r="E26" s="29">
        <v>1</v>
      </c>
      <c r="F26" t="s">
        <v>89</v>
      </c>
      <c r="G26" s="38">
        <f>(25.3/4.6668)*Ref!B$18</f>
        <v>1.9516585240421703E-2</v>
      </c>
    </row>
    <row r="27" spans="1:7" x14ac:dyDescent="0.2">
      <c r="A27" s="23" t="s">
        <v>195</v>
      </c>
      <c r="B27" s="41">
        <v>0.9</v>
      </c>
      <c r="C27" s="54">
        <v>0</v>
      </c>
      <c r="D27" s="29" t="s">
        <v>50</v>
      </c>
      <c r="E27" s="29">
        <v>0</v>
      </c>
      <c r="F27" t="s">
        <v>202</v>
      </c>
      <c r="G27" s="38">
        <f>(25.3/4.6668)*Ref!B$18</f>
        <v>1.9516585240421703E-2</v>
      </c>
    </row>
    <row r="28" spans="1:7" x14ac:dyDescent="0.2">
      <c r="A28" t="s">
        <v>205</v>
      </c>
      <c r="B28" s="41">
        <v>0.9</v>
      </c>
      <c r="C28" s="54">
        <v>0</v>
      </c>
      <c r="D28" s="29" t="s">
        <v>50</v>
      </c>
      <c r="E28" s="29">
        <v>0</v>
      </c>
      <c r="F28" t="s">
        <v>202</v>
      </c>
      <c r="G28" s="38">
        <f>(25.3/4.6668)*Ref!B$18</f>
        <v>1.9516585240421703E-2</v>
      </c>
    </row>
    <row r="29" spans="1:7" x14ac:dyDescent="0.2">
      <c r="A29" t="s">
        <v>194</v>
      </c>
      <c r="B29" s="41">
        <v>0.9</v>
      </c>
      <c r="C29" s="54">
        <v>0</v>
      </c>
      <c r="D29" s="29" t="s">
        <v>50</v>
      </c>
      <c r="E29" s="29">
        <v>0</v>
      </c>
      <c r="F29" t="s">
        <v>202</v>
      </c>
      <c r="G29" s="38">
        <f>(25.3/4.6668)*Ref!B$18</f>
        <v>1.9516585240421703E-2</v>
      </c>
    </row>
    <row r="30" spans="1:7" x14ac:dyDescent="0.2">
      <c r="A30" t="s">
        <v>206</v>
      </c>
      <c r="B30" s="41">
        <v>0.9</v>
      </c>
      <c r="C30" s="54">
        <v>0</v>
      </c>
      <c r="D30" s="29" t="s">
        <v>50</v>
      </c>
      <c r="E30" s="29">
        <v>1</v>
      </c>
      <c r="F30" t="s">
        <v>202</v>
      </c>
      <c r="G30" s="38">
        <f>(25.3/4.6668)*Ref!B$18</f>
        <v>1.9516585240421703E-2</v>
      </c>
    </row>
    <row r="31" spans="1:7" x14ac:dyDescent="0.2">
      <c r="A31" t="s">
        <v>198</v>
      </c>
      <c r="B31" s="41">
        <v>0.9</v>
      </c>
      <c r="C31" s="54">
        <v>0</v>
      </c>
      <c r="D31" s="29" t="s">
        <v>50</v>
      </c>
      <c r="E31" s="29">
        <v>0</v>
      </c>
      <c r="F31" t="s">
        <v>202</v>
      </c>
      <c r="G31" s="38">
        <f>(25.3/4.6668)*Ref!B$18</f>
        <v>1.9516585240421703E-2</v>
      </c>
    </row>
    <row r="32" spans="1:7" x14ac:dyDescent="0.2">
      <c r="A32" t="s">
        <v>199</v>
      </c>
      <c r="B32" s="41">
        <v>0.9</v>
      </c>
      <c r="C32" s="54">
        <v>0</v>
      </c>
      <c r="D32" s="29" t="s">
        <v>50</v>
      </c>
      <c r="E32" s="29">
        <v>1</v>
      </c>
      <c r="F32" t="s">
        <v>202</v>
      </c>
      <c r="G32" s="38">
        <f>(25.3/4.6668)*Ref!B$18</f>
        <v>1.9516585240421703E-2</v>
      </c>
    </row>
    <row r="33" spans="1:7" x14ac:dyDescent="0.2">
      <c r="A33" t="s">
        <v>203</v>
      </c>
      <c r="B33" s="41">
        <v>0.9</v>
      </c>
      <c r="C33" s="54">
        <v>0</v>
      </c>
      <c r="D33" s="29" t="s">
        <v>50</v>
      </c>
      <c r="E33" s="29">
        <v>0</v>
      </c>
      <c r="F33" t="s">
        <v>202</v>
      </c>
      <c r="G33" s="38">
        <f>(25.3/4.6668)*Ref!B$18</f>
        <v>1.9516585240421703E-2</v>
      </c>
    </row>
    <row r="34" spans="1:7" x14ac:dyDescent="0.2">
      <c r="A34" t="s">
        <v>204</v>
      </c>
      <c r="B34" s="41">
        <v>0.9</v>
      </c>
      <c r="C34" s="54">
        <v>0</v>
      </c>
      <c r="D34" s="29" t="s">
        <v>50</v>
      </c>
      <c r="E34" s="29">
        <v>0</v>
      </c>
      <c r="F34" t="s">
        <v>202</v>
      </c>
      <c r="G34" s="38">
        <f>(25.3/4.6668)*Ref!B$18</f>
        <v>1.9516585240421703E-2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C8D0-FA27-9E4D-81B1-A62D5381CDA0}">
  <dimension ref="A1:J33"/>
  <sheetViews>
    <sheetView topLeftCell="A2" workbookViewId="0">
      <selection activeCell="G40" sqref="G40"/>
    </sheetView>
  </sheetViews>
  <sheetFormatPr baseColWidth="10" defaultColWidth="8.83203125" defaultRowHeight="15" x14ac:dyDescent="0.2"/>
  <cols>
    <col min="1" max="1" width="18.5" style="19" customWidth="1"/>
    <col min="2" max="2" width="12.33203125" style="19" customWidth="1"/>
    <col min="3" max="3" width="13.1640625" style="18" bestFit="1" customWidth="1"/>
    <col min="4" max="4" width="13.1640625" style="18" customWidth="1"/>
    <col min="5" max="5" width="17.33203125" style="18" customWidth="1"/>
    <col min="6" max="7" width="15.83203125" style="18" customWidth="1"/>
    <col min="8" max="8" width="15.83203125" style="33" customWidth="1"/>
    <col min="9" max="9" width="19" style="18" bestFit="1" customWidth="1"/>
    <col min="10" max="10" width="17.83203125" style="18" bestFit="1" customWidth="1"/>
    <col min="11" max="16384" width="8.83203125" style="19"/>
  </cols>
  <sheetData>
    <row r="1" spans="1:10" x14ac:dyDescent="0.2">
      <c r="A1" s="29" t="s">
        <v>0</v>
      </c>
      <c r="B1" s="29" t="s">
        <v>80</v>
      </c>
      <c r="C1" s="40" t="s">
        <v>27</v>
      </c>
      <c r="D1" s="33" t="s">
        <v>52</v>
      </c>
      <c r="E1" s="19" t="s">
        <v>7</v>
      </c>
      <c r="F1" s="19" t="s">
        <v>8</v>
      </c>
      <c r="G1" s="19" t="s">
        <v>6</v>
      </c>
      <c r="H1" s="29" t="s">
        <v>5</v>
      </c>
      <c r="I1" s="29" t="s">
        <v>2</v>
      </c>
      <c r="J1" s="29" t="s">
        <v>51</v>
      </c>
    </row>
    <row r="2" spans="1:10" x14ac:dyDescent="0.2">
      <c r="A2" s="34" t="s">
        <v>1</v>
      </c>
      <c r="B2" s="34"/>
      <c r="C2" s="33" t="s">
        <v>54</v>
      </c>
      <c r="D2" s="33" t="s">
        <v>59</v>
      </c>
      <c r="H2" s="33" t="s">
        <v>55</v>
      </c>
    </row>
    <row r="3" spans="1:10" x14ac:dyDescent="0.2">
      <c r="A3" s="34" t="s">
        <v>2</v>
      </c>
      <c r="B3" s="34"/>
    </row>
    <row r="4" spans="1:10" s="25" customFormat="1" ht="16" thickBot="1" x14ac:dyDescent="0.25">
      <c r="A4" s="25" t="s">
        <v>3</v>
      </c>
      <c r="C4" s="41">
        <v>0.9</v>
      </c>
      <c r="D4" s="54">
        <v>0</v>
      </c>
      <c r="E4" s="29" t="s">
        <v>50</v>
      </c>
      <c r="F4" s="29">
        <v>0</v>
      </c>
      <c r="G4" t="s">
        <v>89</v>
      </c>
      <c r="H4" s="38">
        <f>(25.3/4.6668)*Ref!B$18</f>
        <v>1.9516585240421703E-2</v>
      </c>
      <c r="I4" s="30"/>
      <c r="J4" s="30"/>
    </row>
    <row r="5" spans="1:10" x14ac:dyDescent="0.2">
      <c r="A5" t="s">
        <v>115</v>
      </c>
      <c r="B5" s="19" t="s">
        <v>81</v>
      </c>
      <c r="C5" s="9">
        <f t="shared" ref="C5:H15" si="0">C$4</f>
        <v>0.9</v>
      </c>
      <c r="D5" s="9">
        <f t="shared" ref="D5:H14" si="1">D$4</f>
        <v>0</v>
      </c>
      <c r="E5" s="9" t="str">
        <f t="shared" si="1"/>
        <v>natural gas - IPCC</v>
      </c>
      <c r="F5" s="9">
        <f t="shared" si="1"/>
        <v>0</v>
      </c>
      <c r="G5" s="9" t="str">
        <f t="shared" si="1"/>
        <v>dry wood chips (EU no swiss)</v>
      </c>
      <c r="H5" s="9">
        <f t="shared" si="1"/>
        <v>1.9516585240421703E-2</v>
      </c>
    </row>
    <row r="6" spans="1:10" x14ac:dyDescent="0.2">
      <c r="A6" t="s">
        <v>116</v>
      </c>
      <c r="B6" s="19" t="s">
        <v>81</v>
      </c>
      <c r="C6" s="9">
        <f t="shared" si="0"/>
        <v>0.9</v>
      </c>
      <c r="D6" s="9">
        <f t="shared" si="1"/>
        <v>0</v>
      </c>
      <c r="E6" s="9" t="str">
        <f t="shared" si="1"/>
        <v>natural gas - IPCC</v>
      </c>
      <c r="F6" s="9">
        <v>1</v>
      </c>
      <c r="G6" s="9" t="str">
        <f t="shared" si="1"/>
        <v>dry wood chips (EU no swiss)</v>
      </c>
      <c r="H6" s="9">
        <f t="shared" si="1"/>
        <v>1.9516585240421703E-2</v>
      </c>
    </row>
    <row r="7" spans="1:10" x14ac:dyDescent="0.2">
      <c r="A7" t="s">
        <v>118</v>
      </c>
      <c r="B7" s="19" t="s">
        <v>81</v>
      </c>
      <c r="C7" s="9">
        <f t="shared" si="0"/>
        <v>0.9</v>
      </c>
      <c r="D7" s="9">
        <f t="shared" si="1"/>
        <v>0</v>
      </c>
      <c r="E7" s="9" t="str">
        <f t="shared" si="1"/>
        <v>natural gas - IPCC</v>
      </c>
      <c r="F7" s="9">
        <v>1</v>
      </c>
      <c r="G7" s="9" t="str">
        <f t="shared" si="1"/>
        <v>dry wood chips (EU no swiss)</v>
      </c>
      <c r="H7" s="9">
        <f t="shared" si="1"/>
        <v>1.9516585240421703E-2</v>
      </c>
    </row>
    <row r="8" spans="1:10" x14ac:dyDescent="0.2">
      <c r="A8" t="s">
        <v>120</v>
      </c>
      <c r="B8" s="19" t="s">
        <v>81</v>
      </c>
      <c r="C8" s="9">
        <f t="shared" si="0"/>
        <v>0.9</v>
      </c>
      <c r="D8" s="9">
        <f t="shared" si="1"/>
        <v>0</v>
      </c>
      <c r="E8" s="9" t="str">
        <f t="shared" si="1"/>
        <v>natural gas - IPCC</v>
      </c>
      <c r="F8" s="9">
        <v>1</v>
      </c>
      <c r="G8" s="9" t="str">
        <f t="shared" si="1"/>
        <v>dry wood chips (EU no swiss)</v>
      </c>
      <c r="H8" s="9">
        <f t="shared" si="1"/>
        <v>1.9516585240421703E-2</v>
      </c>
    </row>
    <row r="9" spans="1:10" x14ac:dyDescent="0.2">
      <c r="A9" t="s">
        <v>127</v>
      </c>
      <c r="B9" s="19" t="s">
        <v>81</v>
      </c>
      <c r="C9" s="9">
        <f t="shared" si="0"/>
        <v>0.9</v>
      </c>
      <c r="D9" s="9">
        <f t="shared" si="1"/>
        <v>0</v>
      </c>
      <c r="E9" s="9" t="str">
        <f t="shared" si="1"/>
        <v>natural gas - IPCC</v>
      </c>
      <c r="F9" s="9">
        <v>1</v>
      </c>
      <c r="G9" s="9" t="str">
        <f t="shared" si="1"/>
        <v>dry wood chips (EU no swiss)</v>
      </c>
      <c r="H9" s="9">
        <f t="shared" si="1"/>
        <v>1.9516585240421703E-2</v>
      </c>
    </row>
    <row r="10" spans="1:10" x14ac:dyDescent="0.2">
      <c r="A10" t="s">
        <v>128</v>
      </c>
      <c r="B10" s="19" t="s">
        <v>81</v>
      </c>
      <c r="C10" s="9">
        <f t="shared" si="0"/>
        <v>0.9</v>
      </c>
      <c r="D10" s="9">
        <f t="shared" si="1"/>
        <v>0</v>
      </c>
      <c r="E10" s="9" t="str">
        <f t="shared" si="1"/>
        <v>natural gas - IPCC</v>
      </c>
      <c r="F10" s="9">
        <v>1</v>
      </c>
      <c r="G10" s="9" t="str">
        <f t="shared" si="1"/>
        <v>dry wood chips (EU no swiss)</v>
      </c>
      <c r="H10" s="9">
        <f t="shared" si="1"/>
        <v>1.9516585240421703E-2</v>
      </c>
    </row>
    <row r="11" spans="1:10" x14ac:dyDescent="0.2">
      <c r="A11" t="s">
        <v>131</v>
      </c>
      <c r="B11" s="19" t="s">
        <v>81</v>
      </c>
      <c r="C11" s="9">
        <f t="shared" si="0"/>
        <v>0.9</v>
      </c>
      <c r="D11" s="9">
        <f t="shared" si="1"/>
        <v>0</v>
      </c>
      <c r="E11" s="9" t="str">
        <f t="shared" si="1"/>
        <v>natural gas - IPCC</v>
      </c>
      <c r="F11" s="9">
        <v>1</v>
      </c>
      <c r="G11" s="9" t="str">
        <f t="shared" si="1"/>
        <v>dry wood chips (EU no swiss)</v>
      </c>
      <c r="H11" s="9">
        <f t="shared" si="1"/>
        <v>1.9516585240421703E-2</v>
      </c>
    </row>
    <row r="12" spans="1:10" x14ac:dyDescent="0.2">
      <c r="A12" t="s">
        <v>132</v>
      </c>
      <c r="B12" s="19" t="s">
        <v>81</v>
      </c>
      <c r="C12" s="9">
        <f t="shared" si="0"/>
        <v>0.9</v>
      </c>
      <c r="D12" s="9">
        <f t="shared" si="1"/>
        <v>0</v>
      </c>
      <c r="E12" s="9" t="str">
        <f t="shared" si="1"/>
        <v>natural gas - IPCC</v>
      </c>
      <c r="F12" s="9">
        <v>1</v>
      </c>
      <c r="G12" s="9" t="str">
        <f t="shared" si="1"/>
        <v>dry wood chips (EU no swiss)</v>
      </c>
      <c r="H12" s="9">
        <f t="shared" si="1"/>
        <v>1.9516585240421703E-2</v>
      </c>
    </row>
    <row r="13" spans="1:10" x14ac:dyDescent="0.2">
      <c r="A13" t="s">
        <v>133</v>
      </c>
      <c r="B13" s="19" t="s">
        <v>81</v>
      </c>
      <c r="C13" s="9">
        <f t="shared" si="0"/>
        <v>0.9</v>
      </c>
      <c r="D13" s="9">
        <f t="shared" si="1"/>
        <v>0</v>
      </c>
      <c r="E13" s="9" t="str">
        <f t="shared" si="1"/>
        <v>natural gas - IPCC</v>
      </c>
      <c r="F13" s="9">
        <v>1</v>
      </c>
      <c r="G13" s="9" t="str">
        <f t="shared" si="1"/>
        <v>dry wood chips (EU no swiss)</v>
      </c>
      <c r="H13" s="9">
        <f t="shared" si="1"/>
        <v>1.9516585240421703E-2</v>
      </c>
    </row>
    <row r="14" spans="1:10" x14ac:dyDescent="0.2">
      <c r="A14" t="s">
        <v>151</v>
      </c>
      <c r="B14" s="19" t="s">
        <v>81</v>
      </c>
      <c r="C14" s="9">
        <f t="shared" si="0"/>
        <v>0.9</v>
      </c>
      <c r="D14" s="9">
        <f t="shared" si="1"/>
        <v>0</v>
      </c>
      <c r="E14" s="9" t="str">
        <f t="shared" si="1"/>
        <v>natural gas - IPCC</v>
      </c>
      <c r="F14" s="9">
        <v>1</v>
      </c>
      <c r="G14" s="9" t="str">
        <f t="shared" si="1"/>
        <v>dry wood chips (EU no swiss)</v>
      </c>
      <c r="H14" s="9">
        <f t="shared" si="1"/>
        <v>1.9516585240421703E-2</v>
      </c>
    </row>
    <row r="15" spans="1:10" x14ac:dyDescent="0.2">
      <c r="A15" s="19" t="s">
        <v>135</v>
      </c>
      <c r="B15" s="19" t="s">
        <v>81</v>
      </c>
      <c r="C15" s="9">
        <f t="shared" si="0"/>
        <v>0.9</v>
      </c>
      <c r="D15" s="9">
        <f t="shared" si="0"/>
        <v>0</v>
      </c>
      <c r="E15" s="9" t="str">
        <f t="shared" si="0"/>
        <v>natural gas - IPCC</v>
      </c>
      <c r="F15" s="9">
        <v>1</v>
      </c>
      <c r="G15" s="9" t="str">
        <f t="shared" si="0"/>
        <v>dry wood chips (EU no swiss)</v>
      </c>
      <c r="H15" s="9">
        <f t="shared" si="0"/>
        <v>1.9516585240421703E-2</v>
      </c>
    </row>
    <row r="16" spans="1:10" x14ac:dyDescent="0.2">
      <c r="A16" s="23" t="s">
        <v>139</v>
      </c>
      <c r="B16" s="19" t="s">
        <v>81</v>
      </c>
      <c r="C16" s="9">
        <f t="shared" ref="C16:H29" si="2">C$4</f>
        <v>0.9</v>
      </c>
      <c r="D16" s="9">
        <f t="shared" si="2"/>
        <v>0</v>
      </c>
      <c r="E16" s="9" t="str">
        <f t="shared" si="2"/>
        <v>natural gas - IPCC</v>
      </c>
      <c r="F16" s="9">
        <v>1</v>
      </c>
      <c r="G16" s="9" t="str">
        <f t="shared" si="2"/>
        <v>dry wood chips (EU no swiss)</v>
      </c>
      <c r="H16" s="9">
        <f t="shared" si="2"/>
        <v>1.9516585240421703E-2</v>
      </c>
    </row>
    <row r="17" spans="1:8" x14ac:dyDescent="0.2">
      <c r="A17" s="19" t="s">
        <v>130</v>
      </c>
      <c r="B17" s="19" t="s">
        <v>81</v>
      </c>
      <c r="C17" s="9">
        <f t="shared" si="2"/>
        <v>0.9</v>
      </c>
      <c r="D17" s="9">
        <f t="shared" si="2"/>
        <v>0</v>
      </c>
      <c r="E17" s="9" t="str">
        <f t="shared" si="2"/>
        <v>natural gas - IPCC</v>
      </c>
      <c r="F17" s="9">
        <v>1</v>
      </c>
      <c r="G17" s="9" t="str">
        <f t="shared" si="2"/>
        <v>dry wood chips (EU no swiss)</v>
      </c>
      <c r="H17" s="9">
        <f t="shared" si="2"/>
        <v>1.9516585240421703E-2</v>
      </c>
    </row>
    <row r="18" spans="1:8" ht="14" customHeight="1" x14ac:dyDescent="0.2">
      <c r="A18" s="19" t="s">
        <v>137</v>
      </c>
      <c r="B18" s="19" t="s">
        <v>81</v>
      </c>
      <c r="C18" s="9">
        <f t="shared" si="2"/>
        <v>0.9</v>
      </c>
      <c r="D18" s="9">
        <f t="shared" si="2"/>
        <v>0</v>
      </c>
      <c r="E18" s="9" t="str">
        <f t="shared" si="2"/>
        <v>natural gas - IPCC</v>
      </c>
      <c r="F18" s="9">
        <v>1</v>
      </c>
      <c r="G18" s="9" t="str">
        <f t="shared" si="2"/>
        <v>dry wood chips (EU no swiss)</v>
      </c>
      <c r="H18" s="9">
        <f t="shared" si="2"/>
        <v>1.9516585240421703E-2</v>
      </c>
    </row>
    <row r="19" spans="1:8" x14ac:dyDescent="0.2">
      <c r="A19" s="23" t="s">
        <v>141</v>
      </c>
      <c r="B19" s="19" t="s">
        <v>81</v>
      </c>
      <c r="C19" s="9">
        <f t="shared" si="2"/>
        <v>0.9</v>
      </c>
      <c r="D19" s="9">
        <f t="shared" si="2"/>
        <v>0</v>
      </c>
      <c r="E19" s="9" t="str">
        <f t="shared" si="2"/>
        <v>natural gas - IPCC</v>
      </c>
      <c r="F19" s="9">
        <v>1</v>
      </c>
      <c r="G19" s="9" t="str">
        <f t="shared" si="2"/>
        <v>dry wood chips (EU no swiss)</v>
      </c>
      <c r="H19" s="9">
        <f t="shared" si="2"/>
        <v>1.9516585240421703E-2</v>
      </c>
    </row>
    <row r="20" spans="1:8" x14ac:dyDescent="0.2">
      <c r="A20" t="s">
        <v>154</v>
      </c>
      <c r="B20" s="19" t="s">
        <v>81</v>
      </c>
      <c r="C20" s="9">
        <f t="shared" si="2"/>
        <v>0.9</v>
      </c>
      <c r="D20" s="9">
        <f t="shared" si="2"/>
        <v>0</v>
      </c>
      <c r="E20" s="9" t="str">
        <f t="shared" si="2"/>
        <v>natural gas - IPCC</v>
      </c>
      <c r="F20" s="9">
        <v>1</v>
      </c>
      <c r="G20" s="9" t="str">
        <f t="shared" si="2"/>
        <v>dry wood chips (EU no swiss)</v>
      </c>
      <c r="H20" s="9">
        <f t="shared" si="2"/>
        <v>1.9516585240421703E-2</v>
      </c>
    </row>
    <row r="21" spans="1:8" x14ac:dyDescent="0.2">
      <c r="A21" t="s">
        <v>156</v>
      </c>
      <c r="B21" s="19" t="s">
        <v>81</v>
      </c>
      <c r="C21" s="9">
        <f t="shared" si="2"/>
        <v>0.9</v>
      </c>
      <c r="D21" s="9">
        <f t="shared" si="2"/>
        <v>0</v>
      </c>
      <c r="E21" s="9" t="str">
        <f t="shared" si="2"/>
        <v>natural gas - IPCC</v>
      </c>
      <c r="F21" s="9">
        <v>1</v>
      </c>
      <c r="G21" s="9" t="str">
        <f t="shared" si="2"/>
        <v>dry wood chips (EU no swiss)</v>
      </c>
      <c r="H21" s="9">
        <f t="shared" si="2"/>
        <v>1.9516585240421703E-2</v>
      </c>
    </row>
    <row r="22" spans="1:8" x14ac:dyDescent="0.2">
      <c r="A22" t="s">
        <v>158</v>
      </c>
      <c r="B22" s="19" t="s">
        <v>81</v>
      </c>
      <c r="C22" s="9">
        <f t="shared" si="2"/>
        <v>0.9</v>
      </c>
      <c r="D22" s="9">
        <f t="shared" si="2"/>
        <v>0</v>
      </c>
      <c r="E22" s="9" t="str">
        <f t="shared" si="2"/>
        <v>natural gas - IPCC</v>
      </c>
      <c r="F22" s="9">
        <v>1</v>
      </c>
      <c r="G22" s="9" t="str">
        <f t="shared" si="2"/>
        <v>dry wood chips (EU no swiss)</v>
      </c>
      <c r="H22" s="9">
        <f t="shared" si="2"/>
        <v>1.9516585240421703E-2</v>
      </c>
    </row>
    <row r="23" spans="1:8" x14ac:dyDescent="0.2">
      <c r="A23" t="s">
        <v>170</v>
      </c>
      <c r="B23" s="19" t="s">
        <v>81</v>
      </c>
      <c r="C23" s="9">
        <f t="shared" si="2"/>
        <v>0.9</v>
      </c>
      <c r="D23" s="9">
        <f t="shared" si="2"/>
        <v>0</v>
      </c>
      <c r="E23" s="9" t="str">
        <f t="shared" si="2"/>
        <v>natural gas - IPCC</v>
      </c>
      <c r="F23" s="9">
        <v>1</v>
      </c>
      <c r="G23" s="9" t="str">
        <f t="shared" si="2"/>
        <v>dry wood chips (EU no swiss)</v>
      </c>
      <c r="H23" s="9">
        <f t="shared" si="2"/>
        <v>1.9516585240421703E-2</v>
      </c>
    </row>
    <row r="24" spans="1:8" x14ac:dyDescent="0.2">
      <c r="A24" t="s">
        <v>171</v>
      </c>
      <c r="B24" s="19" t="s">
        <v>81</v>
      </c>
      <c r="C24" s="9">
        <f t="shared" si="2"/>
        <v>0.9</v>
      </c>
      <c r="D24" s="9">
        <f t="shared" si="2"/>
        <v>0</v>
      </c>
      <c r="E24" s="9" t="str">
        <f t="shared" si="2"/>
        <v>natural gas - IPCC</v>
      </c>
      <c r="F24" s="9">
        <v>1</v>
      </c>
      <c r="G24" s="9" t="str">
        <f t="shared" si="2"/>
        <v>dry wood chips (EU no swiss)</v>
      </c>
      <c r="H24" s="9">
        <f t="shared" si="2"/>
        <v>1.9516585240421703E-2</v>
      </c>
    </row>
    <row r="25" spans="1:8" x14ac:dyDescent="0.2">
      <c r="A25" s="19" t="s">
        <v>181</v>
      </c>
      <c r="B25" s="19" t="s">
        <v>81</v>
      </c>
      <c r="C25" s="9">
        <f t="shared" si="2"/>
        <v>0.9</v>
      </c>
      <c r="D25" s="9">
        <v>0.04</v>
      </c>
      <c r="E25" s="9" t="s">
        <v>50</v>
      </c>
      <c r="F25" s="9">
        <v>0</v>
      </c>
      <c r="G25" s="9" t="str">
        <f t="shared" si="2"/>
        <v>dry wood chips (EU no swiss)</v>
      </c>
      <c r="H25" s="9">
        <f t="shared" si="2"/>
        <v>1.9516585240421703E-2</v>
      </c>
    </row>
    <row r="26" spans="1:8" x14ac:dyDescent="0.2">
      <c r="A26" s="23" t="s">
        <v>195</v>
      </c>
      <c r="B26" s="19" t="s">
        <v>81</v>
      </c>
      <c r="C26" s="9">
        <f t="shared" si="2"/>
        <v>0.9</v>
      </c>
      <c r="D26" s="9">
        <f t="shared" si="2"/>
        <v>0</v>
      </c>
      <c r="E26" s="9" t="str">
        <f t="shared" si="2"/>
        <v>natural gas - IPCC</v>
      </c>
      <c r="F26" s="9">
        <f t="shared" si="2"/>
        <v>0</v>
      </c>
      <c r="G26" t="s">
        <v>202</v>
      </c>
      <c r="H26" s="9">
        <f t="shared" si="2"/>
        <v>1.9516585240421703E-2</v>
      </c>
    </row>
    <row r="27" spans="1:8" x14ac:dyDescent="0.2">
      <c r="A27" t="s">
        <v>205</v>
      </c>
      <c r="B27" s="19" t="s">
        <v>81</v>
      </c>
      <c r="C27" s="9">
        <f t="shared" si="2"/>
        <v>0.9</v>
      </c>
      <c r="D27" s="9">
        <f t="shared" si="2"/>
        <v>0</v>
      </c>
      <c r="E27" s="9" t="str">
        <f t="shared" si="2"/>
        <v>natural gas - IPCC</v>
      </c>
      <c r="F27" s="9">
        <f t="shared" si="2"/>
        <v>0</v>
      </c>
      <c r="G27" t="s">
        <v>202</v>
      </c>
      <c r="H27" s="9">
        <f t="shared" si="2"/>
        <v>1.9516585240421703E-2</v>
      </c>
    </row>
    <row r="28" spans="1:8" x14ac:dyDescent="0.2">
      <c r="A28" t="s">
        <v>194</v>
      </c>
      <c r="B28" s="19" t="s">
        <v>81</v>
      </c>
      <c r="C28" s="9">
        <f t="shared" si="2"/>
        <v>0.9</v>
      </c>
      <c r="D28" s="9">
        <f t="shared" si="2"/>
        <v>0</v>
      </c>
      <c r="E28" s="9" t="str">
        <f t="shared" si="2"/>
        <v>natural gas - IPCC</v>
      </c>
      <c r="F28" s="9">
        <f t="shared" si="2"/>
        <v>0</v>
      </c>
      <c r="G28" t="s">
        <v>202</v>
      </c>
      <c r="H28" s="9">
        <f t="shared" si="2"/>
        <v>1.9516585240421703E-2</v>
      </c>
    </row>
    <row r="29" spans="1:8" x14ac:dyDescent="0.2">
      <c r="A29" t="s">
        <v>206</v>
      </c>
      <c r="B29" s="19" t="s">
        <v>81</v>
      </c>
      <c r="C29" s="9">
        <f t="shared" si="2"/>
        <v>0.9</v>
      </c>
      <c r="D29" s="9">
        <f t="shared" si="2"/>
        <v>0</v>
      </c>
      <c r="E29" s="9" t="str">
        <f t="shared" si="2"/>
        <v>natural gas - IPCC</v>
      </c>
      <c r="F29" s="9">
        <v>1</v>
      </c>
      <c r="G29" t="s">
        <v>202</v>
      </c>
      <c r="H29" s="9">
        <f t="shared" si="2"/>
        <v>1.9516585240421703E-2</v>
      </c>
    </row>
    <row r="30" spans="1:8" x14ac:dyDescent="0.2">
      <c r="A30" t="s">
        <v>198</v>
      </c>
      <c r="B30" s="19" t="s">
        <v>81</v>
      </c>
      <c r="C30" s="9">
        <f t="shared" ref="C30:H33" si="3">C$4</f>
        <v>0.9</v>
      </c>
      <c r="D30" s="9">
        <f t="shared" si="3"/>
        <v>0</v>
      </c>
      <c r="E30" s="9" t="str">
        <f t="shared" si="3"/>
        <v>natural gas - IPCC</v>
      </c>
      <c r="F30" s="9">
        <v>0</v>
      </c>
      <c r="G30" t="s">
        <v>202</v>
      </c>
      <c r="H30" s="9">
        <f t="shared" si="3"/>
        <v>1.9516585240421703E-2</v>
      </c>
    </row>
    <row r="31" spans="1:8" x14ac:dyDescent="0.2">
      <c r="A31" t="s">
        <v>199</v>
      </c>
      <c r="B31" s="19" t="s">
        <v>81</v>
      </c>
      <c r="C31" s="9">
        <f t="shared" si="3"/>
        <v>0.9</v>
      </c>
      <c r="D31" s="9">
        <f t="shared" si="3"/>
        <v>0</v>
      </c>
      <c r="E31" s="9" t="str">
        <f t="shared" si="3"/>
        <v>natural gas - IPCC</v>
      </c>
      <c r="F31" s="9">
        <v>1</v>
      </c>
      <c r="G31" t="s">
        <v>202</v>
      </c>
      <c r="H31" s="9">
        <f t="shared" si="3"/>
        <v>1.9516585240421703E-2</v>
      </c>
    </row>
    <row r="32" spans="1:8" x14ac:dyDescent="0.2">
      <c r="A32" t="s">
        <v>203</v>
      </c>
      <c r="B32" s="19" t="s">
        <v>81</v>
      </c>
      <c r="C32" s="9">
        <f t="shared" si="3"/>
        <v>0.9</v>
      </c>
      <c r="D32" s="9">
        <f t="shared" si="3"/>
        <v>0</v>
      </c>
      <c r="E32" s="9" t="str">
        <f t="shared" si="3"/>
        <v>natural gas - IPCC</v>
      </c>
      <c r="F32" s="9">
        <f t="shared" si="3"/>
        <v>0</v>
      </c>
      <c r="G32" t="s">
        <v>202</v>
      </c>
      <c r="H32" s="9">
        <f t="shared" si="3"/>
        <v>1.9516585240421703E-2</v>
      </c>
    </row>
    <row r="33" spans="1:8" x14ac:dyDescent="0.2">
      <c r="A33" t="s">
        <v>204</v>
      </c>
      <c r="B33" s="19" t="s">
        <v>81</v>
      </c>
      <c r="C33" s="9">
        <f t="shared" si="3"/>
        <v>0.9</v>
      </c>
      <c r="D33" s="9">
        <f t="shared" si="3"/>
        <v>0</v>
      </c>
      <c r="E33" s="9" t="str">
        <f t="shared" si="3"/>
        <v>natural gas - IPCC</v>
      </c>
      <c r="F33" s="9">
        <f t="shared" si="3"/>
        <v>0</v>
      </c>
      <c r="G33" t="s">
        <v>202</v>
      </c>
      <c r="H33" s="9">
        <f t="shared" si="3"/>
        <v>1.9516585240421703E-2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0353-8D59-3D4B-98AD-1568943C60A7}">
  <dimension ref="A1:J24"/>
  <sheetViews>
    <sheetView workbookViewId="0">
      <selection activeCell="D37" sqref="D37"/>
    </sheetView>
  </sheetViews>
  <sheetFormatPr baseColWidth="10" defaultColWidth="8.83203125" defaultRowHeight="15" x14ac:dyDescent="0.2"/>
  <cols>
    <col min="1" max="1" width="18.5" style="19" customWidth="1"/>
    <col min="2" max="2" width="12.33203125" style="19" customWidth="1"/>
    <col min="3" max="3" width="13.1640625" style="18" bestFit="1" customWidth="1"/>
    <col min="4" max="4" width="13.1640625" style="18" customWidth="1"/>
    <col min="5" max="5" width="17.33203125" style="18" customWidth="1"/>
    <col min="6" max="7" width="15.83203125" style="18" customWidth="1"/>
    <col min="8" max="8" width="15.83203125" style="33" customWidth="1"/>
    <col min="9" max="9" width="19" style="18" bestFit="1" customWidth="1"/>
    <col min="10" max="10" width="17.83203125" style="18" bestFit="1" customWidth="1"/>
    <col min="11" max="16384" width="8.83203125" style="19"/>
  </cols>
  <sheetData>
    <row r="1" spans="1:10" x14ac:dyDescent="0.2">
      <c r="A1" s="29" t="s">
        <v>0</v>
      </c>
      <c r="B1" s="29" t="s">
        <v>80</v>
      </c>
      <c r="C1" s="40" t="s">
        <v>27</v>
      </c>
      <c r="D1" s="33" t="s">
        <v>52</v>
      </c>
      <c r="E1" s="19" t="s">
        <v>7</v>
      </c>
      <c r="F1" s="19" t="s">
        <v>8</v>
      </c>
      <c r="G1" s="19" t="s">
        <v>6</v>
      </c>
      <c r="H1" s="29" t="s">
        <v>5</v>
      </c>
      <c r="I1" s="29" t="s">
        <v>2</v>
      </c>
      <c r="J1" s="29" t="s">
        <v>51</v>
      </c>
    </row>
    <row r="2" spans="1:10" x14ac:dyDescent="0.2">
      <c r="A2" s="34" t="s">
        <v>1</v>
      </c>
      <c r="B2" s="34"/>
      <c r="C2" s="33" t="s">
        <v>54</v>
      </c>
      <c r="D2" s="33" t="s">
        <v>59</v>
      </c>
      <c r="H2" s="33" t="s">
        <v>55</v>
      </c>
    </row>
    <row r="3" spans="1:10" x14ac:dyDescent="0.2">
      <c r="A3" s="34" t="s">
        <v>2</v>
      </c>
      <c r="B3" s="34"/>
    </row>
    <row r="4" spans="1:10" s="25" customFormat="1" ht="16" thickBot="1" x14ac:dyDescent="0.25">
      <c r="A4" s="25" t="s">
        <v>3</v>
      </c>
      <c r="C4" s="41">
        <v>0.9</v>
      </c>
      <c r="D4" s="54">
        <v>0</v>
      </c>
      <c r="E4" s="29" t="s">
        <v>50</v>
      </c>
      <c r="F4" s="29">
        <v>0</v>
      </c>
      <c r="G4" t="s">
        <v>89</v>
      </c>
      <c r="H4" s="38">
        <f>(25.3/4.6668)*Ref!B$18</f>
        <v>1.9516585240421703E-2</v>
      </c>
      <c r="I4" s="30"/>
      <c r="J4" s="30"/>
    </row>
    <row r="5" spans="1:10" x14ac:dyDescent="0.2">
      <c r="A5" t="s">
        <v>115</v>
      </c>
      <c r="B5" s="19" t="s">
        <v>81</v>
      </c>
      <c r="C5" s="9">
        <f t="shared" ref="C5:H6" si="0">C$4</f>
        <v>0.9</v>
      </c>
      <c r="D5" s="9">
        <f t="shared" si="0"/>
        <v>0</v>
      </c>
      <c r="E5" s="9" t="str">
        <f t="shared" si="0"/>
        <v>natural gas - IPCC</v>
      </c>
      <c r="F5" s="9">
        <f t="shared" si="0"/>
        <v>0</v>
      </c>
      <c r="G5" s="9" t="str">
        <f t="shared" si="0"/>
        <v>dry wood chips (EU no swiss)</v>
      </c>
      <c r="H5" s="9">
        <f t="shared" si="0"/>
        <v>1.9516585240421703E-2</v>
      </c>
    </row>
    <row r="6" spans="1:10" x14ac:dyDescent="0.2">
      <c r="A6" t="s">
        <v>195</v>
      </c>
      <c r="B6" s="19" t="s">
        <v>81</v>
      </c>
      <c r="C6" s="9">
        <f t="shared" si="0"/>
        <v>0.9</v>
      </c>
      <c r="D6" s="9">
        <f t="shared" si="0"/>
        <v>0</v>
      </c>
      <c r="E6" s="9" t="str">
        <f t="shared" si="0"/>
        <v>natural gas - IPCC</v>
      </c>
      <c r="F6" s="9">
        <f t="shared" si="0"/>
        <v>0</v>
      </c>
      <c r="G6" s="9" t="str">
        <f t="shared" si="0"/>
        <v>dry wood chips (EU no swiss)</v>
      </c>
      <c r="H6" s="9">
        <f t="shared" si="0"/>
        <v>1.9516585240421703E-2</v>
      </c>
    </row>
    <row r="7" spans="1:10" x14ac:dyDescent="0.2">
      <c r="A7"/>
      <c r="C7" s="9"/>
      <c r="D7" s="9"/>
      <c r="E7" s="9"/>
      <c r="F7" s="9"/>
      <c r="G7" s="9"/>
      <c r="H7" s="9"/>
    </row>
    <row r="8" spans="1:10" x14ac:dyDescent="0.2">
      <c r="A8"/>
      <c r="C8" s="9"/>
      <c r="D8" s="9"/>
      <c r="E8" s="9"/>
      <c r="F8" s="9"/>
      <c r="G8" s="9"/>
      <c r="H8" s="9"/>
    </row>
    <row r="9" spans="1:10" x14ac:dyDescent="0.2">
      <c r="A9"/>
      <c r="C9" s="9"/>
      <c r="D9" s="9"/>
      <c r="E9" s="9"/>
      <c r="F9" s="9"/>
      <c r="G9" s="9"/>
      <c r="H9" s="9"/>
    </row>
    <row r="10" spans="1:10" x14ac:dyDescent="0.2">
      <c r="A10"/>
      <c r="C10" s="9"/>
      <c r="D10" s="9"/>
      <c r="E10" s="9"/>
      <c r="F10" s="9"/>
      <c r="G10" s="9"/>
      <c r="H10" s="9"/>
    </row>
    <row r="11" spans="1:10" x14ac:dyDescent="0.2">
      <c r="A11"/>
      <c r="C11" s="9"/>
      <c r="D11" s="9"/>
      <c r="E11" s="9"/>
      <c r="F11" s="9"/>
      <c r="G11" s="9"/>
      <c r="H11" s="9"/>
    </row>
    <row r="12" spans="1:10" x14ac:dyDescent="0.2">
      <c r="A12"/>
      <c r="C12" s="9"/>
      <c r="D12" s="9"/>
      <c r="E12" s="9"/>
      <c r="F12" s="9"/>
      <c r="G12" s="9"/>
      <c r="H12" s="9"/>
    </row>
    <row r="13" spans="1:10" x14ac:dyDescent="0.2">
      <c r="A13"/>
      <c r="C13" s="9"/>
      <c r="D13" s="9"/>
      <c r="E13" s="9"/>
      <c r="F13" s="9"/>
      <c r="G13" s="9"/>
      <c r="H13" s="9"/>
    </row>
    <row r="14" spans="1:10" x14ac:dyDescent="0.2">
      <c r="A14"/>
      <c r="C14" s="9"/>
      <c r="D14" s="9"/>
      <c r="E14" s="9"/>
      <c r="F14" s="9"/>
      <c r="G14" s="9"/>
      <c r="H14" s="9"/>
    </row>
    <row r="15" spans="1:10" x14ac:dyDescent="0.2">
      <c r="C15" s="9"/>
      <c r="D15" s="9"/>
      <c r="E15" s="9"/>
      <c r="F15" s="9"/>
      <c r="G15" s="9"/>
      <c r="H15" s="9"/>
    </row>
    <row r="16" spans="1:10" x14ac:dyDescent="0.2">
      <c r="A16" s="23"/>
      <c r="C16" s="9"/>
      <c r="D16" s="9"/>
      <c r="E16" s="9"/>
      <c r="F16" s="9"/>
      <c r="G16" s="9"/>
      <c r="H16" s="9"/>
    </row>
    <row r="17" spans="1:8" x14ac:dyDescent="0.2">
      <c r="C17" s="9"/>
      <c r="D17" s="9"/>
      <c r="E17" s="9"/>
      <c r="F17" s="9"/>
      <c r="G17" s="9"/>
      <c r="H17" s="9"/>
    </row>
    <row r="18" spans="1:8" ht="14" customHeight="1" x14ac:dyDescent="0.2">
      <c r="C18" s="9"/>
      <c r="D18" s="9"/>
      <c r="E18" s="9"/>
      <c r="F18" s="9"/>
      <c r="G18" s="9"/>
      <c r="H18" s="9"/>
    </row>
    <row r="19" spans="1:8" x14ac:dyDescent="0.2">
      <c r="A19" s="23"/>
      <c r="C19" s="9"/>
      <c r="D19" s="9"/>
      <c r="E19" s="9"/>
      <c r="F19" s="9"/>
      <c r="G19" s="9"/>
      <c r="H19" s="9"/>
    </row>
    <row r="20" spans="1:8" x14ac:dyDescent="0.2">
      <c r="A20"/>
      <c r="C20" s="9"/>
      <c r="D20" s="9"/>
      <c r="E20" s="9"/>
      <c r="F20" s="9"/>
      <c r="G20" s="9"/>
      <c r="H20" s="9"/>
    </row>
    <row r="21" spans="1:8" x14ac:dyDescent="0.2">
      <c r="A21"/>
      <c r="C21" s="9"/>
      <c r="D21" s="9"/>
      <c r="E21" s="9"/>
      <c r="F21" s="9"/>
      <c r="G21" s="9"/>
      <c r="H21" s="9"/>
    </row>
    <row r="22" spans="1:8" x14ac:dyDescent="0.2">
      <c r="A22"/>
      <c r="C22" s="9"/>
      <c r="D22" s="9"/>
      <c r="E22" s="9"/>
      <c r="F22" s="9"/>
      <c r="G22" s="9"/>
      <c r="H22" s="9"/>
    </row>
    <row r="23" spans="1:8" x14ac:dyDescent="0.2">
      <c r="A23"/>
      <c r="C23" s="9"/>
      <c r="D23" s="9"/>
      <c r="E23" s="9"/>
      <c r="F23" s="9"/>
      <c r="G23" s="9"/>
      <c r="H23" s="9"/>
    </row>
    <row r="24" spans="1:8" x14ac:dyDescent="0.2">
      <c r="A24"/>
      <c r="C24" s="9"/>
      <c r="D24" s="9"/>
      <c r="E24" s="9"/>
      <c r="F24" s="9"/>
      <c r="G24" s="9"/>
      <c r="H24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8"/>
  <sheetViews>
    <sheetView zoomScale="106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K36" sqref="K36"/>
    </sheetView>
  </sheetViews>
  <sheetFormatPr baseColWidth="10" defaultColWidth="8.83203125" defaultRowHeight="15" x14ac:dyDescent="0.2"/>
  <cols>
    <col min="1" max="1" width="11.33203125" style="19" customWidth="1"/>
    <col min="2" max="3" width="16.33203125" style="19" customWidth="1"/>
    <col min="4" max="4" width="17.5" style="19" customWidth="1"/>
    <col min="5" max="6" width="20.83203125" style="19" customWidth="1"/>
    <col min="7" max="7" width="18" style="19" customWidth="1"/>
    <col min="8" max="8" width="13.83203125" style="19" customWidth="1"/>
    <col min="9" max="9" width="14.5" style="19" customWidth="1"/>
    <col min="10" max="10" width="15.5" style="39" bestFit="1" customWidth="1"/>
    <col min="11" max="13" width="15.5" style="39" customWidth="1"/>
    <col min="14" max="14" width="15.5" style="36" customWidth="1"/>
    <col min="15" max="16384" width="8.83203125" style="19"/>
  </cols>
  <sheetData>
    <row r="1" spans="1:15" x14ac:dyDescent="0.2">
      <c r="A1" s="42" t="s">
        <v>35</v>
      </c>
      <c r="B1" s="29" t="s">
        <v>80</v>
      </c>
      <c r="C1" s="29" t="s">
        <v>193</v>
      </c>
      <c r="D1" s="42" t="s">
        <v>36</v>
      </c>
      <c r="E1" s="43" t="s">
        <v>37</v>
      </c>
      <c r="F1" s="43" t="s">
        <v>185</v>
      </c>
      <c r="G1" s="43" t="s">
        <v>5</v>
      </c>
      <c r="H1" s="43" t="s">
        <v>38</v>
      </c>
      <c r="I1" s="43" t="s">
        <v>90</v>
      </c>
      <c r="J1" s="43" t="s">
        <v>53</v>
      </c>
      <c r="K1" s="43" t="s">
        <v>94</v>
      </c>
      <c r="L1" s="43" t="s">
        <v>123</v>
      </c>
      <c r="M1" s="43" t="s">
        <v>124</v>
      </c>
      <c r="N1" s="80" t="s">
        <v>108</v>
      </c>
      <c r="O1" s="43" t="s">
        <v>39</v>
      </c>
    </row>
    <row r="2" spans="1:15" x14ac:dyDescent="0.2">
      <c r="A2" s="44" t="s">
        <v>31</v>
      </c>
      <c r="B2" s="34"/>
      <c r="C2" s="34"/>
      <c r="D2" s="45" t="s">
        <v>40</v>
      </c>
      <c r="E2" s="46" t="s">
        <v>41</v>
      </c>
      <c r="F2" s="46"/>
      <c r="G2" s="46" t="s">
        <v>42</v>
      </c>
      <c r="H2" s="46" t="s">
        <v>43</v>
      </c>
      <c r="I2" s="46"/>
      <c r="J2" s="52" t="s">
        <v>60</v>
      </c>
      <c r="K2" s="46" t="s">
        <v>95</v>
      </c>
      <c r="L2" s="46"/>
      <c r="M2" s="46"/>
      <c r="N2" s="81"/>
      <c r="O2" s="47"/>
    </row>
    <row r="3" spans="1:15" x14ac:dyDescent="0.2">
      <c r="A3" s="44" t="s">
        <v>2</v>
      </c>
      <c r="B3" s="34"/>
      <c r="C3" s="34"/>
      <c r="D3" s="45" t="s">
        <v>44</v>
      </c>
      <c r="E3" s="46" t="s">
        <v>45</v>
      </c>
      <c r="F3" s="46"/>
      <c r="G3" s="47"/>
      <c r="H3" s="47"/>
      <c r="I3" s="47"/>
      <c r="J3" s="52"/>
      <c r="K3" s="52"/>
      <c r="L3" s="52"/>
      <c r="M3" s="52" t="s">
        <v>125</v>
      </c>
      <c r="N3" s="81"/>
      <c r="O3" s="47"/>
    </row>
    <row r="4" spans="1:15" s="25" customFormat="1" ht="16" thickBot="1" x14ac:dyDescent="0.25">
      <c r="A4" s="49" t="s">
        <v>3</v>
      </c>
      <c r="D4" s="49">
        <v>1</v>
      </c>
      <c r="E4" s="50">
        <v>0.9</v>
      </c>
      <c r="F4" s="47"/>
      <c r="G4" s="38">
        <f>40*Ref!$B$18</f>
        <v>0.14399999999999999</v>
      </c>
      <c r="H4" s="28">
        <v>3.2</v>
      </c>
      <c r="I4" s="19" t="s">
        <v>91</v>
      </c>
      <c r="J4" s="20">
        <f>0.001</f>
        <v>1E-3</v>
      </c>
      <c r="K4" s="24"/>
      <c r="L4" s="24"/>
      <c r="M4" s="24"/>
      <c r="N4" s="82"/>
      <c r="O4" s="51"/>
    </row>
    <row r="5" spans="1:15" s="29" customFormat="1" x14ac:dyDescent="0.2">
      <c r="A5" t="s">
        <v>115</v>
      </c>
      <c r="B5" s="19" t="s">
        <v>81</v>
      </c>
      <c r="C5" s="19">
        <v>0.32</v>
      </c>
      <c r="D5" s="19">
        <v>1</v>
      </c>
      <c r="E5" s="19">
        <v>0.9</v>
      </c>
      <c r="F5" s="19">
        <v>1</v>
      </c>
      <c r="G5" s="38">
        <f>38*Ref!$B$18</f>
        <v>0.1368</v>
      </c>
      <c r="H5" s="28">
        <v>3.2</v>
      </c>
      <c r="I5" s="19" t="s">
        <v>91</v>
      </c>
      <c r="J5" s="19">
        <v>1E-3</v>
      </c>
      <c r="K5" s="39"/>
      <c r="L5" s="39">
        <f>115152/188424</f>
        <v>0.61113233982932114</v>
      </c>
      <c r="M5" s="39">
        <f>1855/188424</f>
        <v>9.8448180698849398E-3</v>
      </c>
      <c r="N5" s="36"/>
      <c r="O5" s="19" t="s">
        <v>126</v>
      </c>
    </row>
    <row r="6" spans="1:15" x14ac:dyDescent="0.2">
      <c r="A6" s="19" t="s">
        <v>129</v>
      </c>
      <c r="B6" s="19" t="s">
        <v>81</v>
      </c>
      <c r="C6" s="19">
        <v>0.32</v>
      </c>
      <c r="D6" s="19">
        <v>1</v>
      </c>
      <c r="E6" s="19">
        <v>0.9</v>
      </c>
      <c r="F6" s="19">
        <v>1</v>
      </c>
      <c r="G6" s="38">
        <f>15*Ref!$B$18</f>
        <v>5.3999999999999999E-2</v>
      </c>
      <c r="H6" s="28">
        <v>2.5</v>
      </c>
      <c r="I6" s="19" t="s">
        <v>91</v>
      </c>
      <c r="J6" s="19">
        <v>1E-3</v>
      </c>
      <c r="L6" s="39">
        <f>115152/188424</f>
        <v>0.61113233982932114</v>
      </c>
      <c r="M6" s="39">
        <f>1855/188424</f>
        <v>9.8448180698849398E-3</v>
      </c>
    </row>
    <row r="7" spans="1:15" x14ac:dyDescent="0.2">
      <c r="A7" s="19" t="s">
        <v>130</v>
      </c>
      <c r="B7" s="19" t="s">
        <v>81</v>
      </c>
      <c r="C7" s="19">
        <v>0.32</v>
      </c>
      <c r="D7" s="19">
        <v>1</v>
      </c>
      <c r="E7" s="19">
        <v>0.9</v>
      </c>
      <c r="F7" s="19">
        <v>1</v>
      </c>
      <c r="G7" s="38">
        <f>15*Ref!$B$18</f>
        <v>5.3999999999999999E-2</v>
      </c>
      <c r="H7" s="28">
        <v>2.5</v>
      </c>
      <c r="I7" s="19" t="s">
        <v>91</v>
      </c>
      <c r="J7" s="19">
        <v>1E-3</v>
      </c>
      <c r="L7" s="39">
        <f t="shared" ref="L7:L23" si="0">115152/188424</f>
        <v>0.61113233982932114</v>
      </c>
      <c r="M7" s="39">
        <f t="shared" ref="M7:M23" si="1">1855/188424</f>
        <v>9.8448180698849398E-3</v>
      </c>
    </row>
    <row r="8" spans="1:15" x14ac:dyDescent="0.2">
      <c r="A8" s="19" t="s">
        <v>136</v>
      </c>
      <c r="B8" s="19" t="s">
        <v>81</v>
      </c>
      <c r="C8" s="19">
        <v>0.32</v>
      </c>
      <c r="D8" s="19">
        <v>1</v>
      </c>
      <c r="E8" s="19">
        <v>0.9</v>
      </c>
      <c r="F8" s="19">
        <v>1</v>
      </c>
      <c r="G8" s="38">
        <f>15*Ref!$B$18</f>
        <v>5.3999999999999999E-2</v>
      </c>
      <c r="H8" s="28">
        <v>2.5</v>
      </c>
      <c r="I8" s="19" t="s">
        <v>91</v>
      </c>
      <c r="J8" s="19">
        <v>1E-3</v>
      </c>
      <c r="L8" s="39">
        <f t="shared" si="0"/>
        <v>0.61113233982932114</v>
      </c>
      <c r="M8" s="39">
        <f t="shared" si="1"/>
        <v>9.8448180698849398E-3</v>
      </c>
    </row>
    <row r="9" spans="1:15" x14ac:dyDescent="0.2">
      <c r="A9" s="19" t="s">
        <v>137</v>
      </c>
      <c r="B9" s="19" t="s">
        <v>81</v>
      </c>
      <c r="C9" s="19">
        <v>0.32</v>
      </c>
      <c r="D9" s="19">
        <v>1</v>
      </c>
      <c r="E9" s="19">
        <v>0.9</v>
      </c>
      <c r="F9" s="19">
        <v>1</v>
      </c>
      <c r="G9" s="38">
        <f>15*Ref!$B$18</f>
        <v>5.3999999999999999E-2</v>
      </c>
      <c r="H9" s="28">
        <v>2.5</v>
      </c>
      <c r="I9" s="19" t="s">
        <v>91</v>
      </c>
      <c r="J9" s="19">
        <v>1E-3</v>
      </c>
      <c r="L9" s="39">
        <f t="shared" si="0"/>
        <v>0.61113233982932114</v>
      </c>
      <c r="M9" s="39">
        <f t="shared" si="1"/>
        <v>9.8448180698849398E-3</v>
      </c>
    </row>
    <row r="10" spans="1:15" x14ac:dyDescent="0.2">
      <c r="A10" s="23" t="s">
        <v>140</v>
      </c>
      <c r="B10" s="19" t="s">
        <v>81</v>
      </c>
      <c r="C10" s="19">
        <v>0.32</v>
      </c>
      <c r="D10" s="19">
        <v>1</v>
      </c>
      <c r="E10" s="19">
        <v>0.9</v>
      </c>
      <c r="F10" s="19">
        <v>1</v>
      </c>
      <c r="G10" s="38">
        <f>15*Ref!$B$18</f>
        <v>5.3999999999999999E-2</v>
      </c>
      <c r="H10" s="28">
        <v>2.5</v>
      </c>
      <c r="I10" s="19" t="s">
        <v>91</v>
      </c>
      <c r="J10" s="19">
        <v>1E-3</v>
      </c>
      <c r="L10" s="39">
        <f t="shared" si="0"/>
        <v>0.61113233982932114</v>
      </c>
      <c r="M10" s="39">
        <f t="shared" si="1"/>
        <v>9.8448180698849398E-3</v>
      </c>
    </row>
    <row r="11" spans="1:15" x14ac:dyDescent="0.2">
      <c r="A11" s="23" t="s">
        <v>141</v>
      </c>
      <c r="B11" s="19" t="s">
        <v>81</v>
      </c>
      <c r="C11" s="19">
        <v>0.32</v>
      </c>
      <c r="D11" s="19">
        <v>1</v>
      </c>
      <c r="E11" s="19">
        <v>0.9</v>
      </c>
      <c r="F11" s="19">
        <v>1</v>
      </c>
      <c r="G11" s="38">
        <f>15*Ref!$B$18</f>
        <v>5.3999999999999999E-2</v>
      </c>
      <c r="H11" s="28">
        <v>2.5</v>
      </c>
      <c r="I11" s="19" t="s">
        <v>91</v>
      </c>
      <c r="J11" s="19">
        <v>1E-3</v>
      </c>
      <c r="L11" s="39">
        <f t="shared" si="0"/>
        <v>0.61113233982932114</v>
      </c>
      <c r="M11" s="39">
        <f t="shared" si="1"/>
        <v>9.8448180698849398E-3</v>
      </c>
    </row>
    <row r="12" spans="1:15" x14ac:dyDescent="0.2">
      <c r="A12" t="s">
        <v>153</v>
      </c>
      <c r="B12" s="19" t="s">
        <v>81</v>
      </c>
      <c r="C12" s="19">
        <v>0.32</v>
      </c>
      <c r="D12" s="19">
        <v>1</v>
      </c>
      <c r="E12" s="19">
        <v>0.9</v>
      </c>
      <c r="F12" s="19">
        <v>1</v>
      </c>
      <c r="G12" s="38">
        <f>15*Ref!$B$18</f>
        <v>5.3999999999999999E-2</v>
      </c>
      <c r="H12" s="28">
        <v>2.5</v>
      </c>
      <c r="I12" s="19" t="s">
        <v>91</v>
      </c>
      <c r="J12" s="19">
        <v>1E-3</v>
      </c>
      <c r="L12" s="39">
        <f>115152/188424</f>
        <v>0.61113233982932114</v>
      </c>
      <c r="M12" s="39">
        <f>1855/188424</f>
        <v>9.8448180698849398E-3</v>
      </c>
    </row>
    <row r="13" spans="1:15" x14ac:dyDescent="0.2">
      <c r="A13" t="s">
        <v>154</v>
      </c>
      <c r="B13" s="19" t="s">
        <v>81</v>
      </c>
      <c r="C13" s="19">
        <v>0.32</v>
      </c>
      <c r="D13" s="19">
        <v>1</v>
      </c>
      <c r="E13" s="19">
        <v>0.9</v>
      </c>
      <c r="F13" s="19">
        <v>1</v>
      </c>
      <c r="G13" s="38">
        <f>15*Ref!$B$18</f>
        <v>5.3999999999999999E-2</v>
      </c>
      <c r="H13" s="28">
        <v>2.5</v>
      </c>
      <c r="I13" s="19" t="s">
        <v>91</v>
      </c>
      <c r="J13" s="19">
        <v>1E-3</v>
      </c>
      <c r="L13" s="39">
        <f t="shared" si="0"/>
        <v>0.61113233982932114</v>
      </c>
      <c r="M13" s="39">
        <f t="shared" si="1"/>
        <v>9.8448180698849398E-3</v>
      </c>
    </row>
    <row r="14" spans="1:15" x14ac:dyDescent="0.2">
      <c r="A14" t="s">
        <v>155</v>
      </c>
      <c r="B14" s="19" t="s">
        <v>81</v>
      </c>
      <c r="C14" s="19">
        <v>0.32</v>
      </c>
      <c r="D14" s="19">
        <v>1</v>
      </c>
      <c r="E14" s="19">
        <v>0.9</v>
      </c>
      <c r="F14" s="19">
        <v>1</v>
      </c>
      <c r="G14" s="38">
        <f>15*Ref!$B$18</f>
        <v>5.3999999999999999E-2</v>
      </c>
      <c r="H14" s="28">
        <v>2.5</v>
      </c>
      <c r="I14" s="19" t="s">
        <v>91</v>
      </c>
      <c r="J14" s="19">
        <v>1E-3</v>
      </c>
      <c r="L14" s="39">
        <f t="shared" si="0"/>
        <v>0.61113233982932114</v>
      </c>
      <c r="M14" s="39">
        <f t="shared" si="1"/>
        <v>9.8448180698849398E-3</v>
      </c>
    </row>
    <row r="15" spans="1:15" x14ac:dyDescent="0.2">
      <c r="A15" t="s">
        <v>156</v>
      </c>
      <c r="B15" s="19" t="s">
        <v>81</v>
      </c>
      <c r="C15" s="19">
        <v>0.32</v>
      </c>
      <c r="D15" s="19">
        <v>1</v>
      </c>
      <c r="E15" s="19">
        <v>0.9</v>
      </c>
      <c r="F15" s="19">
        <v>1</v>
      </c>
      <c r="G15" s="38">
        <f>15*Ref!$B$18</f>
        <v>5.3999999999999999E-2</v>
      </c>
      <c r="H15" s="28">
        <v>2.5</v>
      </c>
      <c r="I15" s="19" t="s">
        <v>91</v>
      </c>
      <c r="J15" s="19">
        <v>1E-3</v>
      </c>
      <c r="L15" s="39">
        <f t="shared" si="0"/>
        <v>0.61113233982932114</v>
      </c>
      <c r="M15" s="39">
        <f t="shared" si="1"/>
        <v>9.8448180698849398E-3</v>
      </c>
    </row>
    <row r="16" spans="1:15" x14ac:dyDescent="0.2">
      <c r="A16" t="s">
        <v>157</v>
      </c>
      <c r="B16" s="19" t="s">
        <v>81</v>
      </c>
      <c r="C16" s="19">
        <v>0.32</v>
      </c>
      <c r="D16" s="19">
        <v>1</v>
      </c>
      <c r="E16" s="19">
        <v>0.9</v>
      </c>
      <c r="F16" s="19">
        <v>1</v>
      </c>
      <c r="G16" s="38">
        <f>15*Ref!$B$18</f>
        <v>5.3999999999999999E-2</v>
      </c>
      <c r="H16" s="28">
        <v>2.5</v>
      </c>
      <c r="I16" s="19" t="s">
        <v>91</v>
      </c>
      <c r="J16" s="19">
        <v>1E-3</v>
      </c>
      <c r="L16" s="39">
        <f t="shared" si="0"/>
        <v>0.61113233982932114</v>
      </c>
      <c r="M16" s="39">
        <f t="shared" si="1"/>
        <v>9.8448180698849398E-3</v>
      </c>
    </row>
    <row r="17" spans="1:15" x14ac:dyDescent="0.2">
      <c r="A17" t="s">
        <v>158</v>
      </c>
      <c r="B17" s="19" t="s">
        <v>81</v>
      </c>
      <c r="C17" s="19">
        <v>0.32</v>
      </c>
      <c r="D17" s="19">
        <v>1</v>
      </c>
      <c r="E17" s="19">
        <v>0.9</v>
      </c>
      <c r="F17" s="19">
        <v>1</v>
      </c>
      <c r="G17" s="38">
        <f>15*Ref!$B$18</f>
        <v>5.3999999999999999E-2</v>
      </c>
      <c r="H17" s="28">
        <v>2.5</v>
      </c>
      <c r="I17" s="19" t="s">
        <v>91</v>
      </c>
      <c r="J17" s="19">
        <v>1E-3</v>
      </c>
      <c r="L17" s="39">
        <f t="shared" si="0"/>
        <v>0.61113233982932114</v>
      </c>
      <c r="M17" s="39">
        <f t="shared" si="1"/>
        <v>9.8448180698849398E-3</v>
      </c>
    </row>
    <row r="18" spans="1:15" x14ac:dyDescent="0.2">
      <c r="A18" t="s">
        <v>168</v>
      </c>
      <c r="C18" s="19">
        <v>0.32</v>
      </c>
      <c r="D18" s="19">
        <v>1</v>
      </c>
      <c r="E18" s="19">
        <v>0.9</v>
      </c>
      <c r="F18" s="19">
        <v>1</v>
      </c>
      <c r="G18" s="38">
        <f>15*Ref!$B$18</f>
        <v>5.3999999999999999E-2</v>
      </c>
      <c r="H18" s="28">
        <v>2.5</v>
      </c>
      <c r="I18" s="19" t="s">
        <v>91</v>
      </c>
      <c r="J18" s="19">
        <v>1E-3</v>
      </c>
      <c r="L18" s="39">
        <f t="shared" si="0"/>
        <v>0.61113233982932114</v>
      </c>
      <c r="M18" s="39">
        <f t="shared" si="1"/>
        <v>9.8448180698849398E-3</v>
      </c>
    </row>
    <row r="19" spans="1:15" x14ac:dyDescent="0.2">
      <c r="A19" t="s">
        <v>169</v>
      </c>
      <c r="C19" s="19">
        <v>0.32</v>
      </c>
      <c r="D19" s="19">
        <v>1</v>
      </c>
      <c r="E19" s="19">
        <v>0.9</v>
      </c>
      <c r="F19" s="19">
        <v>1</v>
      </c>
      <c r="G19" s="38">
        <f>15*Ref!$B$18</f>
        <v>5.3999999999999999E-2</v>
      </c>
      <c r="H19" s="28">
        <v>2.5</v>
      </c>
      <c r="I19" s="19" t="s">
        <v>91</v>
      </c>
      <c r="J19" s="19">
        <v>1E-3</v>
      </c>
      <c r="L19" s="39">
        <f t="shared" si="0"/>
        <v>0.61113233982932114</v>
      </c>
      <c r="M19" s="39">
        <f t="shared" si="1"/>
        <v>9.8448180698849398E-3</v>
      </c>
    </row>
    <row r="20" spans="1:15" x14ac:dyDescent="0.2">
      <c r="A20" t="s">
        <v>170</v>
      </c>
      <c r="C20" s="19">
        <v>0.32</v>
      </c>
      <c r="D20" s="19">
        <v>1</v>
      </c>
      <c r="E20" s="19">
        <v>0.9</v>
      </c>
      <c r="F20" s="19">
        <v>1</v>
      </c>
      <c r="G20" s="38">
        <f>15*Ref!$B$18</f>
        <v>5.3999999999999999E-2</v>
      </c>
      <c r="H20" s="28">
        <v>2.5</v>
      </c>
      <c r="I20" s="19" t="s">
        <v>91</v>
      </c>
      <c r="J20" s="19">
        <v>1E-3</v>
      </c>
      <c r="L20" s="39">
        <f t="shared" si="0"/>
        <v>0.61113233982932114</v>
      </c>
      <c r="M20" s="39">
        <f t="shared" si="1"/>
        <v>9.8448180698849398E-3</v>
      </c>
    </row>
    <row r="21" spans="1:15" x14ac:dyDescent="0.2">
      <c r="A21" t="s">
        <v>171</v>
      </c>
      <c r="C21" s="19">
        <v>0.32</v>
      </c>
      <c r="D21" s="19">
        <v>1</v>
      </c>
      <c r="E21" s="19">
        <v>0.9</v>
      </c>
      <c r="F21" s="19">
        <v>1</v>
      </c>
      <c r="G21" s="38">
        <f>15*Ref!$B$18</f>
        <v>5.3999999999999999E-2</v>
      </c>
      <c r="H21" s="28">
        <v>2.5</v>
      </c>
      <c r="I21" s="19" t="s">
        <v>91</v>
      </c>
      <c r="J21" s="19">
        <v>1E-3</v>
      </c>
      <c r="L21" s="39">
        <f t="shared" si="0"/>
        <v>0.61113233982932114</v>
      </c>
      <c r="M21" s="39">
        <f t="shared" si="1"/>
        <v>9.8448180698849398E-3</v>
      </c>
    </row>
    <row r="22" spans="1:15" x14ac:dyDescent="0.2">
      <c r="A22" t="s">
        <v>172</v>
      </c>
      <c r="C22" s="19">
        <v>0.32</v>
      </c>
      <c r="D22" s="19">
        <v>1</v>
      </c>
      <c r="E22" s="19">
        <v>0.9</v>
      </c>
      <c r="F22" s="19">
        <v>1</v>
      </c>
      <c r="G22" s="38">
        <f>15*Ref!$B$18</f>
        <v>5.3999999999999999E-2</v>
      </c>
      <c r="H22" s="28">
        <v>2.5</v>
      </c>
      <c r="I22" s="19" t="s">
        <v>91</v>
      </c>
      <c r="J22" s="19">
        <v>1E-3</v>
      </c>
      <c r="L22" s="39">
        <f t="shared" si="0"/>
        <v>0.61113233982932114</v>
      </c>
      <c r="M22" s="39">
        <f t="shared" si="1"/>
        <v>9.8448180698849398E-3</v>
      </c>
    </row>
    <row r="23" spans="1:15" x14ac:dyDescent="0.2">
      <c r="A23" t="s">
        <v>173</v>
      </c>
      <c r="C23" s="19">
        <v>0.32</v>
      </c>
      <c r="D23" s="19">
        <v>1</v>
      </c>
      <c r="E23" s="19">
        <v>0.9</v>
      </c>
      <c r="F23" s="19">
        <v>1</v>
      </c>
      <c r="G23" s="38">
        <f>15*Ref!$B$18</f>
        <v>5.3999999999999999E-2</v>
      </c>
      <c r="H23" s="28">
        <v>2.5</v>
      </c>
      <c r="I23" s="19" t="s">
        <v>91</v>
      </c>
      <c r="J23" s="19">
        <v>1E-3</v>
      </c>
      <c r="L23" s="39">
        <f t="shared" si="0"/>
        <v>0.61113233982932114</v>
      </c>
      <c r="M23" s="39">
        <f t="shared" si="1"/>
        <v>9.8448180698849398E-3</v>
      </c>
    </row>
    <row r="24" spans="1:15" s="29" customFormat="1" x14ac:dyDescent="0.2">
      <c r="A24" t="s">
        <v>175</v>
      </c>
      <c r="B24" s="19" t="s">
        <v>81</v>
      </c>
      <c r="C24" s="19">
        <v>0.32</v>
      </c>
      <c r="D24" s="19">
        <v>1</v>
      </c>
      <c r="E24" s="19">
        <v>0.9</v>
      </c>
      <c r="F24" s="19">
        <v>1</v>
      </c>
      <c r="G24" s="38">
        <f>38*Ref!$B$18</f>
        <v>0.1368</v>
      </c>
      <c r="H24" s="28">
        <v>2.8</v>
      </c>
      <c r="I24" s="19" t="s">
        <v>91</v>
      </c>
      <c r="J24" s="19">
        <v>1E-3</v>
      </c>
      <c r="K24" s="39"/>
      <c r="L24" s="39">
        <f>115152/188424</f>
        <v>0.61113233982932114</v>
      </c>
      <c r="M24" s="39">
        <v>0</v>
      </c>
      <c r="N24" s="36"/>
      <c r="O24" s="19" t="s">
        <v>126</v>
      </c>
    </row>
    <row r="25" spans="1:15" s="29" customFormat="1" x14ac:dyDescent="0.2">
      <c r="A25" t="s">
        <v>181</v>
      </c>
      <c r="B25" s="19" t="s">
        <v>81</v>
      </c>
      <c r="C25" s="19">
        <v>0.32</v>
      </c>
      <c r="D25" s="19">
        <v>1</v>
      </c>
      <c r="E25" s="19">
        <v>0.9</v>
      </c>
      <c r="F25" s="19">
        <v>1</v>
      </c>
      <c r="G25" s="38">
        <f>0.521</f>
        <v>0.52100000000000002</v>
      </c>
      <c r="H25" s="28">
        <v>3.76</v>
      </c>
      <c r="I25" s="19" t="s">
        <v>91</v>
      </c>
      <c r="J25" s="19">
        <v>1E-3</v>
      </c>
      <c r="K25" s="39"/>
      <c r="L25" s="39">
        <v>0.47299999999999998</v>
      </c>
      <c r="M25" s="39">
        <v>0</v>
      </c>
      <c r="N25" s="36"/>
      <c r="O25" s="19" t="s">
        <v>126</v>
      </c>
    </row>
    <row r="26" spans="1:15" x14ac:dyDescent="0.2">
      <c r="A26" s="23" t="s">
        <v>195</v>
      </c>
      <c r="B26" s="19" t="s">
        <v>81</v>
      </c>
      <c r="C26" s="19">
        <v>0.32</v>
      </c>
      <c r="D26" s="19">
        <v>1</v>
      </c>
      <c r="E26" s="19">
        <v>0.9</v>
      </c>
      <c r="F26" s="19">
        <v>1</v>
      </c>
      <c r="G26" s="38">
        <f>0.521</f>
        <v>0.52100000000000002</v>
      </c>
      <c r="H26" s="28">
        <v>3.2</v>
      </c>
      <c r="I26" s="19" t="s">
        <v>91</v>
      </c>
      <c r="J26" s="19">
        <v>1E-3</v>
      </c>
      <c r="L26" s="39">
        <v>0.47299999999999998</v>
      </c>
      <c r="M26" s="39">
        <v>0</v>
      </c>
    </row>
    <row r="27" spans="1:15" x14ac:dyDescent="0.2">
      <c r="A27" t="s">
        <v>203</v>
      </c>
      <c r="B27" s="19" t="s">
        <v>81</v>
      </c>
      <c r="C27" s="19">
        <v>0.32</v>
      </c>
      <c r="D27" s="19">
        <v>1</v>
      </c>
      <c r="E27" s="19">
        <v>0.9</v>
      </c>
      <c r="F27" s="19">
        <v>1</v>
      </c>
      <c r="G27" s="38">
        <f>15*Ref!$B$18</f>
        <v>5.3999999999999999E-2</v>
      </c>
      <c r="H27" s="28">
        <v>2.5</v>
      </c>
      <c r="I27" s="19" t="s">
        <v>91</v>
      </c>
      <c r="J27" s="19">
        <v>1E-3</v>
      </c>
      <c r="L27" s="39">
        <v>0.47299999999999998</v>
      </c>
      <c r="M27" s="39">
        <v>0</v>
      </c>
    </row>
    <row r="28" spans="1:15" x14ac:dyDescent="0.2">
      <c r="A28" t="s">
        <v>204</v>
      </c>
      <c r="B28" s="19" t="s">
        <v>81</v>
      </c>
      <c r="C28" s="19">
        <v>0.32</v>
      </c>
      <c r="D28" s="19">
        <v>1</v>
      </c>
      <c r="E28" s="19">
        <v>0.9</v>
      </c>
      <c r="F28" s="19">
        <v>1</v>
      </c>
      <c r="G28" s="38">
        <f>15*Ref!$B$18</f>
        <v>5.3999999999999999E-2</v>
      </c>
      <c r="H28" s="28">
        <v>2.5</v>
      </c>
      <c r="I28" s="19" t="s">
        <v>91</v>
      </c>
      <c r="J28" s="19">
        <v>1E-3</v>
      </c>
      <c r="L28" s="39">
        <v>0.47299999999999998</v>
      </c>
      <c r="M28" s="39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33AE-6F2C-9849-AE68-ABB400E801E2}">
  <dimension ref="A1:H25"/>
  <sheetViews>
    <sheetView workbookViewId="0">
      <selection activeCell="F39" sqref="F39"/>
    </sheetView>
  </sheetViews>
  <sheetFormatPr baseColWidth="10" defaultRowHeight="15" x14ac:dyDescent="0.2"/>
  <cols>
    <col min="1" max="1" width="11.33203125" style="19" customWidth="1"/>
    <col min="2" max="2" width="14.1640625" bestFit="1" customWidth="1"/>
    <col min="3" max="3" width="12.5" bestFit="1" customWidth="1"/>
    <col min="5" max="5" width="14" bestFit="1" customWidth="1"/>
  </cols>
  <sheetData>
    <row r="1" spans="1:8" x14ac:dyDescent="0.2">
      <c r="A1" s="42" t="s">
        <v>35</v>
      </c>
      <c r="B1" s="43" t="s">
        <v>38</v>
      </c>
      <c r="C1" s="40" t="s">
        <v>27</v>
      </c>
      <c r="D1" s="33" t="s">
        <v>52</v>
      </c>
      <c r="E1" s="19" t="s">
        <v>7</v>
      </c>
      <c r="F1" s="19" t="s">
        <v>8</v>
      </c>
      <c r="G1" s="19" t="s">
        <v>6</v>
      </c>
      <c r="H1" s="29" t="s">
        <v>5</v>
      </c>
    </row>
    <row r="2" spans="1:8" x14ac:dyDescent="0.2">
      <c r="A2" s="44" t="s">
        <v>31</v>
      </c>
      <c r="B2" s="46" t="s">
        <v>180</v>
      </c>
      <c r="C2" s="33" t="s">
        <v>54</v>
      </c>
      <c r="D2" s="33" t="s">
        <v>59</v>
      </c>
      <c r="E2" s="18"/>
      <c r="F2" s="18"/>
      <c r="G2" s="18"/>
      <c r="H2" s="33" t="s">
        <v>55</v>
      </c>
    </row>
    <row r="3" spans="1:8" x14ac:dyDescent="0.2">
      <c r="A3" s="44" t="s">
        <v>2</v>
      </c>
      <c r="B3" s="18"/>
      <c r="C3" s="18"/>
      <c r="D3" s="18"/>
      <c r="E3" s="18"/>
      <c r="F3" s="18"/>
      <c r="G3" s="18"/>
      <c r="H3" s="33"/>
    </row>
    <row r="4" spans="1:8" ht="16" thickBot="1" x14ac:dyDescent="0.25">
      <c r="A4" s="49" t="s">
        <v>3</v>
      </c>
    </row>
    <row r="5" spans="1:8" x14ac:dyDescent="0.2">
      <c r="A5" s="45" t="s">
        <v>115</v>
      </c>
      <c r="B5">
        <v>0</v>
      </c>
      <c r="C5">
        <v>1</v>
      </c>
      <c r="D5">
        <v>0</v>
      </c>
      <c r="E5" t="s">
        <v>50</v>
      </c>
      <c r="F5">
        <v>0</v>
      </c>
      <c r="G5" t="s">
        <v>89</v>
      </c>
      <c r="H5">
        <v>0</v>
      </c>
    </row>
    <row r="6" spans="1:8" x14ac:dyDescent="0.2">
      <c r="A6" t="s">
        <v>175</v>
      </c>
      <c r="B6">
        <f>2.8*0.9</f>
        <v>2.52</v>
      </c>
      <c r="C6" s="41">
        <v>0.9</v>
      </c>
      <c r="D6" s="54">
        <v>0</v>
      </c>
      <c r="E6" s="29" t="s">
        <v>50</v>
      </c>
      <c r="F6" s="29">
        <v>0</v>
      </c>
      <c r="G6" t="s">
        <v>89</v>
      </c>
      <c r="H6" s="38">
        <f>(25.3/4.6668)*Ref!C$18</f>
        <v>0</v>
      </c>
    </row>
    <row r="7" spans="1:8" x14ac:dyDescent="0.2">
      <c r="A7" s="19" t="s">
        <v>181</v>
      </c>
      <c r="B7">
        <v>0</v>
      </c>
      <c r="C7" s="41">
        <v>0.9</v>
      </c>
      <c r="D7" s="54">
        <v>0</v>
      </c>
      <c r="E7" s="29" t="s">
        <v>50</v>
      </c>
      <c r="F7" s="29">
        <v>0</v>
      </c>
      <c r="G7" t="s">
        <v>89</v>
      </c>
      <c r="H7" s="38">
        <f>(25.3/4.6668)*Ref!C$18</f>
        <v>0</v>
      </c>
    </row>
    <row r="8" spans="1:8" x14ac:dyDescent="0.2">
      <c r="A8" s="19" t="s">
        <v>195</v>
      </c>
      <c r="B8">
        <v>0</v>
      </c>
      <c r="C8">
        <v>1</v>
      </c>
      <c r="D8">
        <v>0</v>
      </c>
      <c r="E8" t="s">
        <v>50</v>
      </c>
      <c r="F8">
        <v>0</v>
      </c>
      <c r="G8" t="s">
        <v>202</v>
      </c>
      <c r="H8">
        <v>0</v>
      </c>
    </row>
    <row r="11" spans="1:8" x14ac:dyDescent="0.2">
      <c r="A11" s="23"/>
    </row>
    <row r="12" spans="1:8" x14ac:dyDescent="0.2">
      <c r="A12" s="23"/>
    </row>
    <row r="13" spans="1:8" x14ac:dyDescent="0.2">
      <c r="A13"/>
    </row>
    <row r="14" spans="1:8" x14ac:dyDescent="0.2">
      <c r="A14"/>
    </row>
    <row r="15" spans="1:8" x14ac:dyDescent="0.2">
      <c r="A15"/>
    </row>
    <row r="16" spans="1:8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1E9C-1FB8-6D45-BA43-0CB5D1BF263C}">
  <dimension ref="A1:B6"/>
  <sheetViews>
    <sheetView workbookViewId="0">
      <selection activeCell="D35" sqref="D35"/>
    </sheetView>
  </sheetViews>
  <sheetFormatPr baseColWidth="10" defaultRowHeight="15" x14ac:dyDescent="0.2"/>
  <sheetData>
    <row r="1" spans="1:2" x14ac:dyDescent="0.2">
      <c r="A1" s="42" t="s">
        <v>35</v>
      </c>
      <c r="B1" s="43" t="s">
        <v>192</v>
      </c>
    </row>
    <row r="2" spans="1:2" x14ac:dyDescent="0.2">
      <c r="A2" s="44" t="s">
        <v>31</v>
      </c>
      <c r="B2" s="46"/>
    </row>
    <row r="3" spans="1:2" x14ac:dyDescent="0.2">
      <c r="A3" s="44" t="s">
        <v>2</v>
      </c>
      <c r="B3" s="18"/>
    </row>
    <row r="4" spans="1:2" ht="16" thickBot="1" x14ac:dyDescent="0.25">
      <c r="A4" s="49" t="s">
        <v>3</v>
      </c>
    </row>
    <row r="5" spans="1:2" x14ac:dyDescent="0.2">
      <c r="A5" s="45" t="s">
        <v>115</v>
      </c>
      <c r="B5">
        <v>1</v>
      </c>
    </row>
    <row r="6" spans="1:2" x14ac:dyDescent="0.2">
      <c r="A6" t="s">
        <v>195</v>
      </c>
      <c r="B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simple_charcoal</vt:lpstr>
      <vt:lpstr>simple_power_dup</vt:lpstr>
      <vt:lpstr>CCS_power</vt:lpstr>
      <vt:lpstr>simple_heat</vt:lpstr>
      <vt:lpstr>CCS_heat</vt:lpstr>
      <vt:lpstr>AC_heat</vt:lpstr>
      <vt:lpstr>simple_CO2capture</vt:lpstr>
      <vt:lpstr>CO2_heat_cocapture</vt:lpstr>
      <vt:lpstr>delete_flow</vt:lpstr>
      <vt:lpstr>CO2_collector</vt:lpstr>
      <vt:lpstr>duplicate_CO2capture</vt:lpstr>
      <vt:lpstr>simple_compression</vt:lpstr>
      <vt:lpstr>simple_CO2storage</vt:lpstr>
      <vt:lpstr>CO2_transport</vt:lpstr>
      <vt:lpstr>CO2_injection</vt:lpstr>
      <vt:lpstr>DAC</vt:lpstr>
      <vt:lpstr>deSNOx</vt:lpstr>
      <vt:lpstr>simple_CLC-capture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2021-12-05T21:05:01Z</dcterms:modified>
</cp:coreProperties>
</file>