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Tanzer/GitHub/Industry-NETs-Paper/data/shared/"/>
    </mc:Choice>
  </mc:AlternateContent>
  <xr:revisionPtr revIDLastSave="0" documentId="13_ncr:1_{5AC58BD6-D16E-6143-AB9A-06517FFD8B16}" xr6:coauthVersionLast="47" xr6:coauthVersionMax="47" xr10:uidLastSave="{00000000-0000-0000-0000-000000000000}"/>
  <bookViews>
    <workbookView xWindow="1960" yWindow="460" windowWidth="27620" windowHeight="17540" tabRatio="598" activeTab="1" xr2:uid="{00000000-000D-0000-FFFF-FFFF00000000}"/>
  </bookViews>
  <sheets>
    <sheet name="Lime" sheetId="2" r:id="rId1"/>
    <sheet name="Charcoal" sheetId="22" r:id="rId2"/>
    <sheet name="Oxygen" sheetId="8" r:id="rId3"/>
    <sheet name="Power" sheetId="9" r:id="rId4"/>
    <sheet name="Power CCS" sheetId="28" r:id="rId5"/>
    <sheet name="Power Steam" sheetId="30" r:id="rId6"/>
    <sheet name="Heat" sheetId="32" r:id="rId7"/>
    <sheet name="Heat CCS" sheetId="18" r:id="rId8"/>
    <sheet name="Heat Aux" sheetId="29" r:id="rId9"/>
    <sheet name="CO2 Capture" sheetId="12" r:id="rId10"/>
    <sheet name="CO2 Cap Aux" sheetId="23" r:id="rId11"/>
    <sheet name="CO2 release" sheetId="33" r:id="rId12"/>
    <sheet name="CO2 Compress" sheetId="24" r:id="rId13"/>
    <sheet name="CO2 Storage" sheetId="13" r:id="rId14"/>
    <sheet name="CLC Capture" sheetId="25" r:id="rId15"/>
    <sheet name="Syngas" sheetId="20" r:id="rId16"/>
    <sheet name="WWT" sheetId="26" r:id="rId17"/>
    <sheet name="Ref" sheetId="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9" l="1"/>
  <c r="E40" i="9"/>
  <c r="C40" i="9"/>
  <c r="E34" i="28"/>
  <c r="C34" i="28"/>
  <c r="J35" i="12"/>
  <c r="H35" i="12"/>
  <c r="I32" i="23"/>
  <c r="H32" i="23"/>
  <c r="E32" i="23"/>
  <c r="D32" i="23"/>
  <c r="D36" i="24"/>
  <c r="G36" i="13"/>
  <c r="F36" i="13"/>
  <c r="C36" i="13"/>
  <c r="H34" i="29"/>
  <c r="E34" i="29"/>
  <c r="C34" i="29"/>
  <c r="E34" i="32"/>
  <c r="C34" i="32"/>
  <c r="E31" i="23" l="1"/>
  <c r="E30" i="23"/>
  <c r="E29" i="23"/>
  <c r="E28" i="23"/>
  <c r="E27" i="23"/>
  <c r="E26" i="23"/>
  <c r="E25" i="23"/>
  <c r="E30" i="12"/>
  <c r="E29" i="12"/>
  <c r="D35" i="24"/>
  <c r="D34" i="24"/>
  <c r="D33" i="24"/>
  <c r="D32" i="24"/>
  <c r="D31" i="24"/>
  <c r="D30" i="24"/>
  <c r="D29" i="24"/>
  <c r="C35" i="13"/>
  <c r="C34" i="13"/>
  <c r="C33" i="13"/>
  <c r="C32" i="13"/>
  <c r="C31" i="13"/>
  <c r="C30" i="13"/>
  <c r="C29" i="13"/>
  <c r="G32" i="13"/>
  <c r="G33" i="13" s="1"/>
  <c r="G34" i="13" s="1"/>
  <c r="G35" i="13" s="1"/>
  <c r="G31" i="13"/>
  <c r="G29" i="13"/>
  <c r="G4" i="13"/>
  <c r="F35" i="13" l="1"/>
  <c r="I31" i="23" l="1"/>
  <c r="H31" i="23"/>
  <c r="D31" i="23"/>
  <c r="I30" i="23"/>
  <c r="H30" i="23"/>
  <c r="D30" i="23"/>
  <c r="J34" i="12"/>
  <c r="J33" i="12"/>
  <c r="H33" i="29"/>
  <c r="E33" i="29"/>
  <c r="C33" i="29"/>
  <c r="H32" i="29"/>
  <c r="F32" i="29"/>
  <c r="E32" i="29"/>
  <c r="C32" i="29"/>
  <c r="F33" i="18"/>
  <c r="E33" i="18"/>
  <c r="E33" i="32"/>
  <c r="F32" i="32"/>
  <c r="E32" i="32"/>
  <c r="C32" i="32"/>
  <c r="E33" i="28"/>
  <c r="C33" i="28"/>
  <c r="E32" i="28"/>
  <c r="C32" i="28"/>
  <c r="E39" i="9"/>
  <c r="C39" i="9"/>
  <c r="E38" i="9"/>
  <c r="C38" i="9"/>
  <c r="J29" i="23" l="1"/>
  <c r="I29" i="23"/>
  <c r="I28" i="23"/>
  <c r="I27" i="23"/>
  <c r="J26" i="23"/>
  <c r="I26" i="23"/>
  <c r="J25" i="23"/>
  <c r="I25" i="23"/>
  <c r="K29" i="12" l="1"/>
  <c r="K30" i="12"/>
  <c r="J32" i="12" l="1"/>
  <c r="J31" i="12"/>
  <c r="J30" i="12"/>
  <c r="J29" i="12"/>
  <c r="K28" i="12"/>
  <c r="J28" i="12"/>
  <c r="K27" i="12"/>
  <c r="J27" i="12"/>
  <c r="K26" i="12"/>
  <c r="J26" i="12"/>
  <c r="K25" i="12"/>
  <c r="J25" i="12"/>
  <c r="K24" i="12"/>
  <c r="J24" i="12"/>
  <c r="K23" i="12"/>
  <c r="J23" i="12"/>
  <c r="K22" i="12"/>
  <c r="J22" i="12"/>
  <c r="K21" i="12"/>
  <c r="J21" i="12"/>
  <c r="K20" i="12"/>
  <c r="J20" i="12"/>
  <c r="K16" i="12"/>
  <c r="J16" i="12"/>
  <c r="K15" i="12"/>
  <c r="J15" i="12"/>
  <c r="K14" i="12"/>
  <c r="J14" i="12"/>
  <c r="K10" i="12"/>
  <c r="J10" i="12"/>
  <c r="K9" i="12"/>
  <c r="J9" i="12"/>
  <c r="K8" i="12"/>
  <c r="J8" i="12"/>
  <c r="K7" i="12"/>
  <c r="J7" i="12"/>
  <c r="K6" i="12"/>
  <c r="J6" i="12"/>
  <c r="K5" i="12"/>
  <c r="J5" i="12"/>
  <c r="N10" i="22"/>
  <c r="J10" i="22"/>
  <c r="G10" i="22"/>
  <c r="F10" i="22"/>
  <c r="E10" i="22"/>
  <c r="C10" i="22"/>
  <c r="T10" i="22"/>
  <c r="U10" i="22"/>
  <c r="V10" i="22"/>
  <c r="E31" i="32"/>
  <c r="F30" i="32"/>
  <c r="E30" i="32"/>
  <c r="C29" i="32"/>
  <c r="F28" i="32"/>
  <c r="G27" i="32"/>
  <c r="E27" i="32"/>
  <c r="D27" i="32"/>
  <c r="C27" i="32"/>
  <c r="G26" i="32"/>
  <c r="F26" i="32"/>
  <c r="E26" i="32"/>
  <c r="D26" i="32"/>
  <c r="C26" i="32"/>
  <c r="G25" i="32"/>
  <c r="E25" i="32"/>
  <c r="D25" i="32"/>
  <c r="C25" i="32"/>
  <c r="G24" i="32"/>
  <c r="F24" i="32"/>
  <c r="E24" i="32"/>
  <c r="D24" i="32"/>
  <c r="C24" i="32"/>
  <c r="G23" i="32"/>
  <c r="E23" i="32"/>
  <c r="C23" i="32"/>
  <c r="G22" i="32"/>
  <c r="E22" i="32"/>
  <c r="D22" i="32"/>
  <c r="C22" i="32"/>
  <c r="G21" i="32"/>
  <c r="F21" i="32"/>
  <c r="E21" i="32"/>
  <c r="D21" i="32"/>
  <c r="C21" i="32"/>
  <c r="G20" i="32"/>
  <c r="F20" i="32"/>
  <c r="E20" i="32"/>
  <c r="D20" i="32"/>
  <c r="C20" i="32"/>
  <c r="D19" i="32"/>
  <c r="C19" i="32"/>
  <c r="B19" i="32"/>
  <c r="E18" i="32"/>
  <c r="D18" i="32"/>
  <c r="C18" i="32"/>
  <c r="B18" i="32"/>
  <c r="H17" i="32"/>
  <c r="H19" i="32" s="1"/>
  <c r="D16" i="32"/>
  <c r="C16" i="32"/>
  <c r="B16" i="32"/>
  <c r="E15" i="32"/>
  <c r="D15" i="32"/>
  <c r="C15" i="32"/>
  <c r="B15" i="32"/>
  <c r="H14" i="32"/>
  <c r="H16" i="32" s="1"/>
  <c r="D13" i="32"/>
  <c r="C13" i="32"/>
  <c r="B13" i="32"/>
  <c r="D12" i="32"/>
  <c r="C12" i="32"/>
  <c r="C33" i="32" s="1"/>
  <c r="B12" i="32"/>
  <c r="H11" i="32"/>
  <c r="H13" i="32" s="1"/>
  <c r="C10" i="32"/>
  <c r="C31" i="32" s="1"/>
  <c r="B10" i="32"/>
  <c r="E9" i="32"/>
  <c r="E10" i="32" s="1"/>
  <c r="E29" i="32" s="1"/>
  <c r="C9" i="32"/>
  <c r="C30" i="32" s="1"/>
  <c r="B9" i="32"/>
  <c r="H8" i="32"/>
  <c r="H10" i="32" s="1"/>
  <c r="D8" i="32"/>
  <c r="D10" i="32" s="1"/>
  <c r="H7" i="32"/>
  <c r="C7" i="32"/>
  <c r="C28" i="32" s="1"/>
  <c r="B7" i="32"/>
  <c r="E6" i="32"/>
  <c r="E7" i="32" s="1"/>
  <c r="C6" i="32"/>
  <c r="B6" i="32"/>
  <c r="H5" i="32"/>
  <c r="H6" i="32" s="1"/>
  <c r="D5" i="32"/>
  <c r="D7" i="32" s="1"/>
  <c r="H4" i="32"/>
  <c r="H34" i="32" l="1"/>
  <c r="H32" i="32"/>
  <c r="H33" i="32"/>
  <c r="D6" i="32"/>
  <c r="D9" i="32"/>
  <c r="H12" i="32"/>
  <c r="H18" i="32"/>
  <c r="H21" i="32"/>
  <c r="H25" i="32"/>
  <c r="H28" i="32"/>
  <c r="H29" i="32"/>
  <c r="H22" i="32"/>
  <c r="H23" i="32"/>
  <c r="E28" i="32"/>
  <c r="H30" i="32"/>
  <c r="H31" i="32"/>
  <c r="H9" i="32"/>
  <c r="H15" i="32"/>
  <c r="H20" i="32"/>
  <c r="H26" i="32"/>
  <c r="H24" i="32"/>
  <c r="H27" i="32"/>
  <c r="H29" i="23" l="1"/>
  <c r="D29" i="23"/>
  <c r="F32" i="18" l="1"/>
  <c r="E32" i="18"/>
  <c r="E37" i="9"/>
  <c r="C37" i="9"/>
  <c r="F30" i="13" l="1"/>
  <c r="G30" i="13"/>
  <c r="E36" i="9" l="1"/>
  <c r="C36" i="9"/>
  <c r="E35" i="9"/>
  <c r="C35" i="9"/>
  <c r="E30" i="28"/>
  <c r="C30" i="28"/>
  <c r="E29" i="28"/>
  <c r="C29" i="28"/>
  <c r="E31" i="29"/>
  <c r="F30" i="29"/>
  <c r="E30" i="29"/>
  <c r="E31" i="18"/>
  <c r="F30" i="18"/>
  <c r="E30" i="18"/>
  <c r="H28" i="23"/>
  <c r="D28" i="23"/>
  <c r="H27" i="23"/>
  <c r="D27" i="23"/>
  <c r="G24" i="13" l="1"/>
  <c r="G25" i="13"/>
  <c r="G26" i="13" s="1"/>
  <c r="G27" i="13" s="1"/>
  <c r="G28" i="13" s="1"/>
  <c r="F32" i="13"/>
  <c r="H5" i="23"/>
  <c r="H6" i="23" s="1"/>
  <c r="H8" i="23"/>
  <c r="H9" i="23"/>
  <c r="H10" i="23"/>
  <c r="H11" i="23"/>
  <c r="H12" i="23" s="1"/>
  <c r="H14" i="23"/>
  <c r="H16" i="23" s="1"/>
  <c r="H17" i="23"/>
  <c r="H19" i="23" s="1"/>
  <c r="H20" i="23"/>
  <c r="H21" i="23"/>
  <c r="H22" i="23"/>
  <c r="H23" i="23"/>
  <c r="H24" i="23"/>
  <c r="H25" i="23"/>
  <c r="H26" i="23"/>
  <c r="E4" i="23"/>
  <c r="D26" i="23"/>
  <c r="D25" i="23"/>
  <c r="H4" i="12"/>
  <c r="H30" i="12" s="1"/>
  <c r="G30" i="12"/>
  <c r="E4" i="12"/>
  <c r="D30" i="12"/>
  <c r="G29" i="12"/>
  <c r="D29" i="12"/>
  <c r="H4" i="29"/>
  <c r="H29" i="29"/>
  <c r="E9" i="29"/>
  <c r="E10" i="29" s="1"/>
  <c r="E29" i="29" s="1"/>
  <c r="C29" i="29"/>
  <c r="H28" i="29"/>
  <c r="E28" i="29"/>
  <c r="C7" i="29"/>
  <c r="C28" i="29" s="1"/>
  <c r="H4" i="18"/>
  <c r="H29" i="18" s="1"/>
  <c r="H28" i="18"/>
  <c r="F28" i="18"/>
  <c r="E9" i="18"/>
  <c r="E10" i="18" s="1"/>
  <c r="E29" i="18" s="1"/>
  <c r="C29" i="18"/>
  <c r="E28" i="18"/>
  <c r="C7" i="18"/>
  <c r="E9" i="28"/>
  <c r="C4" i="28"/>
  <c r="C7" i="28"/>
  <c r="C6" i="28"/>
  <c r="C13" i="9"/>
  <c r="E14" i="9"/>
  <c r="H27" i="29"/>
  <c r="G27" i="29"/>
  <c r="E27" i="29"/>
  <c r="D27" i="29"/>
  <c r="C27" i="29"/>
  <c r="H26" i="29"/>
  <c r="G26" i="29"/>
  <c r="F26" i="29"/>
  <c r="E26" i="29"/>
  <c r="D26" i="29"/>
  <c r="C26" i="29"/>
  <c r="H25" i="29"/>
  <c r="G25" i="29"/>
  <c r="E25" i="29"/>
  <c r="D25" i="29"/>
  <c r="C25" i="29"/>
  <c r="H24" i="29"/>
  <c r="G24" i="29"/>
  <c r="F24" i="29"/>
  <c r="E24" i="29"/>
  <c r="D24" i="29"/>
  <c r="C24" i="29"/>
  <c r="H5" i="29"/>
  <c r="H23" i="29" s="1"/>
  <c r="G23" i="29"/>
  <c r="E23" i="29"/>
  <c r="C23" i="29"/>
  <c r="H22" i="29"/>
  <c r="G22" i="29"/>
  <c r="E22" i="29"/>
  <c r="D22" i="29"/>
  <c r="C22" i="29"/>
  <c r="H21" i="29"/>
  <c r="G21" i="29"/>
  <c r="F21" i="29"/>
  <c r="E21" i="29"/>
  <c r="D21" i="29"/>
  <c r="C21" i="29"/>
  <c r="H20" i="29"/>
  <c r="G20" i="29"/>
  <c r="F20" i="29"/>
  <c r="E20" i="29"/>
  <c r="D20" i="29"/>
  <c r="C20" i="29"/>
  <c r="H17" i="29"/>
  <c r="H19" i="29"/>
  <c r="D19" i="29"/>
  <c r="C19" i="29"/>
  <c r="B19" i="29"/>
  <c r="H18" i="29"/>
  <c r="E18" i="29"/>
  <c r="D18" i="29"/>
  <c r="C18" i="29"/>
  <c r="B18" i="29"/>
  <c r="H14" i="29"/>
  <c r="H16" i="29" s="1"/>
  <c r="D16" i="29"/>
  <c r="C16" i="29"/>
  <c r="B16" i="29"/>
  <c r="E15" i="29"/>
  <c r="D15" i="29"/>
  <c r="C15" i="29"/>
  <c r="B15" i="29"/>
  <c r="H11" i="29"/>
  <c r="H13" i="29"/>
  <c r="D13" i="29"/>
  <c r="C13" i="29"/>
  <c r="B13" i="29"/>
  <c r="H12" i="29"/>
  <c r="D12" i="29"/>
  <c r="C12" i="29"/>
  <c r="B12" i="29"/>
  <c r="H8" i="29"/>
  <c r="H9" i="29" s="1"/>
  <c r="D8" i="29"/>
  <c r="D10" i="29"/>
  <c r="C10" i="29"/>
  <c r="C31" i="29" s="1"/>
  <c r="B10" i="29"/>
  <c r="D9" i="29"/>
  <c r="C9" i="29"/>
  <c r="C30" i="29" s="1"/>
  <c r="B9" i="29"/>
  <c r="H7" i="29"/>
  <c r="E6" i="29"/>
  <c r="E7" i="29"/>
  <c r="D5" i="29"/>
  <c r="D7" i="29" s="1"/>
  <c r="B7" i="29"/>
  <c r="H6" i="29"/>
  <c r="D6" i="29"/>
  <c r="C6" i="29"/>
  <c r="B6" i="29"/>
  <c r="D5" i="9"/>
  <c r="F28" i="13"/>
  <c r="F26" i="13"/>
  <c r="F19" i="13"/>
  <c r="F18" i="13"/>
  <c r="F16" i="13"/>
  <c r="F15" i="13"/>
  <c r="F13" i="13"/>
  <c r="F12" i="13"/>
  <c r="F10" i="13"/>
  <c r="F9" i="13"/>
  <c r="F7" i="13"/>
  <c r="F6" i="13"/>
  <c r="E26" i="28"/>
  <c r="C26" i="28"/>
  <c r="C25" i="28"/>
  <c r="E24" i="28"/>
  <c r="E23" i="28"/>
  <c r="D23" i="28"/>
  <c r="E22" i="28"/>
  <c r="D22" i="28"/>
  <c r="C22" i="28"/>
  <c r="B22" i="28"/>
  <c r="E21" i="28"/>
  <c r="D21" i="28"/>
  <c r="C21" i="28"/>
  <c r="B21" i="28"/>
  <c r="E19" i="28"/>
  <c r="D19" i="28"/>
  <c r="C19" i="28"/>
  <c r="B19" i="28"/>
  <c r="E18" i="28"/>
  <c r="D18" i="28"/>
  <c r="C18" i="28"/>
  <c r="B18" i="28"/>
  <c r="E16" i="28"/>
  <c r="D16" i="28"/>
  <c r="C16" i="28"/>
  <c r="B16" i="28"/>
  <c r="E15" i="28"/>
  <c r="D15" i="28"/>
  <c r="C15" i="28"/>
  <c r="B15" i="28"/>
  <c r="E13" i="28"/>
  <c r="D13" i="28"/>
  <c r="C13" i="28"/>
  <c r="B13" i="28"/>
  <c r="E12" i="28"/>
  <c r="D12" i="28"/>
  <c r="C12" i="28"/>
  <c r="B12" i="28"/>
  <c r="E10" i="28"/>
  <c r="E25" i="28"/>
  <c r="D10" i="28"/>
  <c r="B10" i="28"/>
  <c r="D9" i="28"/>
  <c r="D24" i="28"/>
  <c r="B9" i="28"/>
  <c r="E7" i="28"/>
  <c r="E6" i="28"/>
  <c r="E5" i="28"/>
  <c r="D4" i="28"/>
  <c r="C5" i="28"/>
  <c r="C24" i="28"/>
  <c r="C23" i="28"/>
  <c r="F24" i="23"/>
  <c r="D24" i="23"/>
  <c r="C24" i="23"/>
  <c r="F23" i="23"/>
  <c r="D23" i="23"/>
  <c r="C23" i="23"/>
  <c r="F22" i="23"/>
  <c r="D22" i="23"/>
  <c r="C22" i="23"/>
  <c r="F21" i="23"/>
  <c r="D21" i="23"/>
  <c r="C21" i="23"/>
  <c r="D28" i="24"/>
  <c r="C28" i="24"/>
  <c r="D27" i="24"/>
  <c r="C27" i="24"/>
  <c r="D26" i="24"/>
  <c r="C26" i="24"/>
  <c r="D25" i="24"/>
  <c r="C25" i="24"/>
  <c r="K8" i="25"/>
  <c r="G8" i="25"/>
  <c r="F8" i="25"/>
  <c r="K7" i="25"/>
  <c r="G7" i="25"/>
  <c r="F7" i="25"/>
  <c r="G28" i="12"/>
  <c r="G27" i="12"/>
  <c r="G26" i="12"/>
  <c r="G25" i="12"/>
  <c r="D28" i="12"/>
  <c r="D27" i="12"/>
  <c r="D26" i="12"/>
  <c r="D25" i="12"/>
  <c r="C28" i="12"/>
  <c r="C27" i="12"/>
  <c r="C26" i="12"/>
  <c r="C25" i="12"/>
  <c r="E24" i="12"/>
  <c r="H26" i="12"/>
  <c r="F4" i="12"/>
  <c r="F26" i="12" s="1"/>
  <c r="G27" i="18"/>
  <c r="E27" i="18"/>
  <c r="D27" i="18"/>
  <c r="C27" i="18"/>
  <c r="G26" i="18"/>
  <c r="F26" i="18"/>
  <c r="E26" i="18"/>
  <c r="D26" i="18"/>
  <c r="C26" i="18"/>
  <c r="G25" i="18"/>
  <c r="E25" i="18"/>
  <c r="D25" i="18"/>
  <c r="C25" i="18"/>
  <c r="G24" i="18"/>
  <c r="F24" i="18"/>
  <c r="E24" i="18"/>
  <c r="D24" i="18"/>
  <c r="C24" i="18"/>
  <c r="G7" i="26"/>
  <c r="F7" i="26"/>
  <c r="E7" i="26"/>
  <c r="D7" i="26"/>
  <c r="G6" i="26"/>
  <c r="F6" i="26"/>
  <c r="E6" i="26"/>
  <c r="D6" i="26"/>
  <c r="D23" i="2"/>
  <c r="C23" i="2"/>
  <c r="E23" i="2"/>
  <c r="E22" i="2"/>
  <c r="D22" i="2"/>
  <c r="C22" i="2"/>
  <c r="H27" i="12"/>
  <c r="H28" i="12"/>
  <c r="H25" i="12"/>
  <c r="F25" i="12"/>
  <c r="D20" i="2"/>
  <c r="C31" i="8"/>
  <c r="C30" i="8"/>
  <c r="C29" i="8"/>
  <c r="C28" i="8"/>
  <c r="C32" i="9"/>
  <c r="C31" i="9"/>
  <c r="C29" i="9"/>
  <c r="E31" i="9"/>
  <c r="D24" i="24"/>
  <c r="C24" i="24"/>
  <c r="H24" i="12"/>
  <c r="G23" i="18"/>
  <c r="E23" i="18"/>
  <c r="C23" i="18"/>
  <c r="H19" i="2"/>
  <c r="G19" i="2"/>
  <c r="F19" i="2"/>
  <c r="E19" i="2"/>
  <c r="H18" i="2"/>
  <c r="G18" i="2"/>
  <c r="F18" i="2"/>
  <c r="E18" i="2"/>
  <c r="H16" i="2"/>
  <c r="G16" i="2"/>
  <c r="F16" i="2"/>
  <c r="E16" i="2"/>
  <c r="H15" i="2"/>
  <c r="G15" i="2"/>
  <c r="F15" i="2"/>
  <c r="E15" i="2"/>
  <c r="H13" i="2"/>
  <c r="G13" i="2"/>
  <c r="F13" i="2"/>
  <c r="E13" i="2"/>
  <c r="H12" i="2"/>
  <c r="G12" i="2"/>
  <c r="F12" i="2"/>
  <c r="E12" i="2"/>
  <c r="H10" i="2"/>
  <c r="G10" i="2"/>
  <c r="F10" i="2"/>
  <c r="E10" i="2"/>
  <c r="H9" i="2"/>
  <c r="G9" i="2"/>
  <c r="F9" i="2"/>
  <c r="E9" i="2"/>
  <c r="H7" i="2"/>
  <c r="H6" i="2"/>
  <c r="G7" i="2"/>
  <c r="G6" i="2"/>
  <c r="F7" i="2"/>
  <c r="F6" i="2"/>
  <c r="E7" i="2"/>
  <c r="E6" i="2"/>
  <c r="G5" i="26"/>
  <c r="F5" i="26"/>
  <c r="E5" i="26"/>
  <c r="D5" i="26"/>
  <c r="E21" i="2"/>
  <c r="C21" i="2"/>
  <c r="D27" i="9"/>
  <c r="D26" i="9"/>
  <c r="G22" i="18"/>
  <c r="E22" i="18"/>
  <c r="D22" i="18"/>
  <c r="G21" i="18"/>
  <c r="F21" i="18"/>
  <c r="E21" i="18"/>
  <c r="D21" i="18"/>
  <c r="G20" i="18"/>
  <c r="F20" i="18"/>
  <c r="E20" i="18"/>
  <c r="D20" i="18"/>
  <c r="C22" i="18"/>
  <c r="C20" i="18"/>
  <c r="C21" i="18"/>
  <c r="F6" i="25"/>
  <c r="F5" i="25"/>
  <c r="G6" i="25"/>
  <c r="G5" i="25"/>
  <c r="K6" i="25"/>
  <c r="K5" i="25"/>
  <c r="G18" i="12"/>
  <c r="G19" i="12" s="1"/>
  <c r="G15" i="12"/>
  <c r="G16" i="12" s="1"/>
  <c r="G12" i="12"/>
  <c r="G13" i="12" s="1"/>
  <c r="G9" i="12"/>
  <c r="G10" i="12" s="1"/>
  <c r="G6" i="12"/>
  <c r="G7" i="12" s="1"/>
  <c r="D25" i="9"/>
  <c r="N8" i="22"/>
  <c r="K14" i="20"/>
  <c r="K11" i="20"/>
  <c r="K13" i="20"/>
  <c r="K8" i="20"/>
  <c r="K10" i="20"/>
  <c r="J14" i="20"/>
  <c r="J11" i="20"/>
  <c r="J13" i="20"/>
  <c r="J8" i="20"/>
  <c r="J10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20" i="22"/>
  <c r="J12" i="20"/>
  <c r="H12" i="22"/>
  <c r="K12" i="20"/>
  <c r="K9" i="20"/>
  <c r="J9" i="20"/>
  <c r="H18" i="22"/>
  <c r="I18" i="22"/>
  <c r="H15" i="22"/>
  <c r="I15" i="22"/>
  <c r="I12" i="22"/>
  <c r="C20" i="2"/>
  <c r="W20" i="22"/>
  <c r="O20" i="22"/>
  <c r="M20" i="22"/>
  <c r="L20" i="22"/>
  <c r="K20" i="22"/>
  <c r="C20" i="22"/>
  <c r="F20" i="23"/>
  <c r="D20" i="23"/>
  <c r="C20" i="23"/>
  <c r="H20" i="12"/>
  <c r="F20" i="12"/>
  <c r="D20" i="12"/>
  <c r="C20" i="12"/>
  <c r="E24" i="9"/>
  <c r="C23" i="8"/>
  <c r="D20" i="24"/>
  <c r="C20" i="24"/>
  <c r="E20" i="13"/>
  <c r="D20" i="13"/>
  <c r="C20" i="13"/>
  <c r="B19" i="13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3" i="9"/>
  <c r="B22" i="9"/>
  <c r="B20" i="9"/>
  <c r="B19" i="9"/>
  <c r="B17" i="9"/>
  <c r="B16" i="9"/>
  <c r="B14" i="9"/>
  <c r="B13" i="9"/>
  <c r="B11" i="9"/>
  <c r="B10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H14" i="12"/>
  <c r="F14" i="12"/>
  <c r="E11" i="12"/>
  <c r="E17" i="12"/>
  <c r="C19" i="24"/>
  <c r="C18" i="24"/>
  <c r="C16" i="24"/>
  <c r="C15" i="24"/>
  <c r="C13" i="24"/>
  <c r="C12" i="24"/>
  <c r="C10" i="24"/>
  <c r="C9" i="24"/>
  <c r="C7" i="24"/>
  <c r="C6" i="24"/>
  <c r="F17" i="23"/>
  <c r="F19" i="23" s="1"/>
  <c r="F14" i="23"/>
  <c r="F16" i="23" s="1"/>
  <c r="F11" i="23"/>
  <c r="F13" i="23" s="1"/>
  <c r="F8" i="23"/>
  <c r="F10" i="23" s="1"/>
  <c r="D19" i="23"/>
  <c r="C19" i="23"/>
  <c r="D18" i="23"/>
  <c r="C18" i="23"/>
  <c r="D16" i="23"/>
  <c r="C16" i="23"/>
  <c r="D15" i="23"/>
  <c r="C15" i="23"/>
  <c r="D13" i="23"/>
  <c r="C13" i="23"/>
  <c r="D12" i="23"/>
  <c r="C12" i="23"/>
  <c r="D10" i="23"/>
  <c r="C10" i="23"/>
  <c r="D9" i="23"/>
  <c r="C9" i="23"/>
  <c r="D7" i="23"/>
  <c r="C7" i="23"/>
  <c r="D6" i="23"/>
  <c r="C6" i="23"/>
  <c r="F5" i="23"/>
  <c r="F6" i="23" s="1"/>
  <c r="F12" i="23"/>
  <c r="F7" i="23"/>
  <c r="F9" i="23"/>
  <c r="F15" i="23"/>
  <c r="O19" i="22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/>
  <c r="N6" i="22"/>
  <c r="N7" i="22"/>
  <c r="O13" i="22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/>
  <c r="M5" i="22"/>
  <c r="L6" i="22"/>
  <c r="J6" i="22"/>
  <c r="V20" i="22"/>
  <c r="U20" i="22"/>
  <c r="T20" i="22"/>
  <c r="P20" i="22"/>
  <c r="E4" i="22"/>
  <c r="J8" i="22"/>
  <c r="J9" i="22"/>
  <c r="J20" i="22"/>
  <c r="J19" i="22"/>
  <c r="J15" i="22"/>
  <c r="J18" i="22"/>
  <c r="J14" i="22"/>
  <c r="J17" i="22"/>
  <c r="J16" i="22"/>
  <c r="J13" i="22"/>
  <c r="J12" i="22"/>
  <c r="J11" i="22"/>
  <c r="N9" i="22"/>
  <c r="N20" i="22"/>
  <c r="E9" i="22"/>
  <c r="E20" i="22"/>
  <c r="E8" i="22"/>
  <c r="D5" i="22"/>
  <c r="D20" i="22"/>
  <c r="N16" i="22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/>
  <c r="L5" i="22"/>
  <c r="E7" i="22"/>
  <c r="J5" i="22"/>
  <c r="H8" i="12"/>
  <c r="H5" i="12"/>
  <c r="N11" i="20"/>
  <c r="N8" i="20"/>
  <c r="P8" i="20"/>
  <c r="P11" i="20"/>
  <c r="E19" i="13"/>
  <c r="E18" i="13"/>
  <c r="E16" i="13"/>
  <c r="E15" i="13"/>
  <c r="E13" i="13"/>
  <c r="E12" i="13"/>
  <c r="E10" i="13"/>
  <c r="E9" i="13"/>
  <c r="E7" i="13"/>
  <c r="E6" i="13"/>
  <c r="P5" i="20"/>
  <c r="P4" i="20"/>
  <c r="E7" i="9"/>
  <c r="E26" i="9"/>
  <c r="E6" i="9"/>
  <c r="E25" i="9"/>
  <c r="C6" i="8"/>
  <c r="C5" i="8"/>
  <c r="N6" i="20"/>
  <c r="P6" i="20"/>
  <c r="M5" i="20"/>
  <c r="G5" i="20"/>
  <c r="E8" i="9"/>
  <c r="E27" i="9"/>
  <c r="C4" i="9"/>
  <c r="C7" i="8"/>
  <c r="R7" i="20"/>
  <c r="Q7" i="20"/>
  <c r="O7" i="20"/>
  <c r="N7" i="20"/>
  <c r="P7" i="20"/>
  <c r="M7" i="20"/>
  <c r="L7" i="20"/>
  <c r="F7" i="20"/>
  <c r="E7" i="20"/>
  <c r="D7" i="20"/>
  <c r="C7" i="20"/>
  <c r="C24" i="9"/>
  <c r="C26" i="9"/>
  <c r="C6" i="9"/>
  <c r="C7" i="9"/>
  <c r="C30" i="9"/>
  <c r="C8" i="9"/>
  <c r="C28" i="9"/>
  <c r="R13" i="20"/>
  <c r="R12" i="20"/>
  <c r="R10" i="20"/>
  <c r="R9" i="20"/>
  <c r="C27" i="9"/>
  <c r="C25" i="9"/>
  <c r="Q13" i="20"/>
  <c r="Q12" i="20"/>
  <c r="Q10" i="20"/>
  <c r="Q9" i="20"/>
  <c r="M12" i="20"/>
  <c r="C19" i="2"/>
  <c r="C18" i="2"/>
  <c r="C16" i="2"/>
  <c r="C15" i="2"/>
  <c r="H19" i="12"/>
  <c r="H18" i="12"/>
  <c r="H16" i="12"/>
  <c r="H15" i="12"/>
  <c r="H13" i="12"/>
  <c r="H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/>
  <c r="N10" i="20"/>
  <c r="G10" i="20"/>
  <c r="H10" i="12"/>
  <c r="H9" i="12"/>
  <c r="H7" i="12"/>
  <c r="H23" i="12" s="1"/>
  <c r="H6" i="12"/>
  <c r="H22" i="12" s="1"/>
  <c r="C19" i="18"/>
  <c r="E18" i="18"/>
  <c r="C18" i="18"/>
  <c r="D19" i="18"/>
  <c r="C16" i="18"/>
  <c r="E15" i="18"/>
  <c r="E34" i="18" s="1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/>
  <c r="E6" i="18"/>
  <c r="E7" i="18" s="1"/>
  <c r="E10" i="9"/>
  <c r="E28" i="9"/>
  <c r="C16" i="13"/>
  <c r="D15" i="18"/>
  <c r="D18" i="18"/>
  <c r="C7" i="2"/>
  <c r="C6" i="2"/>
  <c r="E23" i="9"/>
  <c r="D23" i="9"/>
  <c r="C23" i="9"/>
  <c r="E22" i="9"/>
  <c r="D22" i="9"/>
  <c r="C22" i="9"/>
  <c r="E20" i="9"/>
  <c r="D20" i="9"/>
  <c r="C20" i="9"/>
  <c r="E19" i="9"/>
  <c r="D19" i="9"/>
  <c r="C19" i="9"/>
  <c r="C22" i="8"/>
  <c r="C21" i="8"/>
  <c r="C19" i="8"/>
  <c r="C18" i="8"/>
  <c r="D8" i="18"/>
  <c r="D5" i="18"/>
  <c r="D7" i="18" s="1"/>
  <c r="F5" i="12"/>
  <c r="D13" i="13"/>
  <c r="D12" i="13"/>
  <c r="C11" i="13"/>
  <c r="D9" i="13"/>
  <c r="C8" i="13"/>
  <c r="C10" i="13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C34" i="18" s="1"/>
  <c r="D12" i="18"/>
  <c r="C12" i="18"/>
  <c r="D10" i="18"/>
  <c r="C10" i="18"/>
  <c r="C31" i="18" s="1"/>
  <c r="D9" i="18"/>
  <c r="C9" i="18"/>
  <c r="C16" i="8"/>
  <c r="C15" i="8"/>
  <c r="C13" i="8"/>
  <c r="C12" i="8"/>
  <c r="E17" i="9"/>
  <c r="D17" i="9"/>
  <c r="C17" i="9"/>
  <c r="E16" i="9"/>
  <c r="D16" i="9"/>
  <c r="C16" i="9"/>
  <c r="D14" i="9"/>
  <c r="C14" i="9"/>
  <c r="E13" i="9"/>
  <c r="E32" i="9"/>
  <c r="D13" i="9"/>
  <c r="C9" i="13"/>
  <c r="C13" i="13"/>
  <c r="C12" i="13"/>
  <c r="C13" i="2"/>
  <c r="C12" i="2"/>
  <c r="C9" i="2"/>
  <c r="C10" i="2"/>
  <c r="D7" i="13"/>
  <c r="C7" i="13"/>
  <c r="D6" i="13"/>
  <c r="C6" i="13"/>
  <c r="F7" i="12"/>
  <c r="F23" i="12" s="1"/>
  <c r="D7" i="12"/>
  <c r="D23" i="12" s="1"/>
  <c r="C7" i="12"/>
  <c r="C23" i="12" s="1"/>
  <c r="F6" i="12"/>
  <c r="F22" i="12" s="1"/>
  <c r="D6" i="12"/>
  <c r="D22" i="12" s="1"/>
  <c r="C6" i="12"/>
  <c r="C22" i="12" s="1"/>
  <c r="C6" i="18"/>
  <c r="E11" i="9"/>
  <c r="E29" i="9"/>
  <c r="D11" i="9"/>
  <c r="D10" i="9"/>
  <c r="C9" i="8"/>
  <c r="C10" i="8"/>
  <c r="B21" i="7"/>
  <c r="B20" i="7"/>
  <c r="B19" i="7"/>
  <c r="C7" i="7"/>
  <c r="B18" i="7"/>
  <c r="B10" i="7"/>
  <c r="C7" i="26"/>
  <c r="E7" i="25"/>
  <c r="C6" i="26"/>
  <c r="E8" i="25"/>
  <c r="C5" i="26"/>
  <c r="D27" i="8"/>
  <c r="H20" i="18"/>
  <c r="D25" i="8"/>
  <c r="D26" i="8"/>
  <c r="G22" i="13"/>
  <c r="E6" i="25"/>
  <c r="D23" i="24"/>
  <c r="E5" i="25"/>
  <c r="G23" i="13"/>
  <c r="D22" i="24"/>
  <c r="P6" i="22"/>
  <c r="P7" i="22"/>
  <c r="H21" i="18"/>
  <c r="E14" i="12"/>
  <c r="E16" i="12" s="1"/>
  <c r="D5" i="24"/>
  <c r="D17" i="24"/>
  <c r="D14" i="24"/>
  <c r="D8" i="24"/>
  <c r="D11" i="24"/>
  <c r="E8" i="23"/>
  <c r="E11" i="23"/>
  <c r="E13" i="23" s="1"/>
  <c r="E5" i="23"/>
  <c r="E6" i="23" s="1"/>
  <c r="E14" i="23"/>
  <c r="E17" i="23"/>
  <c r="E19" i="23" s="1"/>
  <c r="O4" i="22"/>
  <c r="O8" i="20"/>
  <c r="O11" i="20"/>
  <c r="E9" i="12"/>
  <c r="E5" i="12"/>
  <c r="H14" i="18"/>
  <c r="O5" i="20"/>
  <c r="D14" i="2"/>
  <c r="D17" i="2"/>
  <c r="H17" i="18"/>
  <c r="H11" i="18"/>
  <c r="H12" i="18" s="1"/>
  <c r="H8" i="18"/>
  <c r="H5" i="18"/>
  <c r="H23" i="18"/>
  <c r="D8" i="2"/>
  <c r="D5" i="2"/>
  <c r="D21" i="2"/>
  <c r="C6" i="7"/>
  <c r="C10" i="7"/>
  <c r="C4" i="7"/>
  <c r="C8" i="7"/>
  <c r="C11" i="7"/>
  <c r="C5" i="7"/>
  <c r="C9" i="7"/>
  <c r="C12" i="7"/>
  <c r="D20" i="8"/>
  <c r="D14" i="8"/>
  <c r="H25" i="18"/>
  <c r="H26" i="18"/>
  <c r="H27" i="18"/>
  <c r="H24" i="18"/>
  <c r="H22" i="18"/>
  <c r="E26" i="12"/>
  <c r="E27" i="12"/>
  <c r="E25" i="12"/>
  <c r="E28" i="12"/>
  <c r="E20" i="12"/>
  <c r="E24" i="23"/>
  <c r="E22" i="23"/>
  <c r="E21" i="23"/>
  <c r="E23" i="23"/>
  <c r="E20" i="23"/>
  <c r="G5" i="13"/>
  <c r="G9" i="13" s="1"/>
  <c r="G20" i="13"/>
  <c r="E18" i="23"/>
  <c r="E10" i="23"/>
  <c r="E9" i="23"/>
  <c r="D19" i="24"/>
  <c r="D18" i="24"/>
  <c r="E15" i="23"/>
  <c r="E16" i="23"/>
  <c r="D13" i="24"/>
  <c r="D12" i="24"/>
  <c r="D7" i="24"/>
  <c r="D6" i="24"/>
  <c r="E7" i="23"/>
  <c r="D9" i="24"/>
  <c r="D10" i="24"/>
  <c r="D15" i="24"/>
  <c r="D16" i="24"/>
  <c r="O13" i="20"/>
  <c r="O12" i="20"/>
  <c r="O9" i="20"/>
  <c r="O10" i="20"/>
  <c r="H7" i="18"/>
  <c r="H6" i="18"/>
  <c r="D16" i="2"/>
  <c r="D15" i="2"/>
  <c r="H10" i="18"/>
  <c r="H9" i="18"/>
  <c r="H13" i="18"/>
  <c r="D4" i="8"/>
  <c r="D11" i="8"/>
  <c r="H16" i="18"/>
  <c r="H15" i="18"/>
  <c r="H19" i="18"/>
  <c r="H18" i="18"/>
  <c r="E19" i="12"/>
  <c r="E18" i="12"/>
  <c r="D19" i="2"/>
  <c r="D18" i="2"/>
  <c r="D17" i="8"/>
  <c r="D8" i="8"/>
  <c r="D10" i="8"/>
  <c r="D9" i="2"/>
  <c r="D10" i="2"/>
  <c r="D13" i="2"/>
  <c r="D12" i="2"/>
  <c r="D7" i="2"/>
  <c r="D6" i="2"/>
  <c r="E7" i="12"/>
  <c r="E23" i="12" s="1"/>
  <c r="E6" i="12"/>
  <c r="E22" i="12" s="1"/>
  <c r="E10" i="12"/>
  <c r="G12" i="13"/>
  <c r="G6" i="13"/>
  <c r="G18" i="13"/>
  <c r="G7" i="13"/>
  <c r="G8" i="13" s="1"/>
  <c r="G13" i="13"/>
  <c r="G14" i="13" s="1"/>
  <c r="D23" i="8"/>
  <c r="D31" i="8"/>
  <c r="D29" i="8"/>
  <c r="D30" i="8"/>
  <c r="D28" i="8"/>
  <c r="G15" i="13"/>
  <c r="G10" i="13"/>
  <c r="G11" i="13"/>
  <c r="G19" i="13"/>
  <c r="G16" i="13"/>
  <c r="G17" i="13" s="1"/>
  <c r="D9" i="8"/>
  <c r="D7" i="8"/>
  <c r="D6" i="8"/>
  <c r="D5" i="8"/>
  <c r="D22" i="8"/>
  <c r="D21" i="8"/>
  <c r="D19" i="8"/>
  <c r="D18" i="8"/>
  <c r="D13" i="8"/>
  <c r="D12" i="8"/>
  <c r="D16" i="8"/>
  <c r="D15" i="8"/>
  <c r="D6" i="18" l="1"/>
  <c r="H34" i="18"/>
  <c r="H33" i="18"/>
  <c r="H32" i="18"/>
  <c r="H30" i="18"/>
  <c r="H31" i="18"/>
  <c r="H29" i="12"/>
  <c r="H33" i="12"/>
  <c r="H34" i="12"/>
  <c r="H32" i="12"/>
  <c r="H31" i="12"/>
  <c r="H13" i="23"/>
  <c r="H18" i="23"/>
  <c r="H15" i="23"/>
  <c r="H7" i="23"/>
  <c r="F18" i="23"/>
  <c r="E12" i="23"/>
  <c r="H10" i="29"/>
  <c r="H15" i="29"/>
  <c r="H30" i="29"/>
  <c r="H31" i="29"/>
  <c r="E1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G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prev 0.071/0.6</t>
        </r>
      </text>
    </comment>
    <comment ref="G8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prev 0.071/0.6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8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C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<sst xmlns="http://schemas.openxmlformats.org/spreadsheetml/2006/main" count="1150" uniqueCount="204">
  <si>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</si>
  <si>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</si>
  <si>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</si>
  <si>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</si>
  <si>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</si>
  <si>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</si>
  <si>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</si>
  <si>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</si>
  <si>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</si>
  <si>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</si>
  <si>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</si>
  <si>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</si>
  <si>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</si>
  <si>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</si>
  <si>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</si>
  <si>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</si>
  <si>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</si>
  <si>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</si>
  <si>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</si>
  <si>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</si>
  <si>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</si>
  <si>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</si>
  <si>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</si>
  <si>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</si>
  <si>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</si>
  <si>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</si>
  <si>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</si>
  <si>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</si>
  <si>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</si>
  <si>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</si>
  <si>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</si>
  <si>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</si>
  <si>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</si>
  <si>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</si>
  <si>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</si>
  <si>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</si>
  <si>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</si>
  <si>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</si>
  <si>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</si>
  <si>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</si>
  <si>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</si>
  <si>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</si>
  <si>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</si>
  <si>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</si>
  <si>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</si>
  <si>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</si>
  <si>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</si>
  <si>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</si>
  <si>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</si>
  <si>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</si>
  <si>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</si>
  <si>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</si>
  <si>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</si>
  <si>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</si>
  <si>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</si>
  <si>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</si>
  <si>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</si>
  <si>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</si>
  <si>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</si>
  <si>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</si>
  <si>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</si>
  <si>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</si>
  <si>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</si>
  <si>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</si>
  <si>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</si>
  <si>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</si>
  <si>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</si>
  <si>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</si>
  <si>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</si>
  <si>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</si>
  <si>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</si>
  <si>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</si>
  <si>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</si>
  <si>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</si>
  <si>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</si>
  <si>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</si>
  <si>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</si>
  <si>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</si>
  <si>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</si>
  <si>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</si>
  <si>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</si>
  <si>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</si>
  <si>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</si>
  <si>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</si>
  <si>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</si>
  <si>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</si>
  <si>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</si>
  <si>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</si>
  <si>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</si>
  <si>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</si>
  <si>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</si>
  <si>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</si>
  <si>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</si>
  <si>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</si>
  <si>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</si>
  <si>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</si>
  <si>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</si>
  <si>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</si>
  <si>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</si>
  <si>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</si>
  <si>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</si>
  <si>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</si>
  <si>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</si>
  <si>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</si>
  <si>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</si>
  <si>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</si>
  <si>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</si>
  <si>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</si>
  <si>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</si>
  <si>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</si>
  <si>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</si>
  <si>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</si>
  <si>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</si>
  <si>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</si>
  <si>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</si>
  <si>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</si>
  <si>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</si>
  <si>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</si>
  <si>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</si>
  <si>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</si>
  <si>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</si>
  <si>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</si>
  <si>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</si>
  <si>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</si>
  <si>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</si>
  <si>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</si>
  <si>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</si>
  <si>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</si>
  <si>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</si>
  <si>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</si>
  <si>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</si>
  <si>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</si>
  <si>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</si>
  <si>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</si>
  <si>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</si>
  <si>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</si>
  <si>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</si>
  <si>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</si>
  <si>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</si>
  <si>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</si>
  <si>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</si>
  <si>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</si>
  <si>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</si>
  <si>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</si>
  <si>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</si>
  <si>
    <t>EU-BAT</t>
  </si>
  <si>
    <t>Solvent Type</t>
  </si>
  <si>
    <t>MEA</t>
  </si>
  <si>
    <t>Schakel2018-0B</t>
  </si>
  <si>
    <t>Schakel2018-HB</t>
  </si>
  <si>
    <t>O2 demand</t>
  </si>
  <si>
    <t>t O2/t CO2</t>
  </si>
  <si>
    <t>CaCO3 demand</t>
  </si>
  <si>
    <t>for CLC</t>
  </si>
  <si>
    <t>Fuel Energy Demand</t>
  </si>
  <si>
    <t>Fossil Fuel Type</t>
  </si>
  <si>
    <t>Biofuel Cofire Rate</t>
  </si>
  <si>
    <t>Biofuel Type</t>
  </si>
  <si>
    <t>coal bituminous - IPCC</t>
  </si>
  <si>
    <t>GJ fuel / t flue gas CO2</t>
  </si>
  <si>
    <t>t O2/t CO2 out</t>
  </si>
  <si>
    <t>IEAGHG</t>
  </si>
  <si>
    <t>paper</t>
  </si>
  <si>
    <t>Energy Demand</t>
  </si>
  <si>
    <t>GJ fuel / t CaO</t>
  </si>
  <si>
    <t>HFO - IEAGHG</t>
  </si>
  <si>
    <t>recovered steam</t>
  </si>
  <si>
    <t>Urea Demand</t>
  </si>
  <si>
    <t>HCl Demand</t>
  </si>
  <si>
    <t>CaOH2 Demand</t>
  </si>
  <si>
    <t>H3PO4 Demand</t>
  </si>
  <si>
    <t>CLK-0B</t>
  </si>
  <si>
    <t>CLK-HB</t>
  </si>
  <si>
    <t>PLP-0B</t>
  </si>
  <si>
    <t>PLP-HB</t>
  </si>
  <si>
    <t>HFO - IPCC</t>
  </si>
  <si>
    <t>Offshore Distance</t>
  </si>
  <si>
    <t>Onshore Distance</t>
  </si>
  <si>
    <t>km pipeline</t>
  </si>
  <si>
    <t>BBF_IEAGHG</t>
  </si>
  <si>
    <t>CO2 Concentration</t>
  </si>
  <si>
    <t>chemical</t>
  </si>
  <si>
    <t>Solvent type</t>
  </si>
  <si>
    <t>ETH-0</t>
  </si>
  <si>
    <t>NH3-0</t>
  </si>
  <si>
    <t>for syngas CO2. Energy included in NH3-Stoich for IEAGHG refs</t>
  </si>
  <si>
    <t>LTH-0</t>
  </si>
  <si>
    <t>lignin</t>
  </si>
  <si>
    <t>turbine eff</t>
  </si>
  <si>
    <t>GJ electricity/GJ steam</t>
  </si>
  <si>
    <t>transport km</t>
  </si>
  <si>
    <t>missouri</t>
  </si>
  <si>
    <t>NH3 demand</t>
  </si>
  <si>
    <t>for DeSO2/DeNOx</t>
  </si>
  <si>
    <t>ETH-BIO</t>
  </si>
  <si>
    <t>corn stover (dry)</t>
  </si>
  <si>
    <t>NH3-BIO</t>
  </si>
  <si>
    <t>efficency</t>
  </si>
  <si>
    <t>H2-0</t>
  </si>
  <si>
    <t>H2-BIO</t>
  </si>
  <si>
    <t>NH3-BIO2</t>
  </si>
  <si>
    <t>biomethane</t>
  </si>
  <si>
    <t>electricity 800g/kWh</t>
  </si>
  <si>
    <t>Shiva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</si>
</sst>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5B5C31"/>
      <name val="Menlo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6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  <xf numFmtId="0" fontId="20" fillId="0" borderId="0" xfId="0" applyFont="1" applyBorder="1"/>
    <xf numFmtId="0" fontId="20" fillId="0" borderId="9" xfId="0" applyFont="1" applyBorder="1"/>
    <xf numFmtId="164" fontId="0" fillId="0" borderId="0" xfId="0" applyNumberFormat="1"/>
    <xf numFmtId="167" fontId="0" fillId="0" borderId="0" xfId="0" applyNumberFormat="1" applyFont="1" applyBorder="1"/>
    <xf numFmtId="0" fontId="16" fillId="0" borderId="0" xfId="3" applyFont="1" applyBorder="1"/>
    <xf numFmtId="0" fontId="15" fillId="0" borderId="0" xfId="3" applyFont="1" applyBorder="1"/>
    <xf numFmtId="165" fontId="15" fillId="0" borderId="9" xfId="0" applyNumberFormat="1" applyFont="1" applyBorder="1"/>
    <xf numFmtId="165" fontId="15" fillId="0" borderId="0" xfId="0" applyNumberFormat="1" applyFont="1" applyBorder="1"/>
    <xf numFmtId="165" fontId="16" fillId="0" borderId="0" xfId="0" applyNumberFormat="1" applyFont="1" applyBorder="1"/>
    <xf numFmtId="0" fontId="16" fillId="0" borderId="0" xfId="0" applyFont="1" applyBorder="1"/>
    <xf numFmtId="0" fontId="0" fillId="0" borderId="2" xfId="0" applyFill="1" applyBorder="1"/>
    <xf numFmtId="0" fontId="0" fillId="0" borderId="2" xfId="0" applyBorder="1"/>
    <xf numFmtId="0" fontId="3" fillId="0" borderId="2" xfId="1" applyBorder="1"/>
    <xf numFmtId="0" fontId="1" fillId="0" borderId="2" xfId="0" applyFont="1" applyBorder="1"/>
    <xf numFmtId="2" fontId="3" fillId="0" borderId="2" xfId="1" applyNumberFormat="1" applyBorder="1"/>
    <xf numFmtId="0" fontId="12" fillId="0" borderId="2" xfId="0" applyFont="1" applyBorder="1"/>
    <xf numFmtId="0" fontId="12" fillId="0" borderId="0" xfId="0" applyFont="1"/>
    <xf numFmtId="0" fontId="18" fillId="0" borderId="0" xfId="0" applyFont="1" applyBorder="1"/>
    <xf numFmtId="0" fontId="1" fillId="0" borderId="0" xfId="3" applyFont="1"/>
    <xf numFmtId="0" fontId="0" fillId="0" borderId="0" xfId="3" applyFont="1"/>
    <xf numFmtId="0" fontId="3" fillId="0" borderId="0" xfId="3"/>
    <xf numFmtId="0" fontId="3" fillId="0" borderId="0" xfId="0" applyFont="1"/>
    <xf numFmtId="0" fontId="1" fillId="0" borderId="0" xfId="3" applyFont="1" applyFill="1" applyBorder="1"/>
    <xf numFmtId="0" fontId="21" fillId="0" borderId="0" xfId="0" applyFont="1"/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" sqref="G6"/>
    </sheetView>
  </sheetViews>
  <sheetFormatPr baseColWidth="10" defaultColWidth="8.83203125" defaultRowHeight="15" x14ac:dyDescent="0.2"/>
  <cols>
    <col min="1" max="1" width="19.5" style="21" customWidth="1"/>
    <col min="2" max="2" width="11.83203125" style="21" customWidth="1"/>
    <col min="3" max="3" width="26.1640625" style="21" bestFit="1" customWidth="1"/>
    <col min="4" max="4" width="17.83203125" style="21" bestFit="1" customWidth="1"/>
    <col min="5" max="8" width="17.83203125" style="137" customWidth="1"/>
    <col min="9" max="9" width="25.5" style="21" customWidth="1"/>
    <col min="10" max="16384" width="8.83203125" style="21"/>
  </cols>
  <sheetData>
    <row r="1" spans="1:9" x14ac:dyDescent="0.2">
      <c r="A1" s="39" t="s">
        <v>0</v>
      </c>
      <c r="B1" s="39" t="s">
        <v>131</v>
      </c>
      <c r="C1" s="21" t="s">
        <v>5</v>
      </c>
      <c r="D1" s="21" t="s">
        <v>6</v>
      </c>
      <c r="E1" s="137" t="s">
        <v>163</v>
      </c>
      <c r="F1" s="137" t="s">
        <v>9</v>
      </c>
      <c r="G1" s="137" t="s">
        <v>7</v>
      </c>
      <c r="H1" s="137" t="s">
        <v>8</v>
      </c>
      <c r="I1" s="21" t="s">
        <v>40</v>
      </c>
    </row>
    <row r="2" spans="1:9" x14ac:dyDescent="0.2">
      <c r="A2" s="48" t="s">
        <v>1</v>
      </c>
      <c r="B2" s="48"/>
      <c r="C2" s="21" t="s">
        <v>32</v>
      </c>
      <c r="D2" s="21" t="s">
        <v>33</v>
      </c>
      <c r="E2" s="137" t="s">
        <v>164</v>
      </c>
    </row>
    <row r="3" spans="1:9" x14ac:dyDescent="0.2">
      <c r="A3" s="48" t="s">
        <v>2</v>
      </c>
      <c r="B3" s="48"/>
    </row>
    <row r="4" spans="1:9" s="29" customFormat="1" ht="16" thickBot="1" x14ac:dyDescent="0.25">
      <c r="A4" s="57" t="s">
        <v>3</v>
      </c>
      <c r="B4" s="57"/>
      <c r="C4" s="29">
        <v>0.05</v>
      </c>
      <c r="D4" s="29">
        <v>0.1</v>
      </c>
      <c r="E4" s="105">
        <v>3.3</v>
      </c>
      <c r="F4" s="56" t="s">
        <v>59</v>
      </c>
      <c r="G4" s="138">
        <v>0</v>
      </c>
      <c r="H4" t="s">
        <v>143</v>
      </c>
    </row>
    <row r="5" spans="1:9" ht="16" x14ac:dyDescent="0.2">
      <c r="A5" s="32" t="s">
        <v>77</v>
      </c>
      <c r="B5" s="32" t="s">
        <v>132</v>
      </c>
      <c r="C5" s="50">
        <v>0.05</v>
      </c>
      <c r="D5" s="50">
        <f>30*Ref!$B$18</f>
        <v>0.108</v>
      </c>
      <c r="E5" s="137">
        <v>0</v>
      </c>
      <c r="F5" s="137" t="s">
        <v>166</v>
      </c>
      <c r="G5" s="137">
        <v>0</v>
      </c>
      <c r="H5" t="s">
        <v>143</v>
      </c>
    </row>
    <row r="6" spans="1:9" ht="16" x14ac:dyDescent="0.2">
      <c r="A6" s="25" t="s">
        <v>78</v>
      </c>
      <c r="B6" s="25" t="str">
        <f t="shared" ref="B6:H6" si="0">B5</f>
        <v>steel</v>
      </c>
      <c r="C6" s="22">
        <f t="shared" si="0"/>
        <v>0.05</v>
      </c>
      <c r="D6" s="22">
        <f t="shared" si="0"/>
        <v>0.108</v>
      </c>
      <c r="E6" s="22">
        <f t="shared" si="0"/>
        <v>0</v>
      </c>
      <c r="F6" s="22" t="str">
        <f t="shared" si="0"/>
        <v>recovered steam</v>
      </c>
      <c r="G6" s="22">
        <f t="shared" si="0"/>
        <v>0</v>
      </c>
      <c r="H6" s="22" t="str">
        <f t="shared" si="0"/>
        <v>dry wood chips (EU no swiss)</v>
      </c>
    </row>
    <row r="7" spans="1:9" s="29" customFormat="1" ht="17" thickBot="1" x14ac:dyDescent="0.25">
      <c r="A7" s="30" t="s">
        <v>81</v>
      </c>
      <c r="B7" s="30" t="str">
        <f t="shared" ref="B7:H7" si="1">B5</f>
        <v>steel</v>
      </c>
      <c r="C7" s="28">
        <f t="shared" si="1"/>
        <v>0.05</v>
      </c>
      <c r="D7" s="28">
        <f t="shared" si="1"/>
        <v>0.108</v>
      </c>
      <c r="E7" s="28">
        <f t="shared" si="1"/>
        <v>0</v>
      </c>
      <c r="F7" s="28" t="str">
        <f t="shared" si="1"/>
        <v>recovered steam</v>
      </c>
      <c r="G7" s="28">
        <f t="shared" si="1"/>
        <v>0</v>
      </c>
      <c r="H7" s="28" t="str">
        <f t="shared" si="1"/>
        <v>dry wood chips (EU no swiss)</v>
      </c>
    </row>
    <row r="8" spans="1:9" s="39" customFormat="1" ht="16" x14ac:dyDescent="0.2">
      <c r="A8" s="32" t="s">
        <v>62</v>
      </c>
      <c r="B8" s="32" t="s">
        <v>132</v>
      </c>
      <c r="C8" s="50">
        <v>0.05</v>
      </c>
      <c r="D8" s="50">
        <f>30*Ref!$B$18</f>
        <v>0.108</v>
      </c>
      <c r="E8" s="137">
        <v>0</v>
      </c>
      <c r="F8" s="137" t="s">
        <v>166</v>
      </c>
      <c r="G8" s="137">
        <v>0</v>
      </c>
      <c r="H8" t="s">
        <v>143</v>
      </c>
      <c r="I8" s="21"/>
    </row>
    <row r="9" spans="1:9" ht="16" x14ac:dyDescent="0.2">
      <c r="A9" s="46" t="s">
        <v>79</v>
      </c>
      <c r="B9" s="25" t="str">
        <f t="shared" ref="B9:H9" si="2">B8</f>
        <v>steel</v>
      </c>
      <c r="C9" s="21">
        <f t="shared" si="2"/>
        <v>0.05</v>
      </c>
      <c r="D9" s="21">
        <f t="shared" si="2"/>
        <v>0.108</v>
      </c>
      <c r="E9" s="22">
        <f t="shared" si="2"/>
        <v>0</v>
      </c>
      <c r="F9" s="22" t="str">
        <f t="shared" si="2"/>
        <v>recovered steam</v>
      </c>
      <c r="G9" s="22">
        <f t="shared" si="2"/>
        <v>0</v>
      </c>
      <c r="H9" s="22" t="str">
        <f t="shared" si="2"/>
        <v>dry wood chips (EU no swiss)</v>
      </c>
    </row>
    <row r="10" spans="1:9" s="29" customFormat="1" ht="17" thickBot="1" x14ac:dyDescent="0.25">
      <c r="A10" s="55" t="s">
        <v>82</v>
      </c>
      <c r="B10" s="30" t="str">
        <f t="shared" ref="B10:H10" si="3">B8</f>
        <v>steel</v>
      </c>
      <c r="C10" s="29">
        <f t="shared" si="3"/>
        <v>0.05</v>
      </c>
      <c r="D10" s="29">
        <f t="shared" si="3"/>
        <v>0.108</v>
      </c>
      <c r="E10" s="28">
        <f t="shared" si="3"/>
        <v>0</v>
      </c>
      <c r="F10" s="28" t="str">
        <f t="shared" si="3"/>
        <v>recovered steam</v>
      </c>
      <c r="G10" s="28">
        <f t="shared" si="3"/>
        <v>0</v>
      </c>
      <c r="H10" s="28" t="str">
        <f t="shared" si="3"/>
        <v>dry wood chips (EU no swiss)</v>
      </c>
    </row>
    <row r="11" spans="1:9" ht="16" x14ac:dyDescent="0.2">
      <c r="A11" s="46" t="s">
        <v>63</v>
      </c>
      <c r="B11" s="32" t="s">
        <v>132</v>
      </c>
      <c r="C11" s="50">
        <v>0</v>
      </c>
      <c r="D11" s="50">
        <v>0</v>
      </c>
      <c r="E11" s="137">
        <v>0</v>
      </c>
      <c r="F11" s="137" t="s">
        <v>166</v>
      </c>
      <c r="G11" s="137">
        <v>0</v>
      </c>
      <c r="H11" t="s">
        <v>143</v>
      </c>
    </row>
    <row r="12" spans="1:9" ht="16" x14ac:dyDescent="0.2">
      <c r="A12" s="46" t="s">
        <v>80</v>
      </c>
      <c r="B12" s="25" t="str">
        <f t="shared" ref="B12:H12" si="4">B11</f>
        <v>steel</v>
      </c>
      <c r="C12" s="21">
        <f t="shared" si="4"/>
        <v>0</v>
      </c>
      <c r="D12" s="21">
        <f t="shared" si="4"/>
        <v>0</v>
      </c>
      <c r="E12" s="22">
        <f t="shared" si="4"/>
        <v>0</v>
      </c>
      <c r="F12" s="22" t="str">
        <f t="shared" si="4"/>
        <v>recovered steam</v>
      </c>
      <c r="G12" s="22">
        <f t="shared" si="4"/>
        <v>0</v>
      </c>
      <c r="H12" s="22" t="str">
        <f t="shared" si="4"/>
        <v>dry wood chips (EU no swiss)</v>
      </c>
    </row>
    <row r="13" spans="1:9" s="29" customFormat="1" ht="17" thickBot="1" x14ac:dyDescent="0.25">
      <c r="A13" s="53" t="s">
        <v>83</v>
      </c>
      <c r="B13" s="30" t="str">
        <f t="shared" ref="B13:H13" si="5">B11</f>
        <v>steel</v>
      </c>
      <c r="C13" s="29">
        <f t="shared" si="5"/>
        <v>0</v>
      </c>
      <c r="D13" s="29">
        <f t="shared" si="5"/>
        <v>0</v>
      </c>
      <c r="E13" s="28">
        <f t="shared" si="5"/>
        <v>0</v>
      </c>
      <c r="F13" s="28" t="str">
        <f t="shared" si="5"/>
        <v>recovered steam</v>
      </c>
      <c r="G13" s="28">
        <f t="shared" si="5"/>
        <v>0</v>
      </c>
      <c r="H13" s="28" t="str">
        <f t="shared" si="5"/>
        <v>dry wood chips (EU no swiss)</v>
      </c>
    </row>
    <row r="14" spans="1:9" ht="16" x14ac:dyDescent="0.2">
      <c r="A14" t="s">
        <v>71</v>
      </c>
      <c r="B14" s="32" t="s">
        <v>132</v>
      </c>
      <c r="C14" s="50">
        <v>0.05</v>
      </c>
      <c r="D14" s="50">
        <f>30*Ref!$B$18</f>
        <v>0.108</v>
      </c>
      <c r="E14" s="137">
        <v>0</v>
      </c>
      <c r="F14" s="137" t="s">
        <v>166</v>
      </c>
      <c r="G14" s="137">
        <v>0</v>
      </c>
      <c r="H14" t="s">
        <v>143</v>
      </c>
    </row>
    <row r="15" spans="1:9" ht="16" x14ac:dyDescent="0.2">
      <c r="A15" t="s">
        <v>72</v>
      </c>
      <c r="B15" s="25" t="str">
        <f t="shared" ref="B15:H15" si="6">B14</f>
        <v>steel</v>
      </c>
      <c r="C15" s="21">
        <f t="shared" si="6"/>
        <v>0.05</v>
      </c>
      <c r="D15" s="21">
        <f t="shared" si="6"/>
        <v>0.108</v>
      </c>
      <c r="E15" s="22">
        <f t="shared" si="6"/>
        <v>0</v>
      </c>
      <c r="F15" s="22" t="str">
        <f t="shared" si="6"/>
        <v>recovered steam</v>
      </c>
      <c r="G15" s="22">
        <f t="shared" si="6"/>
        <v>0</v>
      </c>
      <c r="H15" s="22" t="str">
        <f t="shared" si="6"/>
        <v>dry wood chips (EU no swiss)</v>
      </c>
    </row>
    <row r="16" spans="1:9" s="29" customFormat="1" ht="17" thickBot="1" x14ac:dyDescent="0.25">
      <c r="A16" s="29" t="s">
        <v>73</v>
      </c>
      <c r="B16" s="30" t="str">
        <f t="shared" ref="B16:H16" si="7">B14</f>
        <v>steel</v>
      </c>
      <c r="C16" s="29">
        <f t="shared" si="7"/>
        <v>0.05</v>
      </c>
      <c r="D16" s="29">
        <f t="shared" si="7"/>
        <v>0.108</v>
      </c>
      <c r="E16" s="28">
        <f t="shared" si="7"/>
        <v>0</v>
      </c>
      <c r="F16" s="28" t="str">
        <f t="shared" si="7"/>
        <v>recovered steam</v>
      </c>
      <c r="G16" s="28">
        <f t="shared" si="7"/>
        <v>0</v>
      </c>
      <c r="H16" s="28" t="str">
        <f t="shared" si="7"/>
        <v>dry wood chips (EU no swiss)</v>
      </c>
    </row>
    <row r="17" spans="1:8" ht="16" x14ac:dyDescent="0.2">
      <c r="A17" t="s">
        <v>74</v>
      </c>
      <c r="B17" s="32" t="s">
        <v>132</v>
      </c>
      <c r="C17" s="50">
        <v>0.05</v>
      </c>
      <c r="D17" s="50">
        <f>30*Ref!$B$18</f>
        <v>0.108</v>
      </c>
      <c r="E17" s="137">
        <v>0</v>
      </c>
      <c r="F17" s="137" t="s">
        <v>166</v>
      </c>
      <c r="G17" s="137">
        <v>0</v>
      </c>
      <c r="H17" t="s">
        <v>143</v>
      </c>
    </row>
    <row r="18" spans="1:8" ht="16" x14ac:dyDescent="0.2">
      <c r="A18" t="s">
        <v>75</v>
      </c>
      <c r="B18" s="25" t="str">
        <f t="shared" ref="B18:H18" si="8">B17</f>
        <v>steel</v>
      </c>
      <c r="C18" s="21">
        <f t="shared" si="8"/>
        <v>0.05</v>
      </c>
      <c r="D18" s="21">
        <f t="shared" si="8"/>
        <v>0.108</v>
      </c>
      <c r="E18" s="22">
        <f t="shared" si="8"/>
        <v>0</v>
      </c>
      <c r="F18" s="22" t="str">
        <f t="shared" si="8"/>
        <v>recovered steam</v>
      </c>
      <c r="G18" s="22">
        <f t="shared" si="8"/>
        <v>0</v>
      </c>
      <c r="H18" s="22" t="str">
        <f t="shared" si="8"/>
        <v>dry wood chips (EU no swiss)</v>
      </c>
    </row>
    <row r="19" spans="1:8" s="29" customFormat="1" ht="17" thickBot="1" x14ac:dyDescent="0.25">
      <c r="A19" s="29" t="s">
        <v>76</v>
      </c>
      <c r="B19" s="30" t="str">
        <f t="shared" ref="B19:H19" si="9">B17</f>
        <v>steel</v>
      </c>
      <c r="C19" s="29">
        <f t="shared" si="9"/>
        <v>0.05</v>
      </c>
      <c r="D19" s="29">
        <f t="shared" si="9"/>
        <v>0.108</v>
      </c>
      <c r="E19" s="28">
        <f t="shared" si="9"/>
        <v>0</v>
      </c>
      <c r="F19" s="28" t="str">
        <f t="shared" si="9"/>
        <v>recovered steam</v>
      </c>
      <c r="G19" s="28">
        <f t="shared" si="9"/>
        <v>0</v>
      </c>
      <c r="H19" s="28" t="str">
        <f t="shared" si="9"/>
        <v>dry wood chips (EU no swiss)</v>
      </c>
    </row>
    <row r="20" spans="1:8" x14ac:dyDescent="0.2">
      <c r="A20" t="s">
        <v>133</v>
      </c>
      <c r="B20" s="21" t="s">
        <v>134</v>
      </c>
      <c r="C20" s="21">
        <f>C4</f>
        <v>0.05</v>
      </c>
      <c r="D20" s="21">
        <f>D4</f>
        <v>0.1</v>
      </c>
      <c r="E20" s="137">
        <v>0</v>
      </c>
      <c r="F20" s="137" t="s">
        <v>166</v>
      </c>
      <c r="G20" s="137">
        <v>0</v>
      </c>
      <c r="H20" t="s">
        <v>143</v>
      </c>
    </row>
    <row r="21" spans="1:8" x14ac:dyDescent="0.2">
      <c r="A21" s="21" t="s">
        <v>161</v>
      </c>
      <c r="B21" s="21" t="s">
        <v>162</v>
      </c>
      <c r="C21" s="21">
        <f>C5</f>
        <v>0.05</v>
      </c>
      <c r="D21" s="21">
        <f>D5</f>
        <v>0.108</v>
      </c>
      <c r="E21" s="77">
        <f>200.2*17.33/1000</f>
        <v>3.4694659999999993</v>
      </c>
      <c r="F21" t="s">
        <v>165</v>
      </c>
      <c r="G21" s="77">
        <v>0</v>
      </c>
      <c r="H21" t="s">
        <v>143</v>
      </c>
    </row>
    <row r="22" spans="1:8" x14ac:dyDescent="0.2">
      <c r="A22" s="27" t="s">
        <v>173</v>
      </c>
      <c r="B22" s="27" t="s">
        <v>162</v>
      </c>
      <c r="C22" s="21">
        <f t="shared" ref="C22:E23" si="10">C$4</f>
        <v>0.05</v>
      </c>
      <c r="D22" s="21">
        <f t="shared" si="10"/>
        <v>0.1</v>
      </c>
      <c r="E22" s="21">
        <f t="shared" si="10"/>
        <v>3.3</v>
      </c>
      <c r="F22" s="77" t="s">
        <v>175</v>
      </c>
      <c r="G22" s="77">
        <v>0</v>
      </c>
      <c r="H22" t="s">
        <v>143</v>
      </c>
    </row>
    <row r="23" spans="1:8" x14ac:dyDescent="0.2">
      <c r="A23" s="27" t="s">
        <v>174</v>
      </c>
      <c r="B23" s="27" t="s">
        <v>162</v>
      </c>
      <c r="C23" s="21">
        <f t="shared" si="10"/>
        <v>0.05</v>
      </c>
      <c r="D23" s="21">
        <f t="shared" si="10"/>
        <v>0.1</v>
      </c>
      <c r="E23" s="21">
        <f t="shared" si="10"/>
        <v>3.3</v>
      </c>
      <c r="F23" s="137" t="s">
        <v>175</v>
      </c>
      <c r="G23" s="77">
        <v>1</v>
      </c>
      <c r="H23" t="s">
        <v>143</v>
      </c>
    </row>
  </sheetData>
  <sortState xmlns:xlrd2="http://schemas.microsoft.com/office/spreadsheetml/2017/richdata2"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G32" sqref="G32"/>
    </sheetView>
  </sheetViews>
  <sheetFormatPr baseColWidth="10" defaultColWidth="8.83203125" defaultRowHeight="15" x14ac:dyDescent="0.2"/>
  <cols>
    <col min="1" max="1" width="11.33203125" style="21" customWidth="1"/>
    <col min="2" max="2" width="16.33203125" style="21" customWidth="1"/>
    <col min="3" max="3" width="17.5" style="21" customWidth="1"/>
    <col min="4" max="4" width="20.83203125" style="21" customWidth="1"/>
    <col min="5" max="5" width="18" style="21" customWidth="1"/>
    <col min="6" max="6" width="13.83203125" style="21" customWidth="1"/>
    <col min="7" max="7" width="14.5" style="21" customWidth="1"/>
    <col min="8" max="8" width="15.5" style="65" bestFit="1" customWidth="1"/>
    <col min="9" max="9" width="15.5" style="65" customWidth="1"/>
    <col min="10" max="11" width="15.5" style="158" customWidth="1"/>
    <col min="12" max="12" width="15.5" style="60" customWidth="1"/>
    <col min="13" max="16384" width="8.83203125" style="21"/>
  </cols>
  <sheetData>
    <row r="1" spans="1:13" x14ac:dyDescent="0.2">
      <c r="A1" s="70" t="s">
        <v>43</v>
      </c>
      <c r="B1" s="39" t="s">
        <v>131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146</v>
      </c>
      <c r="H1" s="71" t="s">
        <v>65</v>
      </c>
      <c r="I1" s="71" t="s">
        <v>150</v>
      </c>
      <c r="J1" s="155" t="s">
        <v>95</v>
      </c>
      <c r="K1" s="155" t="s">
        <v>192</v>
      </c>
      <c r="L1" s="141" t="s">
        <v>180</v>
      </c>
      <c r="M1" s="71" t="s">
        <v>47</v>
      </c>
    </row>
    <row r="2" spans="1:13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74"/>
      <c r="H2" s="83" t="s">
        <v>89</v>
      </c>
      <c r="I2" s="74" t="s">
        <v>151</v>
      </c>
      <c r="J2" s="156"/>
      <c r="K2" s="156"/>
      <c r="L2" s="142"/>
      <c r="M2" s="75"/>
    </row>
    <row r="3" spans="1:13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75"/>
      <c r="H3" s="83"/>
      <c r="I3" s="83"/>
      <c r="J3" s="157"/>
      <c r="K3" s="157" t="s">
        <v>193</v>
      </c>
      <c r="L3" s="142"/>
      <c r="M3" s="75"/>
    </row>
    <row r="4" spans="1:13" s="29" customFormat="1" ht="16" thickBot="1" x14ac:dyDescent="0.25">
      <c r="A4" s="78" t="s">
        <v>3</v>
      </c>
      <c r="C4" s="78">
        <v>1</v>
      </c>
      <c r="D4" s="79">
        <v>0.9</v>
      </c>
      <c r="E4" s="43">
        <f>151.9/1.119*Ref!$B$18</f>
        <v>0.48868632707774806</v>
      </c>
      <c r="F4" s="43">
        <f>3.7667/1.243</f>
        <v>3.0303298471440061</v>
      </c>
      <c r="G4" s="21" t="s">
        <v>147</v>
      </c>
      <c r="H4" s="22">
        <f>0.001</f>
        <v>1E-3</v>
      </c>
      <c r="I4" s="28"/>
      <c r="J4" s="28"/>
      <c r="K4" s="28"/>
      <c r="L4" s="143"/>
      <c r="M4" s="80"/>
    </row>
    <row r="5" spans="1:13" s="39" customFormat="1" ht="16" x14ac:dyDescent="0.2">
      <c r="A5" s="32" t="s">
        <v>77</v>
      </c>
      <c r="B5" s="32" t="s">
        <v>132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1" t="s">
        <v>147</v>
      </c>
      <c r="H5" s="22">
        <f>0.001</f>
        <v>1E-3</v>
      </c>
      <c r="I5" s="22"/>
      <c r="J5" s="158">
        <f>115152/188424</f>
        <v>0.61113233982932114</v>
      </c>
      <c r="K5" s="158">
        <f>1855/188424</f>
        <v>9.8448180698849398E-3</v>
      </c>
      <c r="L5" s="144"/>
      <c r="M5" s="74"/>
    </row>
    <row r="6" spans="1:13" ht="16" x14ac:dyDescent="0.2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tr">
        <f>G5</f>
        <v>MEA</v>
      </c>
      <c r="H6" s="94">
        <f>H5</f>
        <v>1E-3</v>
      </c>
      <c r="I6" s="94"/>
      <c r="J6" s="158">
        <f t="shared" ref="J6:J35" si="1">115152/188424</f>
        <v>0.61113233982932114</v>
      </c>
      <c r="K6" s="158">
        <f t="shared" ref="K6:K30" si="2">1855/188424</f>
        <v>9.8448180698849398E-3</v>
      </c>
      <c r="L6" s="144"/>
    </row>
    <row r="7" spans="1:13" s="29" customFormat="1" ht="17" thickBot="1" x14ac:dyDescent="0.25">
      <c r="A7" s="30" t="s">
        <v>81</v>
      </c>
      <c r="B7" s="30" t="str">
        <f>B5</f>
        <v>steel</v>
      </c>
      <c r="C7" s="37">
        <f t="shared" ref="C7:F7" si="3">C$5</f>
        <v>1</v>
      </c>
      <c r="D7" s="37">
        <f t="shared" si="3"/>
        <v>0.9</v>
      </c>
      <c r="E7" s="37">
        <f t="shared" si="3"/>
        <v>0.48868632707774806</v>
      </c>
      <c r="F7" s="37">
        <f t="shared" si="3"/>
        <v>3.0303298471440061</v>
      </c>
      <c r="G7" s="38" t="str">
        <f>G6</f>
        <v>MEA</v>
      </c>
      <c r="H7" s="95">
        <f>H5</f>
        <v>1E-3</v>
      </c>
      <c r="I7" s="95"/>
      <c r="J7" s="158">
        <f t="shared" si="1"/>
        <v>0.61113233982932114</v>
      </c>
      <c r="K7" s="158">
        <f t="shared" si="2"/>
        <v>9.8448180698849398E-3</v>
      </c>
      <c r="L7" s="143"/>
    </row>
    <row r="8" spans="1:13" ht="16" x14ac:dyDescent="0.2">
      <c r="A8" s="59" t="s">
        <v>62</v>
      </c>
      <c r="B8" s="32" t="s">
        <v>132</v>
      </c>
      <c r="C8" s="76">
        <v>1</v>
      </c>
      <c r="D8" s="76">
        <v>0.9</v>
      </c>
      <c r="E8" s="43">
        <v>0.62</v>
      </c>
      <c r="F8" s="76">
        <v>0</v>
      </c>
      <c r="G8" s="21" t="s">
        <v>147</v>
      </c>
      <c r="H8" s="22">
        <f>0.001</f>
        <v>1E-3</v>
      </c>
      <c r="I8" s="22"/>
      <c r="J8" s="158">
        <f t="shared" si="1"/>
        <v>0.61113233982932114</v>
      </c>
      <c r="K8" s="158">
        <f t="shared" si="2"/>
        <v>9.8448180698849398E-3</v>
      </c>
      <c r="L8" s="144"/>
      <c r="M8" s="77"/>
    </row>
    <row r="9" spans="1:13" s="39" customFormat="1" ht="16" x14ac:dyDescent="0.2">
      <c r="A9" s="51" t="s">
        <v>79</v>
      </c>
      <c r="B9" s="25" t="str">
        <f>B8</f>
        <v>steel</v>
      </c>
      <c r="C9" s="38">
        <f t="shared" ref="C9:F9" si="4">C8</f>
        <v>1</v>
      </c>
      <c r="D9" s="38">
        <f t="shared" si="4"/>
        <v>0.9</v>
      </c>
      <c r="E9" s="38">
        <f>E8</f>
        <v>0.62</v>
      </c>
      <c r="F9" s="38">
        <f t="shared" si="4"/>
        <v>0</v>
      </c>
      <c r="G9" s="38" t="str">
        <f>G8</f>
        <v>MEA</v>
      </c>
      <c r="H9" s="94">
        <f>H8</f>
        <v>1E-3</v>
      </c>
      <c r="I9" s="94"/>
      <c r="J9" s="158">
        <f t="shared" si="1"/>
        <v>0.61113233982932114</v>
      </c>
      <c r="K9" s="158">
        <f t="shared" si="2"/>
        <v>9.8448180698849398E-3</v>
      </c>
      <c r="L9" s="144"/>
      <c r="M9" s="21"/>
    </row>
    <row r="10" spans="1:13" s="29" customFormat="1" ht="17" thickBot="1" x14ac:dyDescent="0.25">
      <c r="A10" s="53" t="s">
        <v>82</v>
      </c>
      <c r="B10" s="30" t="str">
        <f>B8</f>
        <v>steel</v>
      </c>
      <c r="C10" s="37">
        <f t="shared" ref="C10:F10" si="5">C8</f>
        <v>1</v>
      </c>
      <c r="D10" s="37">
        <f t="shared" si="5"/>
        <v>0.9</v>
      </c>
      <c r="E10" s="37">
        <f t="shared" si="5"/>
        <v>0.62</v>
      </c>
      <c r="F10" s="37">
        <f t="shared" si="5"/>
        <v>0</v>
      </c>
      <c r="G10" s="38" t="str">
        <f>G9</f>
        <v>MEA</v>
      </c>
      <c r="H10" s="95">
        <f>H8</f>
        <v>1E-3</v>
      </c>
      <c r="I10" s="95"/>
      <c r="J10" s="158">
        <f t="shared" si="1"/>
        <v>0.61113233982932114</v>
      </c>
      <c r="K10" s="158">
        <f t="shared" si="2"/>
        <v>9.8448180698849398E-3</v>
      </c>
      <c r="L10" s="143"/>
    </row>
    <row r="11" spans="1:13" ht="16" x14ac:dyDescent="0.2">
      <c r="A11" s="52" t="s">
        <v>63</v>
      </c>
      <c r="B11" s="32" t="s">
        <v>132</v>
      </c>
      <c r="C11" s="43">
        <v>1</v>
      </c>
      <c r="D11" s="43">
        <v>0.9</v>
      </c>
      <c r="E11" s="43">
        <f>0.46</f>
        <v>0.46</v>
      </c>
      <c r="F11" s="43">
        <v>0</v>
      </c>
      <c r="G11" s="21" t="s">
        <v>147</v>
      </c>
      <c r="H11" s="50">
        <v>0</v>
      </c>
      <c r="I11" s="50"/>
      <c r="L11" s="145"/>
      <c r="M11" s="21" t="s">
        <v>103</v>
      </c>
    </row>
    <row r="12" spans="1:13" ht="16" x14ac:dyDescent="0.2">
      <c r="A12" s="46" t="s">
        <v>80</v>
      </c>
      <c r="B12" s="25" t="str">
        <f>B11</f>
        <v>steel</v>
      </c>
      <c r="C12" s="38">
        <f t="shared" ref="C12:F12" si="6">C11</f>
        <v>1</v>
      </c>
      <c r="D12" s="38">
        <f t="shared" si="6"/>
        <v>0.9</v>
      </c>
      <c r="E12" s="38">
        <f t="shared" si="6"/>
        <v>0.46</v>
      </c>
      <c r="F12" s="38">
        <f t="shared" si="6"/>
        <v>0</v>
      </c>
      <c r="G12" s="38" t="str">
        <f>G11</f>
        <v>MEA</v>
      </c>
      <c r="H12" s="49">
        <f>H11</f>
        <v>0</v>
      </c>
      <c r="I12" s="49"/>
      <c r="L12" s="144"/>
    </row>
    <row r="13" spans="1:13" s="56" customFormat="1" ht="17" thickBot="1" x14ac:dyDescent="0.25">
      <c r="A13" s="53" t="s">
        <v>83</v>
      </c>
      <c r="B13" s="30" t="str">
        <f>B11</f>
        <v>steel</v>
      </c>
      <c r="C13" s="37">
        <f t="shared" ref="C13:F13" si="7">C11</f>
        <v>1</v>
      </c>
      <c r="D13" s="37">
        <f t="shared" si="7"/>
        <v>0.9</v>
      </c>
      <c r="E13" s="37">
        <f t="shared" si="7"/>
        <v>0.46</v>
      </c>
      <c r="F13" s="37">
        <f t="shared" si="7"/>
        <v>0</v>
      </c>
      <c r="G13" s="38" t="str">
        <f>G12</f>
        <v>MEA</v>
      </c>
      <c r="H13" s="82">
        <f>H11</f>
        <v>0</v>
      </c>
      <c r="I13" s="82"/>
      <c r="J13" s="158"/>
      <c r="K13" s="158"/>
      <c r="L13" s="143"/>
      <c r="M13" s="29"/>
    </row>
    <row r="14" spans="1:13" ht="16" x14ac:dyDescent="0.2">
      <c r="A14" s="21" t="s">
        <v>71</v>
      </c>
      <c r="B14" s="32" t="s">
        <v>132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1" t="s">
        <v>147</v>
      </c>
      <c r="H14" s="22">
        <f>0.001</f>
        <v>1E-3</v>
      </c>
      <c r="I14" s="22"/>
      <c r="J14" s="158">
        <f t="shared" si="1"/>
        <v>0.61113233982932114</v>
      </c>
      <c r="K14" s="158">
        <f t="shared" si="2"/>
        <v>9.8448180698849398E-3</v>
      </c>
      <c r="L14" s="144"/>
      <c r="M14" s="74" t="s">
        <v>129</v>
      </c>
    </row>
    <row r="15" spans="1:13" ht="16" x14ac:dyDescent="0.2">
      <c r="A15" s="21" t="s">
        <v>72</v>
      </c>
      <c r="B15" s="25" t="str">
        <f>B14</f>
        <v>steel</v>
      </c>
      <c r="C15" s="38">
        <f t="shared" ref="C15:F15" si="8">C14</f>
        <v>1</v>
      </c>
      <c r="D15" s="38">
        <f t="shared" si="8"/>
        <v>0.9</v>
      </c>
      <c r="E15" s="38">
        <f t="shared" si="8"/>
        <v>0.48868632707774806</v>
      </c>
      <c r="F15" s="38">
        <f t="shared" si="8"/>
        <v>3.0303298471440061</v>
      </c>
      <c r="G15" s="38" t="str">
        <f>G14</f>
        <v>MEA</v>
      </c>
      <c r="H15" s="49">
        <f>H14</f>
        <v>1E-3</v>
      </c>
      <c r="I15" s="49"/>
      <c r="J15" s="158">
        <f>115152/188424</f>
        <v>0.61113233982932114</v>
      </c>
      <c r="K15" s="158">
        <f>1855/188424</f>
        <v>9.8448180698849398E-3</v>
      </c>
      <c r="L15" s="144"/>
    </row>
    <row r="16" spans="1:13" s="29" customFormat="1" ht="17" thickBot="1" x14ac:dyDescent="0.25">
      <c r="A16" s="29" t="s">
        <v>73</v>
      </c>
      <c r="B16" s="30" t="str">
        <f>B14</f>
        <v>steel</v>
      </c>
      <c r="C16" s="37">
        <f t="shared" ref="C16:F16" si="9">C14</f>
        <v>1</v>
      </c>
      <c r="D16" s="37">
        <f t="shared" si="9"/>
        <v>0.9</v>
      </c>
      <c r="E16" s="37">
        <f t="shared" si="9"/>
        <v>0.48868632707774806</v>
      </c>
      <c r="F16" s="37">
        <f t="shared" si="9"/>
        <v>3.0303298471440061</v>
      </c>
      <c r="G16" s="38" t="str">
        <f>G15</f>
        <v>MEA</v>
      </c>
      <c r="H16" s="82">
        <f>H14</f>
        <v>1E-3</v>
      </c>
      <c r="I16" s="82"/>
      <c r="J16" s="158">
        <f t="shared" si="1"/>
        <v>0.61113233982932114</v>
      </c>
      <c r="K16" s="158">
        <f t="shared" si="2"/>
        <v>9.8448180698849398E-3</v>
      </c>
      <c r="L16" s="143"/>
    </row>
    <row r="17" spans="1:13" s="39" customFormat="1" ht="16" x14ac:dyDescent="0.2">
      <c r="A17" s="21" t="s">
        <v>74</v>
      </c>
      <c r="B17" s="32" t="s">
        <v>132</v>
      </c>
      <c r="C17" s="43">
        <v>1</v>
      </c>
      <c r="D17" s="43">
        <v>1</v>
      </c>
      <c r="E17" s="43">
        <f>0</f>
        <v>0</v>
      </c>
      <c r="F17" s="43">
        <v>0</v>
      </c>
      <c r="G17" s="21" t="s">
        <v>147</v>
      </c>
      <c r="H17" s="39">
        <v>0</v>
      </c>
      <c r="J17" s="158"/>
      <c r="K17" s="158"/>
      <c r="L17" s="146"/>
      <c r="M17" s="21" t="s">
        <v>105</v>
      </c>
    </row>
    <row r="18" spans="1:13" ht="16" x14ac:dyDescent="0.2">
      <c r="A18" s="21" t="s">
        <v>75</v>
      </c>
      <c r="B18" s="25" t="str">
        <f>B17</f>
        <v>steel</v>
      </c>
      <c r="C18" s="38">
        <f t="shared" ref="C18:F18" si="10">C17</f>
        <v>1</v>
      </c>
      <c r="D18" s="38">
        <f t="shared" si="10"/>
        <v>1</v>
      </c>
      <c r="E18" s="38">
        <f t="shared" si="10"/>
        <v>0</v>
      </c>
      <c r="F18" s="38">
        <f t="shared" si="10"/>
        <v>0</v>
      </c>
      <c r="G18" s="38" t="str">
        <f>G17</f>
        <v>MEA</v>
      </c>
      <c r="H18" s="26">
        <f>H17</f>
        <v>0</v>
      </c>
      <c r="I18" s="26"/>
      <c r="M18" s="21" t="s">
        <v>105</v>
      </c>
    </row>
    <row r="19" spans="1:13" s="29" customFormat="1" ht="17" thickBot="1" x14ac:dyDescent="0.25">
      <c r="A19" s="29" t="s">
        <v>76</v>
      </c>
      <c r="B19" s="30" t="str">
        <f>B17</f>
        <v>steel</v>
      </c>
      <c r="C19" s="37">
        <f t="shared" ref="C19:F19" si="11">C17</f>
        <v>1</v>
      </c>
      <c r="D19" s="37">
        <f t="shared" si="11"/>
        <v>1</v>
      </c>
      <c r="E19" s="37">
        <f t="shared" si="11"/>
        <v>0</v>
      </c>
      <c r="F19" s="37">
        <f t="shared" si="11"/>
        <v>0</v>
      </c>
      <c r="G19" s="38" t="str">
        <f>G18</f>
        <v>MEA</v>
      </c>
      <c r="H19" s="57">
        <f>H17</f>
        <v>0</v>
      </c>
      <c r="I19" s="26"/>
      <c r="J19" s="158"/>
      <c r="K19" s="158"/>
      <c r="L19" s="60"/>
      <c r="M19" s="21" t="s">
        <v>105</v>
      </c>
    </row>
    <row r="20" spans="1:13" x14ac:dyDescent="0.2">
      <c r="A20" t="s">
        <v>133</v>
      </c>
      <c r="B20" s="21" t="s">
        <v>134</v>
      </c>
      <c r="C20" s="21">
        <f>C4</f>
        <v>1</v>
      </c>
      <c r="D20" s="21">
        <f t="shared" ref="D20:H23" si="12">D4</f>
        <v>0.9</v>
      </c>
      <c r="E20" s="38">
        <f t="shared" si="12"/>
        <v>0.48868632707774806</v>
      </c>
      <c r="F20" s="38">
        <f t="shared" si="12"/>
        <v>3.0303298471440061</v>
      </c>
      <c r="G20" s="21" t="s">
        <v>147</v>
      </c>
      <c r="H20" s="21">
        <f t="shared" si="12"/>
        <v>1E-3</v>
      </c>
      <c r="I20" s="21"/>
      <c r="J20" s="158">
        <f t="shared" si="1"/>
        <v>0.61113233982932114</v>
      </c>
      <c r="K20" s="158">
        <f t="shared" si="2"/>
        <v>9.8448180698849398E-3</v>
      </c>
    </row>
    <row r="21" spans="1:13" s="39" customFormat="1" x14ac:dyDescent="0.2">
      <c r="A21" s="21" t="s">
        <v>145</v>
      </c>
      <c r="B21" s="21"/>
      <c r="C21" s="21"/>
      <c r="D21" s="21"/>
      <c r="E21" s="38"/>
      <c r="F21" s="38"/>
      <c r="G21" s="21" t="s">
        <v>147</v>
      </c>
      <c r="H21" s="65"/>
      <c r="I21" s="65"/>
      <c r="J21" s="158">
        <f t="shared" si="1"/>
        <v>0.61113233982932114</v>
      </c>
      <c r="K21" s="158">
        <f t="shared" si="2"/>
        <v>9.8448180698849398E-3</v>
      </c>
      <c r="L21" s="60"/>
      <c r="M21" s="21"/>
    </row>
    <row r="22" spans="1:13" x14ac:dyDescent="0.2">
      <c r="A22" s="27" t="s">
        <v>148</v>
      </c>
      <c r="B22" s="21" t="s">
        <v>134</v>
      </c>
      <c r="C22" s="21">
        <f>C6</f>
        <v>1</v>
      </c>
      <c r="D22" s="21">
        <f t="shared" si="12"/>
        <v>0.9</v>
      </c>
      <c r="E22" s="38">
        <f t="shared" si="12"/>
        <v>0.48868632707774806</v>
      </c>
      <c r="F22" s="38">
        <f t="shared" si="12"/>
        <v>3.0303298471440061</v>
      </c>
      <c r="G22" s="21" t="s">
        <v>147</v>
      </c>
      <c r="H22" s="21">
        <f t="shared" si="12"/>
        <v>1E-3</v>
      </c>
      <c r="I22" s="21"/>
      <c r="J22" s="158">
        <f t="shared" si="1"/>
        <v>0.61113233982932114</v>
      </c>
      <c r="K22" s="158">
        <f t="shared" si="2"/>
        <v>9.8448180698849398E-3</v>
      </c>
    </row>
    <row r="23" spans="1:13" x14ac:dyDescent="0.2">
      <c r="A23" s="27" t="s">
        <v>149</v>
      </c>
      <c r="B23" s="21" t="s">
        <v>134</v>
      </c>
      <c r="C23" s="21">
        <f>C7</f>
        <v>1</v>
      </c>
      <c r="D23" s="21">
        <f t="shared" si="12"/>
        <v>0.9</v>
      </c>
      <c r="E23" s="38">
        <f t="shared" si="12"/>
        <v>0.48868632707774806</v>
      </c>
      <c r="F23" s="38">
        <f t="shared" si="12"/>
        <v>3.0303298471440061</v>
      </c>
      <c r="G23" s="21" t="s">
        <v>147</v>
      </c>
      <c r="H23" s="21">
        <f t="shared" si="12"/>
        <v>1E-3</v>
      </c>
      <c r="I23" s="21"/>
      <c r="J23" s="158">
        <f t="shared" si="1"/>
        <v>0.61113233982932114</v>
      </c>
      <c r="K23" s="158">
        <f t="shared" si="2"/>
        <v>9.8448180698849398E-3</v>
      </c>
    </row>
    <row r="24" spans="1:13" x14ac:dyDescent="0.2">
      <c r="A24" s="27" t="s">
        <v>161</v>
      </c>
      <c r="B24" s="27" t="s">
        <v>162</v>
      </c>
      <c r="C24" s="21">
        <v>1</v>
      </c>
      <c r="D24" s="21">
        <v>0.9</v>
      </c>
      <c r="E24" s="38">
        <f>1.26/64.2</f>
        <v>1.9626168224299065E-2</v>
      </c>
      <c r="F24" s="38">
        <v>3.2</v>
      </c>
      <c r="G24" s="27" t="s">
        <v>147</v>
      </c>
      <c r="H24" s="49">
        <f>0.077/64.2</f>
        <v>1.1993769470404984E-3</v>
      </c>
      <c r="J24" s="158">
        <f t="shared" si="1"/>
        <v>0.61113233982932114</v>
      </c>
      <c r="K24" s="158">
        <f t="shared" si="2"/>
        <v>9.8448180698849398E-3</v>
      </c>
    </row>
    <row r="25" spans="1:13" s="39" customFormat="1" x14ac:dyDescent="0.2">
      <c r="A25" s="27" t="s">
        <v>171</v>
      </c>
      <c r="B25" s="21" t="s">
        <v>134</v>
      </c>
      <c r="C25" s="21">
        <f>C$4</f>
        <v>1</v>
      </c>
      <c r="D25" s="21">
        <f t="shared" ref="D25:F30" si="13">D$4</f>
        <v>0.9</v>
      </c>
      <c r="E25" s="38">
        <f t="shared" si="13"/>
        <v>0.48868632707774806</v>
      </c>
      <c r="F25" s="38">
        <f t="shared" si="13"/>
        <v>3.0303298471440061</v>
      </c>
      <c r="G25" s="21" t="str">
        <f t="shared" ref="G25:H35" si="14">G$4</f>
        <v>MEA</v>
      </c>
      <c r="H25" s="21">
        <f t="shared" si="14"/>
        <v>1E-3</v>
      </c>
      <c r="I25" s="65"/>
      <c r="J25" s="158">
        <f t="shared" si="1"/>
        <v>0.61113233982932114</v>
      </c>
      <c r="K25" s="158">
        <f t="shared" si="2"/>
        <v>9.8448180698849398E-3</v>
      </c>
      <c r="L25" s="60"/>
      <c r="M25" s="21"/>
    </row>
    <row r="26" spans="1:13" x14ac:dyDescent="0.2">
      <c r="A26" s="27" t="s">
        <v>172</v>
      </c>
      <c r="B26" s="21" t="s">
        <v>134</v>
      </c>
      <c r="C26" s="21">
        <f t="shared" ref="C26:C28" si="15">C$4</f>
        <v>1</v>
      </c>
      <c r="D26" s="21">
        <f t="shared" si="13"/>
        <v>0.9</v>
      </c>
      <c r="E26" s="38">
        <f t="shared" si="13"/>
        <v>0.48868632707774806</v>
      </c>
      <c r="F26" s="38">
        <f t="shared" si="13"/>
        <v>3.0303298471440061</v>
      </c>
      <c r="G26" s="21" t="str">
        <f t="shared" si="14"/>
        <v>MEA</v>
      </c>
      <c r="H26" s="21">
        <f t="shared" si="14"/>
        <v>1E-3</v>
      </c>
      <c r="J26" s="158">
        <f t="shared" si="1"/>
        <v>0.61113233982932114</v>
      </c>
      <c r="K26" s="158">
        <f t="shared" si="2"/>
        <v>9.8448180698849398E-3</v>
      </c>
    </row>
    <row r="27" spans="1:13" x14ac:dyDescent="0.2">
      <c r="A27" s="27" t="s">
        <v>173</v>
      </c>
      <c r="B27" s="27" t="s">
        <v>162</v>
      </c>
      <c r="C27" s="21">
        <f t="shared" si="15"/>
        <v>1</v>
      </c>
      <c r="D27" s="21">
        <f t="shared" si="13"/>
        <v>0.9</v>
      </c>
      <c r="E27" s="38">
        <f t="shared" si="13"/>
        <v>0.48868632707774806</v>
      </c>
      <c r="F27" s="21">
        <v>3.2</v>
      </c>
      <c r="G27" s="21" t="str">
        <f t="shared" si="14"/>
        <v>MEA</v>
      </c>
      <c r="H27" s="21">
        <f t="shared" si="14"/>
        <v>1E-3</v>
      </c>
      <c r="J27" s="158">
        <f>115152/188424</f>
        <v>0.61113233982932114</v>
      </c>
      <c r="K27" s="158">
        <f>1855/188424</f>
        <v>9.8448180698849398E-3</v>
      </c>
    </row>
    <row r="28" spans="1:13" x14ac:dyDescent="0.2">
      <c r="A28" s="27" t="s">
        <v>174</v>
      </c>
      <c r="B28" s="27" t="s">
        <v>162</v>
      </c>
      <c r="C28" s="21">
        <f t="shared" si="15"/>
        <v>1</v>
      </c>
      <c r="D28" s="21">
        <f t="shared" si="13"/>
        <v>0.9</v>
      </c>
      <c r="E28" s="38">
        <f t="shared" si="13"/>
        <v>0.48868632707774806</v>
      </c>
      <c r="F28" s="21">
        <v>3.2</v>
      </c>
      <c r="G28" s="21" t="str">
        <f t="shared" si="14"/>
        <v>MEA</v>
      </c>
      <c r="H28" s="21">
        <f t="shared" si="14"/>
        <v>1E-3</v>
      </c>
      <c r="J28" s="158">
        <f t="shared" si="1"/>
        <v>0.61113233982932114</v>
      </c>
      <c r="K28" s="158">
        <f t="shared" si="2"/>
        <v>9.8448180698849398E-3</v>
      </c>
    </row>
    <row r="29" spans="1:13" x14ac:dyDescent="0.2">
      <c r="A29" s="152" t="s">
        <v>183</v>
      </c>
      <c r="B29" s="27" t="s">
        <v>181</v>
      </c>
      <c r="C29" s="21">
        <v>1</v>
      </c>
      <c r="D29" s="21">
        <f t="shared" si="13"/>
        <v>0.9</v>
      </c>
      <c r="E29" s="38">
        <f>22*Ref!$B$18</f>
        <v>7.9199999999999993E-2</v>
      </c>
      <c r="F29" s="21">
        <v>3.2</v>
      </c>
      <c r="G29" s="21" t="str">
        <f t="shared" si="14"/>
        <v>MEA</v>
      </c>
      <c r="H29" s="21">
        <f t="shared" si="14"/>
        <v>1E-3</v>
      </c>
      <c r="J29" s="158">
        <f>115152/188424</f>
        <v>0.61113233982932114</v>
      </c>
      <c r="K29" s="158">
        <f>1855/188424</f>
        <v>9.8448180698849398E-3</v>
      </c>
    </row>
    <row r="30" spans="1:13" x14ac:dyDescent="0.2">
      <c r="A30" s="153" t="s">
        <v>194</v>
      </c>
      <c r="B30" s="27" t="s">
        <v>181</v>
      </c>
      <c r="C30" s="27">
        <v>1</v>
      </c>
      <c r="D30" s="21">
        <f t="shared" si="13"/>
        <v>0.9</v>
      </c>
      <c r="E30" s="38">
        <f>22*Ref!$B$18</f>
        <v>7.9199999999999993E-2</v>
      </c>
      <c r="F30" s="21">
        <v>3.2</v>
      </c>
      <c r="G30" s="21" t="str">
        <f t="shared" si="14"/>
        <v>MEA</v>
      </c>
      <c r="H30" s="21">
        <f t="shared" si="14"/>
        <v>1E-3</v>
      </c>
      <c r="J30" s="158">
        <f t="shared" si="1"/>
        <v>0.61113233982932114</v>
      </c>
      <c r="K30" s="158">
        <f t="shared" si="2"/>
        <v>9.8448180698849398E-3</v>
      </c>
    </row>
    <row r="31" spans="1:13" s="77" customFormat="1" x14ac:dyDescent="0.2">
      <c r="A31" s="27" t="s">
        <v>184</v>
      </c>
      <c r="B31" s="27" t="s">
        <v>181</v>
      </c>
      <c r="C31" s="27">
        <v>1</v>
      </c>
      <c r="D31" s="27">
        <v>0.95</v>
      </c>
      <c r="E31" s="21">
        <v>0</v>
      </c>
      <c r="F31" s="27">
        <v>0</v>
      </c>
      <c r="G31" s="21" t="s">
        <v>147</v>
      </c>
      <c r="H31" s="154">
        <f t="shared" si="14"/>
        <v>1E-3</v>
      </c>
      <c r="I31" s="65"/>
      <c r="J31" s="158">
        <f t="shared" si="1"/>
        <v>0.61113233982932114</v>
      </c>
      <c r="K31" s="158">
        <v>0</v>
      </c>
      <c r="L31" s="60"/>
      <c r="M31" s="21" t="s">
        <v>185</v>
      </c>
    </row>
    <row r="32" spans="1:13" x14ac:dyDescent="0.2">
      <c r="A32" s="27" t="s">
        <v>196</v>
      </c>
      <c r="B32" s="27" t="s">
        <v>181</v>
      </c>
      <c r="C32" s="27">
        <v>1</v>
      </c>
      <c r="D32" s="27">
        <v>0.95</v>
      </c>
      <c r="E32" s="21">
        <v>0</v>
      </c>
      <c r="F32" s="27">
        <v>0</v>
      </c>
      <c r="G32" s="21" t="s">
        <v>147</v>
      </c>
      <c r="H32" s="154">
        <f t="shared" si="14"/>
        <v>1E-3</v>
      </c>
      <c r="J32" s="158">
        <f t="shared" si="1"/>
        <v>0.61113233982932114</v>
      </c>
      <c r="K32" s="158">
        <v>0</v>
      </c>
      <c r="M32" s="21" t="s">
        <v>185</v>
      </c>
    </row>
    <row r="33" spans="1:13" s="77" customFormat="1" x14ac:dyDescent="0.2">
      <c r="A33" s="27" t="s">
        <v>198</v>
      </c>
      <c r="B33" s="27" t="s">
        <v>181</v>
      </c>
      <c r="C33" s="27">
        <v>1</v>
      </c>
      <c r="D33" s="27">
        <v>0.95</v>
      </c>
      <c r="E33" s="21">
        <v>0</v>
      </c>
      <c r="F33" s="21">
        <v>3</v>
      </c>
      <c r="G33" s="21" t="s">
        <v>147</v>
      </c>
      <c r="H33" s="154">
        <f t="shared" si="14"/>
        <v>1E-3</v>
      </c>
      <c r="I33" s="65"/>
      <c r="J33" s="158">
        <f t="shared" si="1"/>
        <v>0.61113233982932114</v>
      </c>
      <c r="K33" s="158">
        <v>0</v>
      </c>
      <c r="L33" s="60"/>
      <c r="M33" s="21"/>
    </row>
    <row r="34" spans="1:13" x14ac:dyDescent="0.2">
      <c r="A34" s="27" t="s">
        <v>199</v>
      </c>
      <c r="B34" s="27" t="s">
        <v>181</v>
      </c>
      <c r="C34" s="27">
        <v>1</v>
      </c>
      <c r="D34" s="27">
        <v>0.95</v>
      </c>
      <c r="E34" s="21">
        <v>0</v>
      </c>
      <c r="F34" s="21">
        <v>3</v>
      </c>
      <c r="G34" s="21" t="s">
        <v>147</v>
      </c>
      <c r="H34" s="154">
        <f t="shared" si="14"/>
        <v>1E-3</v>
      </c>
      <c r="J34" s="158">
        <f t="shared" si="1"/>
        <v>0.61113233982932114</v>
      </c>
      <c r="K34" s="158">
        <v>0</v>
      </c>
    </row>
    <row r="35" spans="1:13" x14ac:dyDescent="0.2">
      <c r="A35" s="27" t="s">
        <v>200</v>
      </c>
      <c r="B35" s="27" t="s">
        <v>181</v>
      </c>
      <c r="C35" s="27">
        <v>1</v>
      </c>
      <c r="D35" s="27">
        <v>0.95</v>
      </c>
      <c r="E35" s="21">
        <v>0</v>
      </c>
      <c r="F35" s="27">
        <v>0</v>
      </c>
      <c r="G35" s="21" t="s">
        <v>147</v>
      </c>
      <c r="H35" s="154">
        <f t="shared" si="14"/>
        <v>1E-3</v>
      </c>
      <c r="J35" s="158">
        <f t="shared" si="1"/>
        <v>0.61113233982932114</v>
      </c>
      <c r="K35" s="158">
        <v>0</v>
      </c>
      <c r="M35" s="21" t="s">
        <v>185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2" sqref="B32:J32"/>
    </sheetView>
  </sheetViews>
  <sheetFormatPr baseColWidth="10" defaultColWidth="8.83203125" defaultRowHeight="15" x14ac:dyDescent="0.2"/>
  <cols>
    <col min="1" max="1" width="15.6640625" style="21" customWidth="1"/>
    <col min="2" max="2" width="12.33203125" style="21" customWidth="1"/>
    <col min="3" max="3" width="13.6640625" style="21" customWidth="1"/>
    <col min="4" max="7" width="8.83203125" style="21"/>
    <col min="8" max="8" width="8.83203125" style="65"/>
    <col min="9" max="11" width="8.83203125" style="21"/>
    <col min="14" max="16384" width="8.83203125" style="21"/>
  </cols>
  <sheetData>
    <row r="1" spans="1:16" x14ac:dyDescent="0.2">
      <c r="A1" s="70" t="s">
        <v>43</v>
      </c>
      <c r="B1" s="39" t="s">
        <v>131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182</v>
      </c>
      <c r="H1" s="71" t="s">
        <v>65</v>
      </c>
      <c r="I1" s="155" t="s">
        <v>95</v>
      </c>
      <c r="J1" s="155" t="s">
        <v>192</v>
      </c>
      <c r="K1" s="71" t="s">
        <v>47</v>
      </c>
      <c r="N1" s="159"/>
      <c r="O1" s="159"/>
      <c r="P1" s="71"/>
    </row>
    <row r="2" spans="1:16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74"/>
      <c r="H2" s="83" t="s">
        <v>89</v>
      </c>
      <c r="K2" s="75"/>
      <c r="P2" s="75"/>
    </row>
    <row r="3" spans="1:16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75"/>
      <c r="H3" s="83"/>
      <c r="K3" s="75"/>
      <c r="P3" s="75"/>
    </row>
    <row r="4" spans="1:16" s="29" customFormat="1" ht="16" thickBot="1" x14ac:dyDescent="0.25">
      <c r="A4" s="78" t="s">
        <v>3</v>
      </c>
      <c r="C4" s="78">
        <v>1</v>
      </c>
      <c r="D4" s="79">
        <v>0.9</v>
      </c>
      <c r="E4" s="43">
        <f>151.9/1.119*Ref!$B$18</f>
        <v>0.48868632707774806</v>
      </c>
      <c r="F4" s="79">
        <v>0</v>
      </c>
      <c r="G4" s="79"/>
      <c r="H4" s="28"/>
      <c r="K4" s="80"/>
      <c r="P4" s="80"/>
    </row>
    <row r="5" spans="1:16" s="39" customFormat="1" ht="16" x14ac:dyDescent="0.2">
      <c r="A5" s="32" t="s">
        <v>77</v>
      </c>
      <c r="B5" s="32" t="s">
        <v>132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43" t="s">
        <v>147</v>
      </c>
      <c r="H5" s="22">
        <f>0.001</f>
        <v>1E-3</v>
      </c>
      <c r="K5" s="74"/>
      <c r="P5" s="74"/>
    </row>
    <row r="6" spans="1:16" ht="16" x14ac:dyDescent="0.2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">
        <v>147</v>
      </c>
      <c r="H6" s="94">
        <f>H5</f>
        <v>1E-3</v>
      </c>
    </row>
    <row r="7" spans="1:16" s="29" customFormat="1" ht="17" thickBot="1" x14ac:dyDescent="0.25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37" t="s">
        <v>147</v>
      </c>
      <c r="H7" s="95">
        <f>H5</f>
        <v>1E-3</v>
      </c>
    </row>
    <row r="8" spans="1:16" ht="16" x14ac:dyDescent="0.2">
      <c r="A8" s="59" t="s">
        <v>62</v>
      </c>
      <c r="B8" s="32" t="s">
        <v>132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43" t="s">
        <v>147</v>
      </c>
      <c r="H8" s="22">
        <f>0.001</f>
        <v>1E-3</v>
      </c>
      <c r="K8" s="77"/>
      <c r="P8" s="77"/>
    </row>
    <row r="9" spans="1:16" s="39" customFormat="1" ht="16" x14ac:dyDescent="0.2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38" t="s">
        <v>147</v>
      </c>
      <c r="H9" s="94">
        <f>H8</f>
        <v>1E-3</v>
      </c>
      <c r="K9" s="21"/>
      <c r="P9" s="21"/>
    </row>
    <row r="10" spans="1:16" s="29" customFormat="1" ht="17" thickBot="1" x14ac:dyDescent="0.25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37" t="s">
        <v>147</v>
      </c>
      <c r="H10" s="95">
        <f>H8</f>
        <v>1E-3</v>
      </c>
    </row>
    <row r="11" spans="1:16" ht="16" x14ac:dyDescent="0.2">
      <c r="A11" s="52" t="s">
        <v>63</v>
      </c>
      <c r="B11" s="32" t="s">
        <v>132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43" t="s">
        <v>147</v>
      </c>
      <c r="H11" s="22">
        <f>0.001</f>
        <v>1E-3</v>
      </c>
    </row>
    <row r="12" spans="1:16" ht="16" x14ac:dyDescent="0.2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38" t="s">
        <v>147</v>
      </c>
      <c r="H12" s="49">
        <f>H11</f>
        <v>1E-3</v>
      </c>
    </row>
    <row r="13" spans="1:16" s="56" customFormat="1" ht="17" thickBot="1" x14ac:dyDescent="0.25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37" t="s">
        <v>147</v>
      </c>
      <c r="H13" s="82">
        <f>H11</f>
        <v>1E-3</v>
      </c>
      <c r="K13" s="29"/>
      <c r="P13" s="29"/>
    </row>
    <row r="14" spans="1:16" ht="16" x14ac:dyDescent="0.2">
      <c r="A14" s="21" t="s">
        <v>71</v>
      </c>
      <c r="B14" s="32" t="s">
        <v>132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43" t="s">
        <v>147</v>
      </c>
      <c r="H14" s="22">
        <f>0.001</f>
        <v>1E-3</v>
      </c>
      <c r="K14" s="74"/>
      <c r="P14" s="74"/>
    </row>
    <row r="15" spans="1:16" ht="16" x14ac:dyDescent="0.2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38" t="s">
        <v>147</v>
      </c>
      <c r="H15" s="49">
        <f>H14</f>
        <v>1E-3</v>
      </c>
    </row>
    <row r="16" spans="1:16" s="29" customFormat="1" ht="17" thickBot="1" x14ac:dyDescent="0.25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37" t="s">
        <v>147</v>
      </c>
      <c r="H16" s="82">
        <f>H14</f>
        <v>1E-3</v>
      </c>
    </row>
    <row r="17" spans="1:16" s="39" customFormat="1" ht="16" x14ac:dyDescent="0.2">
      <c r="A17" s="21" t="s">
        <v>74</v>
      </c>
      <c r="B17" s="32" t="s">
        <v>132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43" t="s">
        <v>147</v>
      </c>
      <c r="H17" s="22">
        <f>0.001</f>
        <v>1E-3</v>
      </c>
      <c r="K17" s="21"/>
      <c r="P17" s="21"/>
    </row>
    <row r="18" spans="1:16" ht="16" x14ac:dyDescent="0.2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38" t="s">
        <v>147</v>
      </c>
      <c r="H18" s="26">
        <f>H17</f>
        <v>1E-3</v>
      </c>
    </row>
    <row r="19" spans="1:16" s="29" customFormat="1" ht="17" thickBot="1" x14ac:dyDescent="0.25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37" t="s">
        <v>147</v>
      </c>
      <c r="H19" s="57">
        <f>H17</f>
        <v>1E-3</v>
      </c>
      <c r="K19" s="21"/>
      <c r="P19" s="21"/>
    </row>
    <row r="20" spans="1:16" x14ac:dyDescent="0.2">
      <c r="A20" t="s">
        <v>133</v>
      </c>
      <c r="B20" s="21" t="s">
        <v>134</v>
      </c>
      <c r="C20" s="21">
        <f>C4</f>
        <v>1</v>
      </c>
      <c r="D20" s="21">
        <f>D4</f>
        <v>0.9</v>
      </c>
      <c r="E20" s="38">
        <f>E4</f>
        <v>0.48868632707774806</v>
      </c>
      <c r="F20" s="21">
        <f>F4</f>
        <v>0</v>
      </c>
      <c r="G20" s="21" t="s">
        <v>147</v>
      </c>
      <c r="H20" s="21">
        <f>H4</f>
        <v>0</v>
      </c>
    </row>
    <row r="21" spans="1:16" s="39" customFormat="1" x14ac:dyDescent="0.2">
      <c r="A21" s="27" t="s">
        <v>171</v>
      </c>
      <c r="B21" s="21" t="s">
        <v>134</v>
      </c>
      <c r="C21" s="21">
        <f>C$4</f>
        <v>1</v>
      </c>
      <c r="D21" s="21">
        <f t="shared" ref="D21:H32" si="10">D$4</f>
        <v>0.9</v>
      </c>
      <c r="E21" s="38">
        <f t="shared" si="10"/>
        <v>0.48868632707774806</v>
      </c>
      <c r="F21" s="21">
        <f t="shared" si="10"/>
        <v>0</v>
      </c>
      <c r="G21" s="21" t="s">
        <v>147</v>
      </c>
      <c r="H21" s="21">
        <f t="shared" si="10"/>
        <v>0</v>
      </c>
      <c r="K21" s="21"/>
      <c r="P21" s="21"/>
    </row>
    <row r="22" spans="1:16" x14ac:dyDescent="0.2">
      <c r="A22" s="27" t="s">
        <v>172</v>
      </c>
      <c r="B22" s="21" t="s">
        <v>134</v>
      </c>
      <c r="C22" s="21">
        <f t="shared" ref="C22:C24" si="11">C$4</f>
        <v>1</v>
      </c>
      <c r="D22" s="21">
        <f t="shared" si="10"/>
        <v>0.9</v>
      </c>
      <c r="E22" s="38">
        <f t="shared" si="10"/>
        <v>0.48868632707774806</v>
      </c>
      <c r="F22" s="21">
        <f t="shared" si="10"/>
        <v>0</v>
      </c>
      <c r="G22" s="21" t="s">
        <v>147</v>
      </c>
      <c r="H22" s="21">
        <f t="shared" si="10"/>
        <v>0</v>
      </c>
    </row>
    <row r="23" spans="1:16" x14ac:dyDescent="0.2">
      <c r="A23" s="27" t="s">
        <v>173</v>
      </c>
      <c r="B23" s="27" t="s">
        <v>162</v>
      </c>
      <c r="C23" s="21">
        <f t="shared" si="11"/>
        <v>1</v>
      </c>
      <c r="D23" s="21">
        <f t="shared" si="10"/>
        <v>0.9</v>
      </c>
      <c r="E23" s="38">
        <f t="shared" si="10"/>
        <v>0.48868632707774806</v>
      </c>
      <c r="F23" s="21">
        <f t="shared" si="10"/>
        <v>0</v>
      </c>
      <c r="G23" s="21" t="s">
        <v>147</v>
      </c>
      <c r="H23" s="21">
        <f t="shared" si="10"/>
        <v>0</v>
      </c>
    </row>
    <row r="24" spans="1:16" x14ac:dyDescent="0.2">
      <c r="A24" s="27" t="s">
        <v>174</v>
      </c>
      <c r="B24" s="27" t="s">
        <v>162</v>
      </c>
      <c r="C24" s="21">
        <f t="shared" si="11"/>
        <v>1</v>
      </c>
      <c r="D24" s="21">
        <f t="shared" si="10"/>
        <v>0.9</v>
      </c>
      <c r="E24" s="38">
        <f t="shared" si="10"/>
        <v>0.48868632707774806</v>
      </c>
      <c r="F24" s="21">
        <f t="shared" si="10"/>
        <v>0</v>
      </c>
      <c r="G24" s="21" t="s">
        <v>147</v>
      </c>
      <c r="H24" s="21">
        <f t="shared" si="10"/>
        <v>0</v>
      </c>
    </row>
    <row r="25" spans="1:16" x14ac:dyDescent="0.2">
      <c r="A25" s="152" t="s">
        <v>183</v>
      </c>
      <c r="B25" s="27" t="s">
        <v>181</v>
      </c>
      <c r="C25" s="21">
        <v>1</v>
      </c>
      <c r="D25" s="21">
        <f t="shared" si="10"/>
        <v>0.9</v>
      </c>
      <c r="E25" s="38">
        <f>22*Ref!$B$18</f>
        <v>7.9199999999999993E-2</v>
      </c>
      <c r="F25" s="21">
        <v>3.2</v>
      </c>
      <c r="G25" s="21" t="s">
        <v>147</v>
      </c>
      <c r="H25" s="21">
        <f t="shared" si="10"/>
        <v>0</v>
      </c>
      <c r="I25" s="158">
        <f>115152/188424</f>
        <v>0.61113233982932114</v>
      </c>
      <c r="J25" s="158">
        <f>1855/188424</f>
        <v>9.8448180698849398E-3</v>
      </c>
      <c r="N25" s="158"/>
      <c r="O25" s="158"/>
    </row>
    <row r="26" spans="1:16" x14ac:dyDescent="0.2">
      <c r="A26" s="153" t="s">
        <v>194</v>
      </c>
      <c r="B26" s="27" t="s">
        <v>181</v>
      </c>
      <c r="C26" s="27">
        <v>1</v>
      </c>
      <c r="D26" s="21">
        <f t="shared" si="10"/>
        <v>0.9</v>
      </c>
      <c r="E26" s="38">
        <f>22*Ref!$B$18</f>
        <v>7.9199999999999993E-2</v>
      </c>
      <c r="F26" s="21">
        <v>3.2</v>
      </c>
      <c r="G26" s="21" t="s">
        <v>147</v>
      </c>
      <c r="H26" s="21">
        <f t="shared" si="10"/>
        <v>0</v>
      </c>
      <c r="I26" s="158">
        <f t="shared" ref="I26:I32" si="12">115152/188424</f>
        <v>0.61113233982932114</v>
      </c>
      <c r="J26" s="158">
        <f t="shared" ref="J26:J29" si="13">1855/188424</f>
        <v>9.8448180698849398E-3</v>
      </c>
      <c r="N26" s="158"/>
      <c r="O26" s="158"/>
    </row>
    <row r="27" spans="1:16" x14ac:dyDescent="0.2">
      <c r="A27" s="27" t="s">
        <v>184</v>
      </c>
      <c r="B27" s="27" t="s">
        <v>181</v>
      </c>
      <c r="C27" s="21">
        <v>1</v>
      </c>
      <c r="D27" s="21">
        <f t="shared" si="10"/>
        <v>0.9</v>
      </c>
      <c r="E27" s="38">
        <f>22*Ref!$B$18</f>
        <v>7.9199999999999993E-2</v>
      </c>
      <c r="F27" s="21">
        <v>3.2</v>
      </c>
      <c r="G27" s="21" t="s">
        <v>147</v>
      </c>
      <c r="H27" s="21">
        <f t="shared" si="10"/>
        <v>0</v>
      </c>
      <c r="I27" s="158">
        <f t="shared" si="12"/>
        <v>0.61113233982932114</v>
      </c>
      <c r="J27" s="158">
        <v>0</v>
      </c>
      <c r="N27" s="158"/>
      <c r="O27" s="158"/>
    </row>
    <row r="28" spans="1:16" x14ac:dyDescent="0.2">
      <c r="A28" s="27" t="s">
        <v>196</v>
      </c>
      <c r="B28" s="27" t="s">
        <v>181</v>
      </c>
      <c r="C28" s="27">
        <v>1</v>
      </c>
      <c r="D28" s="21">
        <f t="shared" si="10"/>
        <v>0.9</v>
      </c>
      <c r="E28" s="38">
        <f>22*Ref!$B$18</f>
        <v>7.9199999999999993E-2</v>
      </c>
      <c r="F28" s="21">
        <v>3.2</v>
      </c>
      <c r="G28" s="21" t="s">
        <v>147</v>
      </c>
      <c r="H28" s="21">
        <f t="shared" si="10"/>
        <v>0</v>
      </c>
      <c r="I28" s="158">
        <f t="shared" si="12"/>
        <v>0.61113233982932114</v>
      </c>
      <c r="J28" s="158">
        <v>0</v>
      </c>
      <c r="N28" s="158"/>
      <c r="O28" s="158"/>
    </row>
    <row r="29" spans="1:16" x14ac:dyDescent="0.2">
      <c r="A29" s="27" t="s">
        <v>186</v>
      </c>
      <c r="B29" s="27" t="s">
        <v>181</v>
      </c>
      <c r="C29" s="21">
        <v>1</v>
      </c>
      <c r="D29" s="21">
        <f t="shared" si="10"/>
        <v>0.9</v>
      </c>
      <c r="E29" s="38">
        <f>22*Ref!$B$18</f>
        <v>7.9199999999999993E-2</v>
      </c>
      <c r="F29" s="21">
        <v>3.2</v>
      </c>
      <c r="G29" s="21" t="s">
        <v>147</v>
      </c>
      <c r="H29" s="21">
        <f t="shared" si="10"/>
        <v>0</v>
      </c>
      <c r="I29" s="158">
        <f t="shared" si="12"/>
        <v>0.61113233982932114</v>
      </c>
      <c r="J29" s="158">
        <f t="shared" si="13"/>
        <v>9.8448180698849398E-3</v>
      </c>
      <c r="N29" s="158"/>
      <c r="O29" s="158"/>
    </row>
    <row r="30" spans="1:16" x14ac:dyDescent="0.2">
      <c r="A30" s="27" t="s">
        <v>198</v>
      </c>
      <c r="B30" s="27" t="s">
        <v>181</v>
      </c>
      <c r="C30" s="21">
        <v>1</v>
      </c>
      <c r="D30" s="21">
        <f t="shared" si="10"/>
        <v>0.9</v>
      </c>
      <c r="E30" s="38">
        <f>22*Ref!$B$18</f>
        <v>7.9199999999999993E-2</v>
      </c>
      <c r="F30" s="21">
        <v>3.2</v>
      </c>
      <c r="G30" s="21" t="s">
        <v>147</v>
      </c>
      <c r="H30" s="21">
        <f t="shared" si="10"/>
        <v>0</v>
      </c>
      <c r="I30" s="158">
        <f t="shared" si="12"/>
        <v>0.61113233982932114</v>
      </c>
      <c r="J30" s="158">
        <v>0</v>
      </c>
      <c r="N30" s="158"/>
      <c r="O30" s="158"/>
    </row>
    <row r="31" spans="1:16" x14ac:dyDescent="0.2">
      <c r="A31" s="27" t="s">
        <v>199</v>
      </c>
      <c r="B31" s="27" t="s">
        <v>181</v>
      </c>
      <c r="C31" s="27">
        <v>1</v>
      </c>
      <c r="D31" s="21">
        <f t="shared" si="10"/>
        <v>0.9</v>
      </c>
      <c r="E31" s="38">
        <f>22*Ref!$B$18</f>
        <v>7.9199999999999993E-2</v>
      </c>
      <c r="F31" s="21">
        <v>3.2</v>
      </c>
      <c r="G31" s="21" t="s">
        <v>147</v>
      </c>
      <c r="H31" s="21">
        <f t="shared" si="10"/>
        <v>0</v>
      </c>
      <c r="I31" s="158">
        <f t="shared" si="12"/>
        <v>0.61113233982932114</v>
      </c>
      <c r="J31" s="158">
        <v>0</v>
      </c>
      <c r="N31" s="158"/>
      <c r="O31" s="158"/>
    </row>
    <row r="32" spans="1:16" x14ac:dyDescent="0.2">
      <c r="A32" s="27" t="s">
        <v>200</v>
      </c>
      <c r="B32" s="27" t="s">
        <v>181</v>
      </c>
      <c r="C32" s="27">
        <v>1</v>
      </c>
      <c r="D32" s="21">
        <f t="shared" si="10"/>
        <v>0.9</v>
      </c>
      <c r="E32" s="38">
        <f>22*Ref!$B$18</f>
        <v>7.9199999999999993E-2</v>
      </c>
      <c r="F32" s="21">
        <v>3.2</v>
      </c>
      <c r="G32" s="21" t="s">
        <v>147</v>
      </c>
      <c r="H32" s="21">
        <f t="shared" si="10"/>
        <v>0</v>
      </c>
      <c r="I32" s="158">
        <f t="shared" si="12"/>
        <v>0.61113233982932114</v>
      </c>
      <c r="J32" s="158">
        <v>0</v>
      </c>
    </row>
    <row r="35" spans="1:16" s="39" customFormat="1" x14ac:dyDescent="0.2">
      <c r="A35" s="21"/>
      <c r="B35" s="21"/>
      <c r="C35" s="21"/>
      <c r="D35" s="21"/>
      <c r="E35" s="21"/>
      <c r="F35" s="21"/>
      <c r="G35" s="21"/>
      <c r="H35" s="65"/>
      <c r="K35" s="21"/>
      <c r="P35" s="2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D9FA-CFEA-1A4D-99B2-6859E31E7484}">
  <dimension ref="A1:C32"/>
  <sheetViews>
    <sheetView workbookViewId="0">
      <selection activeCell="B32" sqref="B32"/>
    </sheetView>
  </sheetViews>
  <sheetFormatPr baseColWidth="10" defaultRowHeight="15" x14ac:dyDescent="0.2"/>
  <cols>
    <col min="1" max="1" width="12.33203125" style="21" customWidth="1"/>
    <col min="3" max="3" width="10.83203125" style="21"/>
  </cols>
  <sheetData>
    <row r="1" spans="1:3" x14ac:dyDescent="0.2">
      <c r="A1" s="70" t="s">
        <v>43</v>
      </c>
      <c r="B1" t="s">
        <v>197</v>
      </c>
      <c r="C1" s="71" t="s">
        <v>47</v>
      </c>
    </row>
    <row r="2" spans="1:3" x14ac:dyDescent="0.2">
      <c r="A2" s="72" t="s">
        <v>38</v>
      </c>
      <c r="C2" s="75"/>
    </row>
    <row r="3" spans="1:3" x14ac:dyDescent="0.2">
      <c r="A3" s="72" t="s">
        <v>2</v>
      </c>
      <c r="C3" s="75"/>
    </row>
    <row r="4" spans="1:3" ht="16" thickBot="1" x14ac:dyDescent="0.25">
      <c r="A4" s="78" t="s">
        <v>3</v>
      </c>
      <c r="B4">
        <v>1</v>
      </c>
      <c r="C4" s="80"/>
    </row>
    <row r="5" spans="1:3" ht="16" x14ac:dyDescent="0.2">
      <c r="A5" s="32" t="s">
        <v>77</v>
      </c>
      <c r="B5">
        <v>1</v>
      </c>
      <c r="C5" s="74"/>
    </row>
    <row r="6" spans="1:3" ht="16" x14ac:dyDescent="0.2">
      <c r="A6" s="25" t="s">
        <v>78</v>
      </c>
      <c r="B6">
        <v>1</v>
      </c>
    </row>
    <row r="7" spans="1:3" ht="17" thickBot="1" x14ac:dyDescent="0.25">
      <c r="A7" s="30" t="s">
        <v>81</v>
      </c>
      <c r="B7">
        <v>1</v>
      </c>
      <c r="C7" s="29"/>
    </row>
    <row r="8" spans="1:3" ht="16" x14ac:dyDescent="0.2">
      <c r="A8" s="59" t="s">
        <v>62</v>
      </c>
      <c r="B8">
        <v>1</v>
      </c>
      <c r="C8" s="77"/>
    </row>
    <row r="9" spans="1:3" ht="16" x14ac:dyDescent="0.2">
      <c r="A9" s="51" t="s">
        <v>79</v>
      </c>
      <c r="B9">
        <v>1</v>
      </c>
    </row>
    <row r="10" spans="1:3" ht="17" thickBot="1" x14ac:dyDescent="0.25">
      <c r="A10" s="53" t="s">
        <v>82</v>
      </c>
      <c r="B10">
        <v>1</v>
      </c>
      <c r="C10" s="29"/>
    </row>
    <row r="11" spans="1:3" ht="16" x14ac:dyDescent="0.2">
      <c r="A11" s="52" t="s">
        <v>63</v>
      </c>
      <c r="B11">
        <v>1</v>
      </c>
    </row>
    <row r="12" spans="1:3" ht="16" x14ac:dyDescent="0.2">
      <c r="A12" s="46" t="s">
        <v>80</v>
      </c>
      <c r="B12">
        <v>1</v>
      </c>
    </row>
    <row r="13" spans="1:3" ht="17" thickBot="1" x14ac:dyDescent="0.25">
      <c r="A13" s="53" t="s">
        <v>83</v>
      </c>
      <c r="B13">
        <v>1</v>
      </c>
      <c r="C13" s="29"/>
    </row>
    <row r="14" spans="1:3" x14ac:dyDescent="0.2">
      <c r="A14" s="21" t="s">
        <v>71</v>
      </c>
      <c r="B14">
        <v>1</v>
      </c>
      <c r="C14" s="74"/>
    </row>
    <row r="15" spans="1:3" x14ac:dyDescent="0.2">
      <c r="A15" s="21" t="s">
        <v>72</v>
      </c>
      <c r="B15">
        <v>1</v>
      </c>
    </row>
    <row r="16" spans="1:3" ht="16" thickBot="1" x14ac:dyDescent="0.25">
      <c r="A16" s="29" t="s">
        <v>73</v>
      </c>
      <c r="B16">
        <v>1</v>
      </c>
      <c r="C16" s="29"/>
    </row>
    <row r="17" spans="1:2" x14ac:dyDescent="0.2">
      <c r="A17" s="21" t="s">
        <v>74</v>
      </c>
      <c r="B17">
        <v>1</v>
      </c>
    </row>
    <row r="18" spans="1:2" x14ac:dyDescent="0.2">
      <c r="A18" s="21" t="s">
        <v>75</v>
      </c>
      <c r="B18">
        <v>1</v>
      </c>
    </row>
    <row r="19" spans="1:2" ht="16" thickBot="1" x14ac:dyDescent="0.25">
      <c r="A19" s="29" t="s">
        <v>76</v>
      </c>
      <c r="B19">
        <v>1</v>
      </c>
    </row>
    <row r="20" spans="1:2" x14ac:dyDescent="0.2">
      <c r="A20" t="s">
        <v>133</v>
      </c>
      <c r="B20">
        <v>1</v>
      </c>
    </row>
    <row r="21" spans="1:2" x14ac:dyDescent="0.2">
      <c r="A21" s="27" t="s">
        <v>171</v>
      </c>
      <c r="B21">
        <v>1</v>
      </c>
    </row>
    <row r="22" spans="1:2" x14ac:dyDescent="0.2">
      <c r="A22" s="27" t="s">
        <v>172</v>
      </c>
      <c r="B22">
        <v>1</v>
      </c>
    </row>
    <row r="23" spans="1:2" x14ac:dyDescent="0.2">
      <c r="A23" s="27" t="s">
        <v>173</v>
      </c>
      <c r="B23">
        <v>1</v>
      </c>
    </row>
    <row r="24" spans="1:2" x14ac:dyDescent="0.2">
      <c r="A24" s="27" t="s">
        <v>174</v>
      </c>
      <c r="B24">
        <v>1</v>
      </c>
    </row>
    <row r="25" spans="1:2" x14ac:dyDescent="0.2">
      <c r="A25" s="152" t="s">
        <v>183</v>
      </c>
      <c r="B25">
        <v>1</v>
      </c>
    </row>
    <row r="26" spans="1:2" x14ac:dyDescent="0.2">
      <c r="A26" s="153" t="s">
        <v>194</v>
      </c>
      <c r="B26">
        <v>1</v>
      </c>
    </row>
    <row r="27" spans="1:2" x14ac:dyDescent="0.2">
      <c r="A27" s="27" t="s">
        <v>184</v>
      </c>
      <c r="B27">
        <v>1</v>
      </c>
    </row>
    <row r="28" spans="1:2" x14ac:dyDescent="0.2">
      <c r="A28" s="27" t="s">
        <v>196</v>
      </c>
      <c r="B28">
        <v>1</v>
      </c>
    </row>
    <row r="29" spans="1:2" x14ac:dyDescent="0.2">
      <c r="A29" s="27" t="s">
        <v>186</v>
      </c>
      <c r="B29">
        <v>1</v>
      </c>
    </row>
    <row r="30" spans="1:2" x14ac:dyDescent="0.2">
      <c r="A30" s="27" t="s">
        <v>198</v>
      </c>
      <c r="B30">
        <v>1</v>
      </c>
    </row>
    <row r="31" spans="1:2" x14ac:dyDescent="0.2">
      <c r="A31" s="27" t="s">
        <v>199</v>
      </c>
      <c r="B31">
        <v>1</v>
      </c>
    </row>
    <row r="32" spans="1:2" x14ac:dyDescent="0.2">
      <c r="A32" s="27" t="s">
        <v>200</v>
      </c>
      <c r="B3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6"/>
  <sheetViews>
    <sheetView zoomScaleNormal="100" workbookViewId="0">
      <selection activeCell="B36" sqref="B36:D36"/>
    </sheetView>
  </sheetViews>
  <sheetFormatPr baseColWidth="10" defaultColWidth="11.5" defaultRowHeight="15" x14ac:dyDescent="0.2"/>
  <sheetData>
    <row r="1" spans="1:4" x14ac:dyDescent="0.2">
      <c r="A1" s="70" t="s">
        <v>43</v>
      </c>
      <c r="B1" s="39" t="s">
        <v>131</v>
      </c>
      <c r="C1" s="70" t="s">
        <v>127</v>
      </c>
      <c r="D1" s="71" t="s">
        <v>6</v>
      </c>
    </row>
    <row r="2" spans="1:4" x14ac:dyDescent="0.2">
      <c r="A2" s="72" t="s">
        <v>38</v>
      </c>
      <c r="B2" s="48"/>
      <c r="C2" s="73" t="s">
        <v>128</v>
      </c>
      <c r="D2" s="74" t="s">
        <v>50</v>
      </c>
    </row>
    <row r="3" spans="1:4" x14ac:dyDescent="0.2">
      <c r="A3" s="72" t="s">
        <v>2</v>
      </c>
      <c r="B3" s="48"/>
      <c r="C3" s="73" t="s">
        <v>52</v>
      </c>
      <c r="D3" s="75"/>
    </row>
    <row r="4" spans="1:4" ht="16" thickBot="1" x14ac:dyDescent="0.25">
      <c r="A4" s="78" t="s">
        <v>3</v>
      </c>
      <c r="B4" s="29"/>
      <c r="C4" s="43">
        <v>0</v>
      </c>
      <c r="D4" s="79">
        <v>0.32</v>
      </c>
    </row>
    <row r="5" spans="1:4" ht="16" x14ac:dyDescent="0.2">
      <c r="A5" s="32" t="s">
        <v>77</v>
      </c>
      <c r="B5" s="32" t="s">
        <v>132</v>
      </c>
      <c r="C5" s="43">
        <v>0</v>
      </c>
      <c r="D5" s="43">
        <f>90*Ref!$B$18</f>
        <v>0.32400000000000001</v>
      </c>
    </row>
    <row r="6" spans="1:4" ht="16" x14ac:dyDescent="0.2">
      <c r="A6" s="25" t="s">
        <v>78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7" thickBot="1" x14ac:dyDescent="0.25">
      <c r="A7" s="30" t="s">
        <v>81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ht="16" x14ac:dyDescent="0.2">
      <c r="A8" s="59" t="s">
        <v>62</v>
      </c>
      <c r="B8" s="32" t="s">
        <v>132</v>
      </c>
      <c r="C8" s="43">
        <v>0</v>
      </c>
      <c r="D8" s="43">
        <f>90*Ref!$B$18</f>
        <v>0.32400000000000001</v>
      </c>
    </row>
    <row r="9" spans="1:4" ht="16" x14ac:dyDescent="0.2">
      <c r="A9" s="51" t="s">
        <v>79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7" thickBot="1" x14ac:dyDescent="0.25">
      <c r="A10" s="53" t="s">
        <v>82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ht="16" x14ac:dyDescent="0.2">
      <c r="A11" s="52" t="s">
        <v>63</v>
      </c>
      <c r="B11" s="32" t="s">
        <v>132</v>
      </c>
      <c r="C11" s="43">
        <v>0</v>
      </c>
      <c r="D11" s="43">
        <f>90*Ref!$B$18</f>
        <v>0.32400000000000001</v>
      </c>
    </row>
    <row r="12" spans="1:4" ht="16" x14ac:dyDescent="0.2">
      <c r="A12" s="46" t="s">
        <v>80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7" thickBot="1" x14ac:dyDescent="0.25">
      <c r="A13" s="53" t="s">
        <v>83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ht="16" x14ac:dyDescent="0.2">
      <c r="A14" s="21" t="s">
        <v>71</v>
      </c>
      <c r="B14" s="32" t="s">
        <v>132</v>
      </c>
      <c r="C14" s="43">
        <v>0</v>
      </c>
      <c r="D14" s="43">
        <f>90*Ref!$B$18</f>
        <v>0.32400000000000001</v>
      </c>
    </row>
    <row r="15" spans="1:4" ht="16" x14ac:dyDescent="0.2">
      <c r="A15" s="21" t="s">
        <v>72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7" thickBot="1" x14ac:dyDescent="0.25">
      <c r="A16" s="29" t="s">
        <v>73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ht="16" x14ac:dyDescent="0.2">
      <c r="A17" s="21" t="s">
        <v>74</v>
      </c>
      <c r="B17" s="32" t="s">
        <v>132</v>
      </c>
      <c r="C17" s="43">
        <v>0</v>
      </c>
      <c r="D17" s="43">
        <f>90*Ref!$B$18</f>
        <v>0.32400000000000001</v>
      </c>
    </row>
    <row r="18" spans="1:4" ht="16" x14ac:dyDescent="0.2">
      <c r="A18" s="21" t="s">
        <v>75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7" thickBot="1" x14ac:dyDescent="0.25">
      <c r="A19" s="29" t="s">
        <v>76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">
      <c r="A20" t="s">
        <v>133</v>
      </c>
      <c r="B20" s="21" t="s">
        <v>134</v>
      </c>
      <c r="C20" s="24">
        <f>C4</f>
        <v>0</v>
      </c>
      <c r="D20" s="24">
        <f>D4</f>
        <v>0.32</v>
      </c>
    </row>
    <row r="21" spans="1:4" x14ac:dyDescent="0.2">
      <c r="A21" s="21" t="s">
        <v>145</v>
      </c>
    </row>
    <row r="22" spans="1:4" x14ac:dyDescent="0.2">
      <c r="A22" s="27" t="s">
        <v>148</v>
      </c>
      <c r="B22" s="21" t="s">
        <v>134</v>
      </c>
      <c r="C22">
        <v>0</v>
      </c>
      <c r="D22" s="43">
        <f>94*Ref!$B$18</f>
        <v>0.33839999999999998</v>
      </c>
    </row>
    <row r="23" spans="1:4" x14ac:dyDescent="0.2">
      <c r="A23" s="27" t="s">
        <v>149</v>
      </c>
      <c r="B23" s="21" t="s">
        <v>134</v>
      </c>
      <c r="C23">
        <v>0</v>
      </c>
      <c r="D23" s="43">
        <f>94*Ref!$B$18</f>
        <v>0.33839999999999998</v>
      </c>
    </row>
    <row r="24" spans="1:4" x14ac:dyDescent="0.2">
      <c r="A24" s="27" t="s">
        <v>161</v>
      </c>
      <c r="B24" s="27" t="s">
        <v>162</v>
      </c>
      <c r="C24">
        <f>0</f>
        <v>0</v>
      </c>
      <c r="D24">
        <f>22.26/64.2</f>
        <v>0.34672897196261682</v>
      </c>
    </row>
    <row r="25" spans="1:4" x14ac:dyDescent="0.2">
      <c r="A25" s="27" t="s">
        <v>171</v>
      </c>
      <c r="B25" s="21" t="s">
        <v>134</v>
      </c>
      <c r="C25" s="24">
        <f>C$4</f>
        <v>0</v>
      </c>
      <c r="D25" s="24">
        <f t="shared" ref="D25:D28" si="10">D$4</f>
        <v>0.32</v>
      </c>
    </row>
    <row r="26" spans="1:4" x14ac:dyDescent="0.2">
      <c r="A26" s="27" t="s">
        <v>172</v>
      </c>
      <c r="B26" s="21" t="s">
        <v>134</v>
      </c>
      <c r="C26" s="24">
        <f t="shared" ref="C26:C28" si="11">C$4</f>
        <v>0</v>
      </c>
      <c r="D26" s="24">
        <f t="shared" si="10"/>
        <v>0.32</v>
      </c>
    </row>
    <row r="27" spans="1:4" x14ac:dyDescent="0.2">
      <c r="A27" s="27" t="s">
        <v>173</v>
      </c>
      <c r="B27" s="27" t="s">
        <v>162</v>
      </c>
      <c r="C27" s="24">
        <f t="shared" si="11"/>
        <v>0</v>
      </c>
      <c r="D27" s="24">
        <f t="shared" si="10"/>
        <v>0.32</v>
      </c>
    </row>
    <row r="28" spans="1:4" x14ac:dyDescent="0.2">
      <c r="A28" s="27" t="s">
        <v>174</v>
      </c>
      <c r="B28" s="27" t="s">
        <v>162</v>
      </c>
      <c r="C28" s="24">
        <f t="shared" si="11"/>
        <v>0</v>
      </c>
      <c r="D28" s="24">
        <f t="shared" si="10"/>
        <v>0.32</v>
      </c>
    </row>
    <row r="29" spans="1:4" x14ac:dyDescent="0.2">
      <c r="A29" s="152" t="s">
        <v>183</v>
      </c>
      <c r="B29" s="27" t="s">
        <v>181</v>
      </c>
      <c r="C29">
        <v>0</v>
      </c>
      <c r="D29" s="24">
        <f>80*Ref!$B$18</f>
        <v>0.28799999999999998</v>
      </c>
    </row>
    <row r="30" spans="1:4" x14ac:dyDescent="0.2">
      <c r="A30" s="153" t="s">
        <v>194</v>
      </c>
      <c r="B30" s="27" t="s">
        <v>181</v>
      </c>
      <c r="C30">
        <v>0</v>
      </c>
      <c r="D30" s="24">
        <f>80*Ref!$B$18</f>
        <v>0.28799999999999998</v>
      </c>
    </row>
    <row r="31" spans="1:4" x14ac:dyDescent="0.2">
      <c r="A31" s="27" t="s">
        <v>184</v>
      </c>
      <c r="B31" s="27" t="s">
        <v>181</v>
      </c>
      <c r="C31">
        <v>0</v>
      </c>
      <c r="D31" s="24">
        <f>80*Ref!$B$18</f>
        <v>0.28799999999999998</v>
      </c>
    </row>
    <row r="32" spans="1:4" x14ac:dyDescent="0.2">
      <c r="A32" s="27" t="s">
        <v>196</v>
      </c>
      <c r="B32" s="27" t="s">
        <v>181</v>
      </c>
      <c r="C32">
        <v>0</v>
      </c>
      <c r="D32" s="24">
        <f>80*Ref!$B$18</f>
        <v>0.28799999999999998</v>
      </c>
    </row>
    <row r="33" spans="1:4" x14ac:dyDescent="0.2">
      <c r="A33" s="27" t="s">
        <v>186</v>
      </c>
      <c r="B33" s="27" t="s">
        <v>181</v>
      </c>
      <c r="C33">
        <v>0</v>
      </c>
      <c r="D33" s="24">
        <f>80*Ref!$B$18</f>
        <v>0.28799999999999998</v>
      </c>
    </row>
    <row r="34" spans="1:4" x14ac:dyDescent="0.2">
      <c r="A34" s="27" t="s">
        <v>198</v>
      </c>
      <c r="B34" s="27" t="s">
        <v>181</v>
      </c>
      <c r="C34">
        <v>0</v>
      </c>
      <c r="D34" s="24">
        <f>80*Ref!$B$18</f>
        <v>0.28799999999999998</v>
      </c>
    </row>
    <row r="35" spans="1:4" x14ac:dyDescent="0.2">
      <c r="A35" s="27" t="s">
        <v>199</v>
      </c>
      <c r="B35" s="27" t="s">
        <v>181</v>
      </c>
      <c r="C35">
        <v>0</v>
      </c>
      <c r="D35" s="24">
        <f>80*Ref!$B$18</f>
        <v>0.28799999999999998</v>
      </c>
    </row>
    <row r="36" spans="1:4" x14ac:dyDescent="0.2">
      <c r="A36" s="27" t="s">
        <v>200</v>
      </c>
      <c r="B36" s="27" t="s">
        <v>181</v>
      </c>
      <c r="C36">
        <v>0</v>
      </c>
      <c r="D36" s="24">
        <f>80*Ref!$B$18</f>
        <v>0.28799999999999998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6"/>
  <sheetViews>
    <sheetView topLeftCell="A17" zoomScale="170" zoomScaleNormal="170" workbookViewId="0">
      <selection activeCell="B36" sqref="B36:G36"/>
    </sheetView>
  </sheetViews>
  <sheetFormatPr baseColWidth="10" defaultColWidth="8.83203125" defaultRowHeight="15" x14ac:dyDescent="0.2"/>
  <cols>
    <col min="1" max="1" width="15" style="21" bestFit="1" customWidth="1"/>
    <col min="2" max="2" width="10.83203125" style="21" customWidth="1"/>
    <col min="3" max="3" width="8.83203125" style="21"/>
    <col min="4" max="4" width="16.1640625" style="21" bestFit="1" customWidth="1"/>
    <col min="5" max="5" width="14.1640625" style="21" bestFit="1" customWidth="1"/>
    <col min="6" max="6" width="14.1640625" style="21" customWidth="1"/>
    <col min="7" max="7" width="15.33203125" style="21" bestFit="1" customWidth="1"/>
    <col min="8" max="16384" width="8.83203125" style="21"/>
  </cols>
  <sheetData>
    <row r="1" spans="1:7" x14ac:dyDescent="0.2">
      <c r="A1" s="70" t="s">
        <v>43</v>
      </c>
      <c r="B1" s="39" t="s">
        <v>131</v>
      </c>
      <c r="C1" s="21" t="s">
        <v>55</v>
      </c>
      <c r="D1" s="21" t="s">
        <v>56</v>
      </c>
      <c r="E1" t="s">
        <v>177</v>
      </c>
      <c r="F1" t="s">
        <v>176</v>
      </c>
      <c r="G1" s="21" t="s">
        <v>4</v>
      </c>
    </row>
    <row r="2" spans="1:7" x14ac:dyDescent="0.2">
      <c r="A2" s="72" t="s">
        <v>38</v>
      </c>
      <c r="B2" s="48"/>
      <c r="C2" s="21" t="s">
        <v>57</v>
      </c>
      <c r="D2" s="21" t="s">
        <v>58</v>
      </c>
      <c r="E2" s="21" t="s">
        <v>178</v>
      </c>
      <c r="F2" s="27" t="s">
        <v>178</v>
      </c>
      <c r="G2" s="27" t="s">
        <v>104</v>
      </c>
    </row>
    <row r="3" spans="1:7" x14ac:dyDescent="0.2">
      <c r="A3" s="72" t="s">
        <v>2</v>
      </c>
      <c r="B3" s="48"/>
    </row>
    <row r="4" spans="1:7" s="29" customFormat="1" ht="16" thickBot="1" x14ac:dyDescent="0.25">
      <c r="A4" s="78" t="s">
        <v>3</v>
      </c>
      <c r="C4" s="29">
        <v>1.4999999999999999E-2</v>
      </c>
      <c r="D4" s="37">
        <v>0</v>
      </c>
      <c r="E4" s="29">
        <v>100</v>
      </c>
      <c r="F4" s="29">
        <v>0</v>
      </c>
      <c r="G4" s="29">
        <f>8*Ref!$B$18</f>
        <v>2.8799999999999999E-2</v>
      </c>
    </row>
    <row r="5" spans="1:7" ht="16" x14ac:dyDescent="0.2">
      <c r="A5" s="32" t="s">
        <v>77</v>
      </c>
      <c r="B5" s="32" t="s">
        <v>132</v>
      </c>
      <c r="C5" s="39">
        <v>0.01</v>
      </c>
      <c r="D5" s="43">
        <v>0</v>
      </c>
      <c r="E5" s="21">
        <v>100</v>
      </c>
      <c r="F5" s="21">
        <v>0</v>
      </c>
      <c r="G5" s="21">
        <f>G4</f>
        <v>2.8799999999999999E-2</v>
      </c>
    </row>
    <row r="6" spans="1:7" ht="16" x14ac:dyDescent="0.2">
      <c r="A6" s="25" t="s">
        <v>78</v>
      </c>
      <c r="B6" s="25" t="str">
        <f>B5</f>
        <v>steel</v>
      </c>
      <c r="C6" s="21">
        <f t="shared" ref="C6:G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0</v>
      </c>
      <c r="G6" s="21">
        <f t="shared" si="0"/>
        <v>2.8799999999999999E-2</v>
      </c>
    </row>
    <row r="7" spans="1:7" s="29" customFormat="1" ht="17" thickBot="1" x14ac:dyDescent="0.25">
      <c r="A7" s="30" t="s">
        <v>81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0</v>
      </c>
      <c r="G7" s="29">
        <f t="shared" si="0"/>
        <v>2.8799999999999999E-2</v>
      </c>
    </row>
    <row r="8" spans="1:7" ht="16" x14ac:dyDescent="0.2">
      <c r="A8" s="32" t="s">
        <v>62</v>
      </c>
      <c r="B8" s="32" t="s">
        <v>132</v>
      </c>
      <c r="C8" s="21">
        <f>0.01</f>
        <v>0.01</v>
      </c>
      <c r="D8" s="38">
        <v>0</v>
      </c>
      <c r="E8" s="21">
        <v>100</v>
      </c>
      <c r="F8" s="21">
        <v>0</v>
      </c>
      <c r="G8" s="21">
        <f>G7</f>
        <v>2.8799999999999999E-2</v>
      </c>
    </row>
    <row r="9" spans="1:7" ht="16" x14ac:dyDescent="0.2">
      <c r="A9" s="51" t="s">
        <v>79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0</v>
      </c>
      <c r="G9" s="21">
        <f t="shared" si="0"/>
        <v>2.8799999999999999E-2</v>
      </c>
    </row>
    <row r="10" spans="1:7" s="29" customFormat="1" ht="17" thickBot="1" x14ac:dyDescent="0.25">
      <c r="A10" s="55" t="s">
        <v>82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0</v>
      </c>
      <c r="G10" s="29">
        <f t="shared" si="0"/>
        <v>2.8799999999999999E-2</v>
      </c>
    </row>
    <row r="11" spans="1:7" ht="16" x14ac:dyDescent="0.2">
      <c r="A11" s="52" t="s">
        <v>63</v>
      </c>
      <c r="B11" s="32" t="s">
        <v>132</v>
      </c>
      <c r="C11" s="21">
        <f>0.01</f>
        <v>0.01</v>
      </c>
      <c r="D11" s="38">
        <v>0</v>
      </c>
      <c r="E11" s="21">
        <v>100</v>
      </c>
      <c r="F11" s="21">
        <v>0</v>
      </c>
      <c r="G11" s="21">
        <f>G10</f>
        <v>2.8799999999999999E-2</v>
      </c>
    </row>
    <row r="12" spans="1:7" ht="16" x14ac:dyDescent="0.2">
      <c r="A12" s="46" t="s">
        <v>80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0</v>
      </c>
      <c r="G12" s="21">
        <f t="shared" si="0"/>
        <v>2.8799999999999999E-2</v>
      </c>
    </row>
    <row r="13" spans="1:7" s="29" customFormat="1" ht="17" thickBot="1" x14ac:dyDescent="0.25">
      <c r="A13" s="53" t="s">
        <v>83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0</v>
      </c>
      <c r="G13" s="29">
        <f t="shared" si="0"/>
        <v>2.8799999999999999E-2</v>
      </c>
    </row>
    <row r="14" spans="1:7" ht="16" x14ac:dyDescent="0.2">
      <c r="A14" s="21" t="s">
        <v>71</v>
      </c>
      <c r="B14" s="32" t="s">
        <v>132</v>
      </c>
      <c r="C14" s="21">
        <f>0.01</f>
        <v>0.01</v>
      </c>
      <c r="D14" s="38">
        <v>0</v>
      </c>
      <c r="E14" s="21">
        <v>100</v>
      </c>
      <c r="F14" s="21">
        <v>0</v>
      </c>
      <c r="G14" s="21">
        <f>G13</f>
        <v>2.8799999999999999E-2</v>
      </c>
    </row>
    <row r="15" spans="1:7" s="39" customFormat="1" ht="16" x14ac:dyDescent="0.2">
      <c r="A15" s="21" t="s">
        <v>72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0</v>
      </c>
      <c r="G15" s="21">
        <f t="shared" si="0"/>
        <v>2.8799999999999999E-2</v>
      </c>
    </row>
    <row r="16" spans="1:7" s="29" customFormat="1" ht="17" thickBot="1" x14ac:dyDescent="0.25">
      <c r="A16" s="29" t="s">
        <v>73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0</v>
      </c>
      <c r="G16" s="29">
        <f t="shared" si="0"/>
        <v>2.8799999999999999E-2</v>
      </c>
    </row>
    <row r="17" spans="1:7" ht="16" x14ac:dyDescent="0.2">
      <c r="A17" s="21" t="s">
        <v>74</v>
      </c>
      <c r="B17" s="32" t="s">
        <v>132</v>
      </c>
      <c r="C17" s="21">
        <v>0.01</v>
      </c>
      <c r="D17" s="38">
        <v>0</v>
      </c>
      <c r="E17" s="21">
        <v>100</v>
      </c>
      <c r="F17" s="21">
        <v>0</v>
      </c>
      <c r="G17" s="21">
        <f>G16</f>
        <v>2.8799999999999999E-2</v>
      </c>
    </row>
    <row r="18" spans="1:7" ht="16" x14ac:dyDescent="0.2">
      <c r="A18" s="21" t="s">
        <v>75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0</v>
      </c>
      <c r="G18" s="21">
        <f t="shared" si="0"/>
        <v>2.8799999999999999E-2</v>
      </c>
    </row>
    <row r="19" spans="1:7" s="56" customFormat="1" ht="17" thickBot="1" x14ac:dyDescent="0.25">
      <c r="A19" s="29" t="s">
        <v>76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0</v>
      </c>
      <c r="G19" s="29">
        <f t="shared" si="0"/>
        <v>2.8799999999999999E-2</v>
      </c>
    </row>
    <row r="20" spans="1:7" x14ac:dyDescent="0.2">
      <c r="A20" t="s">
        <v>133</v>
      </c>
      <c r="B20" s="21" t="s">
        <v>134</v>
      </c>
      <c r="C20" s="21">
        <f>C4</f>
        <v>1.4999999999999999E-2</v>
      </c>
      <c r="D20" s="21">
        <f>D4</f>
        <v>0</v>
      </c>
      <c r="E20" s="21">
        <f>E4</f>
        <v>100</v>
      </c>
      <c r="G20" s="21">
        <f>G4</f>
        <v>2.8799999999999999E-2</v>
      </c>
    </row>
    <row r="21" spans="1:7" x14ac:dyDescent="0.2">
      <c r="A21" s="21" t="s">
        <v>145</v>
      </c>
      <c r="B21" s="21" t="s">
        <v>134</v>
      </c>
    </row>
    <row r="22" spans="1:7" x14ac:dyDescent="0.2">
      <c r="A22" s="27" t="s">
        <v>148</v>
      </c>
      <c r="B22" s="21" t="s">
        <v>134</v>
      </c>
      <c r="C22" s="21">
        <v>6.0000000000000001E-3</v>
      </c>
      <c r="E22" s="21">
        <v>100</v>
      </c>
      <c r="G22" s="38">
        <f>14.2*Ref!$B$18</f>
        <v>5.1119999999999999E-2</v>
      </c>
    </row>
    <row r="23" spans="1:7" s="39" customFormat="1" x14ac:dyDescent="0.2">
      <c r="A23" s="27" t="s">
        <v>149</v>
      </c>
      <c r="B23" s="21" t="s">
        <v>134</v>
      </c>
      <c r="C23" s="21">
        <v>6.0000000000000001E-3</v>
      </c>
      <c r="D23" s="21"/>
      <c r="E23" s="26">
        <v>100</v>
      </c>
      <c r="F23" s="26"/>
      <c r="G23" s="38">
        <f>14.2*Ref!$B$18</f>
        <v>5.1119999999999999E-2</v>
      </c>
    </row>
    <row r="24" spans="1:7" ht="16" thickBot="1" x14ac:dyDescent="0.25">
      <c r="A24" s="27" t="s">
        <v>161</v>
      </c>
      <c r="B24" s="27" t="s">
        <v>162</v>
      </c>
      <c r="C24" s="29">
        <v>0.01</v>
      </c>
      <c r="D24" s="37">
        <v>0</v>
      </c>
      <c r="E24" s="29">
        <v>100</v>
      </c>
      <c r="F24" s="29"/>
      <c r="G24" s="29">
        <f>7*Ref!$B$18</f>
        <v>2.52E-2</v>
      </c>
    </row>
    <row r="25" spans="1:7" x14ac:dyDescent="0.2">
      <c r="A25" s="27" t="s">
        <v>171</v>
      </c>
      <c r="B25" s="21" t="s">
        <v>134</v>
      </c>
      <c r="C25" s="26">
        <v>0.01</v>
      </c>
      <c r="D25" s="64">
        <v>0</v>
      </c>
      <c r="E25" s="21">
        <v>100</v>
      </c>
      <c r="F25" s="21">
        <v>0</v>
      </c>
      <c r="G25" s="21">
        <f t="shared" ref="G25:G28" si="1">G24</f>
        <v>2.52E-2</v>
      </c>
    </row>
    <row r="26" spans="1:7" x14ac:dyDescent="0.2">
      <c r="A26" s="27" t="s">
        <v>172</v>
      </c>
      <c r="B26" s="21" t="s">
        <v>134</v>
      </c>
      <c r="C26" s="26">
        <v>0.01</v>
      </c>
      <c r="D26" s="64">
        <v>0</v>
      </c>
      <c r="E26" s="21">
        <v>100</v>
      </c>
      <c r="F26" s="21">
        <f t="shared" ref="F26:F32" si="2">F$5</f>
        <v>0</v>
      </c>
      <c r="G26" s="21">
        <f t="shared" si="1"/>
        <v>2.52E-2</v>
      </c>
    </row>
    <row r="27" spans="1:7" s="39" customFormat="1" x14ac:dyDescent="0.2">
      <c r="A27" s="27" t="s">
        <v>173</v>
      </c>
      <c r="B27" s="27" t="s">
        <v>162</v>
      </c>
      <c r="C27" s="26">
        <v>0.01</v>
      </c>
      <c r="D27" s="64">
        <v>0</v>
      </c>
      <c r="E27" s="21">
        <v>100</v>
      </c>
      <c r="F27" s="21">
        <v>0</v>
      </c>
      <c r="G27" s="21">
        <f t="shared" si="1"/>
        <v>2.52E-2</v>
      </c>
    </row>
    <row r="28" spans="1:7" x14ac:dyDescent="0.2">
      <c r="A28" s="27" t="s">
        <v>174</v>
      </c>
      <c r="B28" s="27" t="s">
        <v>162</v>
      </c>
      <c r="C28" s="26">
        <v>0.01</v>
      </c>
      <c r="D28" s="64">
        <v>0</v>
      </c>
      <c r="E28" s="21">
        <v>100</v>
      </c>
      <c r="F28" s="21">
        <f t="shared" si="2"/>
        <v>0</v>
      </c>
      <c r="G28" s="21">
        <f t="shared" si="1"/>
        <v>2.52E-2</v>
      </c>
    </row>
    <row r="29" spans="1:7" x14ac:dyDescent="0.2">
      <c r="A29" s="152" t="s">
        <v>183</v>
      </c>
      <c r="B29" s="27" t="s">
        <v>181</v>
      </c>
      <c r="C29" s="21">
        <f t="shared" ref="C29:C36" si="3">C$4</f>
        <v>1.4999999999999999E-2</v>
      </c>
      <c r="D29" s="64">
        <v>0</v>
      </c>
      <c r="E29" s="21">
        <v>100</v>
      </c>
      <c r="F29" s="21">
        <v>0</v>
      </c>
      <c r="G29" s="21">
        <f>G$4</f>
        <v>2.8799999999999999E-2</v>
      </c>
    </row>
    <row r="30" spans="1:7" x14ac:dyDescent="0.2">
      <c r="A30" s="153" t="s">
        <v>194</v>
      </c>
      <c r="B30" s="27" t="s">
        <v>181</v>
      </c>
      <c r="C30" s="21">
        <f t="shared" si="3"/>
        <v>1.4999999999999999E-2</v>
      </c>
      <c r="D30" s="64">
        <v>0</v>
      </c>
      <c r="E30" s="21">
        <v>100</v>
      </c>
      <c r="F30" s="21">
        <f t="shared" si="2"/>
        <v>0</v>
      </c>
      <c r="G30" s="21">
        <f>G29</f>
        <v>2.8799999999999999E-2</v>
      </c>
    </row>
    <row r="31" spans="1:7" x14ac:dyDescent="0.2">
      <c r="A31" s="27" t="s">
        <v>184</v>
      </c>
      <c r="B31" s="27" t="s">
        <v>181</v>
      </c>
      <c r="C31" s="21">
        <f t="shared" si="3"/>
        <v>1.4999999999999999E-2</v>
      </c>
      <c r="D31" s="64">
        <v>0</v>
      </c>
      <c r="E31" s="21">
        <v>100</v>
      </c>
      <c r="F31" s="21">
        <v>0</v>
      </c>
      <c r="G31" s="21">
        <f t="shared" ref="G31:G36" si="4">G30</f>
        <v>2.8799999999999999E-2</v>
      </c>
    </row>
    <row r="32" spans="1:7" x14ac:dyDescent="0.2">
      <c r="A32" s="27" t="s">
        <v>196</v>
      </c>
      <c r="B32" s="27" t="s">
        <v>181</v>
      </c>
      <c r="C32" s="21">
        <f t="shared" si="3"/>
        <v>1.4999999999999999E-2</v>
      </c>
      <c r="D32" s="64">
        <v>0</v>
      </c>
      <c r="E32" s="21">
        <v>100</v>
      </c>
      <c r="F32" s="21">
        <f t="shared" si="2"/>
        <v>0</v>
      </c>
      <c r="G32" s="21">
        <f t="shared" si="4"/>
        <v>2.8799999999999999E-2</v>
      </c>
    </row>
    <row r="33" spans="1:7" s="39" customFormat="1" x14ac:dyDescent="0.2">
      <c r="A33" s="27" t="s">
        <v>186</v>
      </c>
      <c r="B33" s="27" t="s">
        <v>181</v>
      </c>
      <c r="C33" s="21">
        <f t="shared" si="3"/>
        <v>1.4999999999999999E-2</v>
      </c>
      <c r="D33" s="64">
        <v>0</v>
      </c>
      <c r="E33" s="21">
        <v>100</v>
      </c>
      <c r="F33" s="21">
        <v>0</v>
      </c>
      <c r="G33" s="21">
        <f t="shared" si="4"/>
        <v>2.8799999999999999E-2</v>
      </c>
    </row>
    <row r="34" spans="1:7" x14ac:dyDescent="0.2">
      <c r="A34" s="27" t="s">
        <v>198</v>
      </c>
      <c r="B34" s="27" t="s">
        <v>181</v>
      </c>
      <c r="C34" s="21">
        <f t="shared" si="3"/>
        <v>1.4999999999999999E-2</v>
      </c>
      <c r="D34" s="64">
        <v>0</v>
      </c>
      <c r="E34" s="21">
        <v>100</v>
      </c>
      <c r="F34" s="21">
        <v>0</v>
      </c>
      <c r="G34" s="21">
        <f t="shared" si="4"/>
        <v>2.8799999999999999E-2</v>
      </c>
    </row>
    <row r="35" spans="1:7" x14ac:dyDescent="0.2">
      <c r="A35" s="27" t="s">
        <v>199</v>
      </c>
      <c r="B35" s="27" t="s">
        <v>181</v>
      </c>
      <c r="C35" s="21">
        <f t="shared" si="3"/>
        <v>1.4999999999999999E-2</v>
      </c>
      <c r="D35" s="64">
        <v>0</v>
      </c>
      <c r="E35" s="21">
        <v>100</v>
      </c>
      <c r="F35" s="21">
        <f t="shared" ref="F35:F36" si="5">F$5</f>
        <v>0</v>
      </c>
      <c r="G35" s="21">
        <f t="shared" si="4"/>
        <v>2.8799999999999999E-2</v>
      </c>
    </row>
    <row r="36" spans="1:7" x14ac:dyDescent="0.2">
      <c r="A36" s="27" t="s">
        <v>200</v>
      </c>
      <c r="B36" s="27" t="s">
        <v>181</v>
      </c>
      <c r="C36" s="21">
        <f t="shared" si="3"/>
        <v>1.4999999999999999E-2</v>
      </c>
      <c r="D36" s="64">
        <v>0</v>
      </c>
      <c r="E36" s="21">
        <v>100</v>
      </c>
      <c r="F36" s="21">
        <f t="shared" si="5"/>
        <v>0</v>
      </c>
      <c r="G36" s="21">
        <f t="shared" si="4"/>
        <v>2.8799999999999999E-2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"/>
  <sheetViews>
    <sheetView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F15" sqref="F15"/>
    </sheetView>
  </sheetViews>
  <sheetFormatPr baseColWidth="10" defaultColWidth="8.83203125" defaultRowHeight="15" x14ac:dyDescent="0.2"/>
  <cols>
    <col min="1" max="1" width="11.33203125" style="21" customWidth="1"/>
    <col min="2" max="2" width="16.33203125" style="21" customWidth="1"/>
    <col min="3" max="3" width="17.5" style="21" customWidth="1"/>
    <col min="4" max="4" width="20.83203125" style="21" customWidth="1"/>
    <col min="5" max="5" width="18" style="21" customWidth="1"/>
    <col min="6" max="6" width="23" style="21" bestFit="1" customWidth="1"/>
    <col min="7" max="7" width="15.5" style="65" customWidth="1"/>
    <col min="8" max="8" width="15.1640625" style="21" bestFit="1" customWidth="1"/>
    <col min="9" max="9" width="18" style="21" bestFit="1" customWidth="1"/>
    <col min="10" max="10" width="18" style="21" customWidth="1"/>
    <col min="11" max="11" width="15.5" style="65" customWidth="1"/>
    <col min="13" max="16384" width="8.83203125" style="21"/>
  </cols>
  <sheetData>
    <row r="1" spans="1:13" x14ac:dyDescent="0.2">
      <c r="A1" s="70" t="s">
        <v>43</v>
      </c>
      <c r="B1" s="39" t="s">
        <v>131</v>
      </c>
      <c r="C1" s="70" t="s">
        <v>44</v>
      </c>
      <c r="D1" s="71" t="s">
        <v>45</v>
      </c>
      <c r="E1" s="71" t="s">
        <v>6</v>
      </c>
      <c r="F1" s="71" t="s">
        <v>154</v>
      </c>
      <c r="G1" s="71" t="s">
        <v>152</v>
      </c>
      <c r="H1" s="71" t="s">
        <v>155</v>
      </c>
      <c r="I1" s="71" t="s">
        <v>156</v>
      </c>
      <c r="J1" s="71" t="s">
        <v>157</v>
      </c>
      <c r="K1" s="71" t="s">
        <v>150</v>
      </c>
      <c r="M1" s="71" t="s">
        <v>47</v>
      </c>
    </row>
    <row r="2" spans="1:13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159</v>
      </c>
      <c r="G2" s="74" t="s">
        <v>159</v>
      </c>
      <c r="H2" s="74"/>
      <c r="I2" s="74"/>
      <c r="J2" s="74"/>
      <c r="K2" s="74" t="s">
        <v>160</v>
      </c>
      <c r="M2" s="75"/>
    </row>
    <row r="3" spans="1:13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74" t="s">
        <v>153</v>
      </c>
      <c r="H3" s="75"/>
      <c r="I3" s="75"/>
      <c r="J3" s="75"/>
      <c r="K3" s="83"/>
      <c r="M3" s="75"/>
    </row>
    <row r="4" spans="1:13" s="29" customFormat="1" ht="16" thickBot="1" x14ac:dyDescent="0.25">
      <c r="A4" s="78" t="s">
        <v>3</v>
      </c>
      <c r="C4" s="78">
        <v>1</v>
      </c>
      <c r="D4" s="79">
        <v>0.9</v>
      </c>
      <c r="E4" s="79">
        <v>1.05</v>
      </c>
      <c r="F4" s="79">
        <v>0</v>
      </c>
      <c r="G4" s="28"/>
      <c r="H4" s="79"/>
      <c r="I4" s="79"/>
      <c r="J4" s="79"/>
      <c r="K4" s="28"/>
      <c r="M4" s="80" t="s">
        <v>54</v>
      </c>
    </row>
    <row r="5" spans="1:13" x14ac:dyDescent="0.2">
      <c r="A5" s="27" t="s">
        <v>148</v>
      </c>
      <c r="C5" s="21">
        <v>1</v>
      </c>
      <c r="D5" s="21">
        <v>0.85</v>
      </c>
      <c r="E5" s="21">
        <f>5*Ref!$B$18</f>
        <v>1.7999999999999999E-2</v>
      </c>
      <c r="F5" s="21">
        <f>5.82/(0.74/0.85)</f>
        <v>6.6851351351351349</v>
      </c>
      <c r="G5" s="65">
        <f>0.22/(0.74/0.85)</f>
        <v>0.25270270270270268</v>
      </c>
      <c r="H5" t="s">
        <v>158</v>
      </c>
      <c r="I5" s="10">
        <v>0</v>
      </c>
      <c r="J5" s="3" t="s">
        <v>143</v>
      </c>
      <c r="K5" s="65">
        <f>0.49/1.43</f>
        <v>0.34265734265734266</v>
      </c>
    </row>
    <row r="6" spans="1:13" x14ac:dyDescent="0.2">
      <c r="A6" s="27" t="s">
        <v>149</v>
      </c>
      <c r="C6" s="21">
        <v>1</v>
      </c>
      <c r="D6" s="21">
        <v>0.85</v>
      </c>
      <c r="E6" s="21">
        <f>6.22*Ref!$B$18</f>
        <v>2.2391999999999999E-2</v>
      </c>
      <c r="F6" s="21">
        <f>4.95/(0.74/0.85)</f>
        <v>5.6858108108108105</v>
      </c>
      <c r="G6" s="65">
        <f>0.09/(0.74/0.85)</f>
        <v>0.10337837837837838</v>
      </c>
      <c r="H6" t="s">
        <v>158</v>
      </c>
      <c r="I6" s="10">
        <v>1</v>
      </c>
      <c r="J6" s="3" t="s">
        <v>143</v>
      </c>
      <c r="K6" s="26">
        <f>0.34/1.23</f>
        <v>0.27642276422764228</v>
      </c>
    </row>
    <row r="7" spans="1:13" x14ac:dyDescent="0.2">
      <c r="A7" s="27" t="s">
        <v>171</v>
      </c>
      <c r="B7" s="21" t="s">
        <v>134</v>
      </c>
      <c r="C7" s="21">
        <v>1</v>
      </c>
      <c r="D7" s="21">
        <v>0.85</v>
      </c>
      <c r="E7" s="21">
        <f>5*Ref!$B$18</f>
        <v>1.7999999999999999E-2</v>
      </c>
      <c r="F7" s="21">
        <f>5.82/(0.74/0.85)</f>
        <v>6.6851351351351349</v>
      </c>
      <c r="G7" s="65">
        <f>0.22/(0.74/0.85)</f>
        <v>0.25270270270270268</v>
      </c>
      <c r="H7" t="s">
        <v>158</v>
      </c>
      <c r="I7" s="10">
        <v>0</v>
      </c>
      <c r="J7" s="3" t="s">
        <v>143</v>
      </c>
      <c r="K7" s="65">
        <f>0.49/1.43</f>
        <v>0.34265734265734266</v>
      </c>
    </row>
    <row r="8" spans="1:13" s="39" customFormat="1" x14ac:dyDescent="0.2">
      <c r="A8" s="27" t="s">
        <v>172</v>
      </c>
      <c r="B8" s="21" t="s">
        <v>134</v>
      </c>
      <c r="C8" s="21">
        <v>1</v>
      </c>
      <c r="D8" s="21">
        <v>0.85</v>
      </c>
      <c r="E8" s="21">
        <f>6.22*Ref!$B$18</f>
        <v>2.2391999999999999E-2</v>
      </c>
      <c r="F8" s="21">
        <f>4.95/(0.74/0.85)</f>
        <v>5.6858108108108105</v>
      </c>
      <c r="G8" s="65">
        <f>0.09/(0.74/0.85)</f>
        <v>0.10337837837837838</v>
      </c>
      <c r="H8" t="s">
        <v>158</v>
      </c>
      <c r="I8" s="10">
        <v>1</v>
      </c>
      <c r="J8" s="3" t="s">
        <v>143</v>
      </c>
      <c r="K8" s="26">
        <f>0.34/1.23</f>
        <v>0.27642276422764228</v>
      </c>
      <c r="M8" s="21"/>
    </row>
    <row r="9" spans="1:13" x14ac:dyDescent="0.2">
      <c r="A9" s="27"/>
      <c r="B9" s="27"/>
    </row>
    <row r="10" spans="1:13" x14ac:dyDescent="0.2">
      <c r="A10" s="27"/>
      <c r="B10" s="27"/>
    </row>
    <row r="16" spans="1:13" s="77" customFormat="1" x14ac:dyDescent="0.2">
      <c r="A16" s="21"/>
      <c r="B16" s="21"/>
      <c r="C16" s="21"/>
      <c r="D16" s="21"/>
      <c r="E16" s="21"/>
      <c r="F16" s="21"/>
      <c r="G16" s="65"/>
      <c r="H16" s="21"/>
      <c r="I16" s="21"/>
      <c r="J16" s="21"/>
      <c r="K16" s="65"/>
      <c r="M16" s="21"/>
    </row>
    <row r="20" spans="1:13" s="39" customFormat="1" x14ac:dyDescent="0.2">
      <c r="A20" s="21"/>
      <c r="B20" s="21"/>
      <c r="C20" s="21"/>
      <c r="D20" s="21"/>
      <c r="E20" s="21"/>
      <c r="F20" s="21"/>
      <c r="G20" s="65"/>
      <c r="H20" s="21"/>
      <c r="I20" s="21"/>
      <c r="J20" s="21"/>
      <c r="K20" s="65"/>
      <c r="M20" s="21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15.5" customWidth="1"/>
    <col min="2" max="2" width="12.33203125" customWidth="1"/>
    <col min="3" max="3" width="19.33203125" customWidth="1"/>
    <col min="4" max="5" width="11.6640625" customWidth="1"/>
    <col min="6" max="6" width="36.5" style="107" customWidth="1"/>
    <col min="7" max="7" width="14.83203125" customWidth="1"/>
    <col min="8" max="8" width="27.5" bestFit="1" customWidth="1"/>
    <col min="9" max="9" width="11.5" customWidth="1"/>
    <col min="10" max="10" width="11.6640625" customWidth="1"/>
    <col min="11" max="11" width="14.5" style="107" customWidth="1"/>
    <col min="12" max="12" width="15.33203125" customWidth="1"/>
    <col min="13" max="14" width="11.33203125" customWidth="1"/>
    <col min="15" max="15" width="18.5" customWidth="1"/>
  </cols>
  <sheetData>
    <row r="1" spans="1:18" x14ac:dyDescent="0.2">
      <c r="A1" s="1" t="s">
        <v>0</v>
      </c>
      <c r="B1" s="1" t="s">
        <v>131</v>
      </c>
      <c r="C1" t="s">
        <v>9</v>
      </c>
      <c r="D1" s="17" t="s">
        <v>69</v>
      </c>
      <c r="E1" t="s">
        <v>7</v>
      </c>
      <c r="F1" s="107" t="s">
        <v>8</v>
      </c>
      <c r="G1" t="s">
        <v>85</v>
      </c>
      <c r="H1" t="s">
        <v>87</v>
      </c>
      <c r="I1" s="3" t="s">
        <v>139</v>
      </c>
      <c r="J1" s="126" t="s">
        <v>137</v>
      </c>
      <c r="K1" s="128" t="s">
        <v>136</v>
      </c>
      <c r="L1" t="s">
        <v>35</v>
      </c>
      <c r="M1" t="s">
        <v>93</v>
      </c>
      <c r="N1" t="s">
        <v>91</v>
      </c>
      <c r="O1" t="s">
        <v>4</v>
      </c>
      <c r="P1" t="s">
        <v>90</v>
      </c>
      <c r="Q1" t="s">
        <v>95</v>
      </c>
      <c r="R1" t="s">
        <v>97</v>
      </c>
    </row>
    <row r="2" spans="1:18" s="3" customFormat="1" x14ac:dyDescent="0.2">
      <c r="A2" s="3" t="s">
        <v>1</v>
      </c>
      <c r="D2" s="3" t="s">
        <v>84</v>
      </c>
      <c r="E2" s="3" t="s">
        <v>68</v>
      </c>
      <c r="F2" s="128"/>
      <c r="G2" s="3" t="s">
        <v>86</v>
      </c>
      <c r="I2" s="2" t="s">
        <v>135</v>
      </c>
      <c r="J2" s="96" t="s">
        <v>138</v>
      </c>
      <c r="K2" s="108" t="s">
        <v>140</v>
      </c>
      <c r="L2" s="3" t="s">
        <v>70</v>
      </c>
      <c r="M2" s="3" t="s">
        <v>92</v>
      </c>
      <c r="N2" s="3" t="s">
        <v>92</v>
      </c>
      <c r="O2" s="3" t="s">
        <v>98</v>
      </c>
      <c r="P2" s="3" t="s">
        <v>102</v>
      </c>
      <c r="Q2" s="3" t="s">
        <v>96</v>
      </c>
      <c r="R2" s="3" t="s">
        <v>96</v>
      </c>
    </row>
    <row r="3" spans="1:18" s="3" customFormat="1" x14ac:dyDescent="0.2">
      <c r="A3" s="3" t="s">
        <v>2</v>
      </c>
      <c r="F3" s="128"/>
      <c r="J3" s="34"/>
      <c r="K3" s="128" t="s">
        <v>141</v>
      </c>
    </row>
    <row r="4" spans="1:18" s="21" customFormat="1" x14ac:dyDescent="0.2">
      <c r="A4" s="21" t="s">
        <v>3</v>
      </c>
      <c r="C4" s="21" t="s">
        <v>59</v>
      </c>
      <c r="D4" s="21">
        <v>0</v>
      </c>
      <c r="E4" s="21">
        <v>0</v>
      </c>
      <c r="F4" s="107" t="s">
        <v>61</v>
      </c>
      <c r="G4" s="21">
        <v>0.78900000000000003</v>
      </c>
      <c r="H4" t="s">
        <v>143</v>
      </c>
      <c r="I4" s="27">
        <v>1.81</v>
      </c>
      <c r="K4" s="107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">
      <c r="A5" s="21" t="s">
        <v>100</v>
      </c>
      <c r="C5" s="21" t="s">
        <v>59</v>
      </c>
      <c r="D5" s="21">
        <v>0</v>
      </c>
      <c r="E5" s="21">
        <v>0</v>
      </c>
      <c r="F5" s="107" t="s">
        <v>61</v>
      </c>
      <c r="G5" s="38">
        <f>(0.36+0.01)/1.15</f>
        <v>0.32173913043478264</v>
      </c>
      <c r="H5" t="s">
        <v>143</v>
      </c>
      <c r="I5" s="27">
        <v>1.81</v>
      </c>
      <c r="K5" s="107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6">
        <f>N5*0.0016</f>
        <v>0</v>
      </c>
      <c r="Q5" s="21">
        <v>0.14299999999999999</v>
      </c>
      <c r="R5" s="27">
        <v>0</v>
      </c>
    </row>
    <row r="6" spans="1:18" s="21" customFormat="1" x14ac:dyDescent="0.2">
      <c r="A6" s="21" t="s">
        <v>101</v>
      </c>
      <c r="C6" s="21" t="s">
        <v>59</v>
      </c>
      <c r="D6" s="21">
        <v>0</v>
      </c>
      <c r="E6" s="21">
        <v>0</v>
      </c>
      <c r="F6" s="107" t="s">
        <v>61</v>
      </c>
      <c r="G6" s="38">
        <v>1.52</v>
      </c>
      <c r="H6" t="s">
        <v>143</v>
      </c>
      <c r="I6" s="27">
        <v>1.81</v>
      </c>
      <c r="J6" s="21">
        <v>55</v>
      </c>
      <c r="K6" s="107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6">
        <f>N6*0.0015</f>
        <v>1.8600000000000001E-3</v>
      </c>
      <c r="Q6" s="40">
        <v>2</v>
      </c>
      <c r="R6" s="21">
        <v>0</v>
      </c>
    </row>
    <row r="7" spans="1:18" s="29" customFormat="1" ht="16" thickBot="1" x14ac:dyDescent="0.25">
      <c r="A7" s="29" t="s">
        <v>99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09" t="str">
        <f t="shared" si="0"/>
        <v>charcoal - IPCC</v>
      </c>
      <c r="G7" s="29">
        <v>0.6</v>
      </c>
      <c r="H7" s="29" t="s">
        <v>94</v>
      </c>
      <c r="I7" s="29">
        <v>1.81</v>
      </c>
      <c r="K7" s="109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8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ht="16" x14ac:dyDescent="0.2">
      <c r="A8" s="1" t="s">
        <v>71</v>
      </c>
      <c r="B8" s="32" t="s">
        <v>132</v>
      </c>
      <c r="C8" s="39" t="s">
        <v>59</v>
      </c>
      <c r="D8" s="39">
        <v>0</v>
      </c>
      <c r="E8" s="39">
        <v>0</v>
      </c>
      <c r="F8" s="1" t="s">
        <v>144</v>
      </c>
      <c r="G8" s="43">
        <v>1.52</v>
      </c>
      <c r="H8" s="1" t="s">
        <v>143</v>
      </c>
      <c r="I8" s="39">
        <v>1.81</v>
      </c>
      <c r="J8" s="39">
        <f>J6</f>
        <v>55</v>
      </c>
      <c r="K8" s="133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0">
        <f>N8*0.0015</f>
        <v>1.8600000000000001E-3</v>
      </c>
      <c r="Q8" s="91">
        <v>2</v>
      </c>
      <c r="R8" s="39">
        <v>0</v>
      </c>
    </row>
    <row r="9" spans="1:18" ht="16" x14ac:dyDescent="0.2">
      <c r="A9" t="s">
        <v>72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4">
        <v>0.5</v>
      </c>
      <c r="F9" s="107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7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7">
        <f t="shared" si="1"/>
        <v>1.8600000000000001E-3</v>
      </c>
      <c r="Q9">
        <f>Q8</f>
        <v>2</v>
      </c>
      <c r="R9">
        <f>R8</f>
        <v>0</v>
      </c>
    </row>
    <row r="10" spans="1:18" s="29" customFormat="1" ht="17" thickBot="1" x14ac:dyDescent="0.25">
      <c r="A10" s="29" t="s">
        <v>73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09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09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8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ht="16" x14ac:dyDescent="0.2">
      <c r="A11" s="1" t="s">
        <v>74</v>
      </c>
      <c r="B11" s="32" t="s">
        <v>132</v>
      </c>
      <c r="C11" s="39" t="s">
        <v>59</v>
      </c>
      <c r="D11" s="39">
        <v>0</v>
      </c>
      <c r="E11" s="39">
        <v>0</v>
      </c>
      <c r="F11" s="1" t="s">
        <v>144</v>
      </c>
      <c r="G11" s="43">
        <v>1.52</v>
      </c>
      <c r="H11" s="1" t="s">
        <v>143</v>
      </c>
      <c r="I11" s="39">
        <v>1.81</v>
      </c>
      <c r="J11" s="39">
        <f>J6</f>
        <v>55</v>
      </c>
      <c r="K11" s="133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0">
        <f>N11*0.0015</f>
        <v>1.8600000000000001E-3</v>
      </c>
      <c r="Q11" s="91">
        <v>2</v>
      </c>
      <c r="R11" s="39">
        <v>0</v>
      </c>
    </row>
    <row r="12" spans="1:18" ht="16" x14ac:dyDescent="0.2">
      <c r="A12" t="s">
        <v>75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4">
        <v>0.5</v>
      </c>
      <c r="F12" s="107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7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7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7" thickBot="1" x14ac:dyDescent="0.25">
      <c r="A13" s="29" t="s">
        <v>76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09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09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8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">
      <c r="A14" t="s">
        <v>133</v>
      </c>
      <c r="B14" s="21" t="s">
        <v>134</v>
      </c>
      <c r="I14">
        <v>1.81</v>
      </c>
      <c r="J14">
        <f>J6</f>
        <v>55</v>
      </c>
      <c r="K14" s="107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workbookViewId="0">
      <selection activeCell="F46" sqref="F46"/>
    </sheetView>
  </sheetViews>
  <sheetFormatPr baseColWidth="10" defaultColWidth="8.83203125" defaultRowHeight="15" x14ac:dyDescent="0.2"/>
  <cols>
    <col min="2" max="2" width="13.6640625" bestFit="1" customWidth="1"/>
    <col min="3" max="3" width="17.83203125" bestFit="1" customWidth="1"/>
    <col min="4" max="4" width="13.1640625" bestFit="1" customWidth="1"/>
    <col min="5" max="5" width="11.83203125" bestFit="1" customWidth="1"/>
    <col min="6" max="6" width="14.83203125" bestFit="1" customWidth="1"/>
    <col min="7" max="7" width="14.83203125" customWidth="1"/>
  </cols>
  <sheetData>
    <row r="1" spans="1:9" s="21" customFormat="1" x14ac:dyDescent="0.2">
      <c r="A1" s="39" t="s">
        <v>0</v>
      </c>
      <c r="B1" s="39" t="s">
        <v>131</v>
      </c>
      <c r="C1" s="26" t="s">
        <v>6</v>
      </c>
      <c r="D1" s="26" t="s">
        <v>167</v>
      </c>
      <c r="E1" s="26" t="s">
        <v>168</v>
      </c>
      <c r="F1" s="98" t="s">
        <v>169</v>
      </c>
      <c r="G1" s="98" t="s">
        <v>170</v>
      </c>
      <c r="H1" s="39" t="s">
        <v>2</v>
      </c>
      <c r="I1" s="39" t="s">
        <v>60</v>
      </c>
    </row>
    <row r="2" spans="1:9" x14ac:dyDescent="0.2">
      <c r="A2" s="48" t="s">
        <v>1</v>
      </c>
    </row>
    <row r="3" spans="1:9" x14ac:dyDescent="0.2">
      <c r="A3" s="48" t="s">
        <v>2</v>
      </c>
    </row>
    <row r="4" spans="1:9" x14ac:dyDescent="0.2">
      <c r="A4" t="s">
        <v>3</v>
      </c>
    </row>
    <row r="5" spans="1:9" x14ac:dyDescent="0.2">
      <c r="A5" t="s">
        <v>161</v>
      </c>
      <c r="B5" t="s">
        <v>162</v>
      </c>
      <c r="C5">
        <f>29/(8.98+6.499+1.036+0.048+1.2)*Ref!B$18</f>
        <v>5.8773855767606832E-3</v>
      </c>
      <c r="D5">
        <f>0.5/17763</f>
        <v>2.8148398356133537E-5</v>
      </c>
      <c r="E5">
        <f>0.1/17763</f>
        <v>5.6296796712267076E-6</v>
      </c>
      <c r="F5">
        <f>0.1/17763</f>
        <v>5.6296796712267076E-6</v>
      </c>
      <c r="G5">
        <f>0.1/17763</f>
        <v>5.6296796712267076E-6</v>
      </c>
    </row>
    <row r="6" spans="1:9" x14ac:dyDescent="0.2">
      <c r="A6" s="27" t="s">
        <v>173</v>
      </c>
      <c r="B6" s="27" t="s">
        <v>162</v>
      </c>
      <c r="C6" s="139">
        <f>29/(8.98+6.499+1.036+0.048+1.2)*Ref!B$18</f>
        <v>5.8773855767606832E-3</v>
      </c>
      <c r="D6" s="139">
        <f t="shared" ref="D6:D7" si="0">0.5/17763</f>
        <v>2.8148398356133537E-5</v>
      </c>
      <c r="E6" s="139">
        <f t="shared" ref="E6:G7" si="1">0.1/17763</f>
        <v>5.6296796712267076E-6</v>
      </c>
      <c r="F6" s="139">
        <f t="shared" si="1"/>
        <v>5.6296796712267076E-6</v>
      </c>
      <c r="G6" s="139">
        <f t="shared" si="1"/>
        <v>5.6296796712267076E-6</v>
      </c>
    </row>
    <row r="7" spans="1:9" x14ac:dyDescent="0.2">
      <c r="A7" s="27" t="s">
        <v>174</v>
      </c>
      <c r="B7" s="27" t="s">
        <v>162</v>
      </c>
      <c r="C7" s="139">
        <f>29/(8.98+6.499+1.036+0.048+1.2)*Ref!B$18</f>
        <v>5.8773855767606832E-3</v>
      </c>
      <c r="D7" s="139">
        <f t="shared" si="0"/>
        <v>2.8148398356133537E-5</v>
      </c>
      <c r="E7" s="139">
        <f t="shared" si="1"/>
        <v>5.6296796712267076E-6</v>
      </c>
      <c r="F7" s="139">
        <f t="shared" si="1"/>
        <v>5.6296796712267076E-6</v>
      </c>
      <c r="G7" s="139">
        <f t="shared" si="1"/>
        <v>5.6296796712267076E-6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8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11</v>
      </c>
      <c r="B1" s="5"/>
      <c r="C1" s="5"/>
    </row>
    <row r="2" spans="1:8" x14ac:dyDescent="0.2">
      <c r="A2" s="4" t="s">
        <v>12</v>
      </c>
      <c r="B2" s="5"/>
      <c r="C2" s="5"/>
    </row>
    <row r="3" spans="1:8" x14ac:dyDescent="0.2">
      <c r="A3" s="6"/>
      <c r="B3" s="7" t="s">
        <v>13</v>
      </c>
      <c r="C3" s="8" t="s">
        <v>14</v>
      </c>
    </row>
    <row r="4" spans="1:8" x14ac:dyDescent="0.2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24</v>
      </c>
      <c r="B15" s="15"/>
      <c r="C15" s="15"/>
    </row>
    <row r="16" spans="1:8" x14ac:dyDescent="0.2">
      <c r="A16" s="20"/>
      <c r="B16" s="16" t="s">
        <v>25</v>
      </c>
      <c r="C16" s="16"/>
      <c r="H16" s="87"/>
    </row>
    <row r="17" spans="1:8" x14ac:dyDescent="0.2">
      <c r="A17" s="20" t="s">
        <v>26</v>
      </c>
      <c r="B17" s="23">
        <v>3.6</v>
      </c>
      <c r="C17" s="10"/>
    </row>
    <row r="18" spans="1:8" x14ac:dyDescent="0.2">
      <c r="A18" s="20" t="s">
        <v>27</v>
      </c>
      <c r="B18" s="44">
        <f>B17/1000</f>
        <v>3.5999999999999999E-3</v>
      </c>
      <c r="C18" s="10"/>
      <c r="D18" s="23"/>
      <c r="E18" s="87"/>
    </row>
    <row r="19" spans="1:8" x14ac:dyDescent="0.2">
      <c r="A19" s="20" t="s">
        <v>28</v>
      </c>
      <c r="B19" s="10">
        <f>1/0.022414</f>
        <v>44.614972784866602</v>
      </c>
      <c r="C19" s="10"/>
    </row>
    <row r="20" spans="1:8" x14ac:dyDescent="0.2">
      <c r="A20" s="19" t="s">
        <v>37</v>
      </c>
      <c r="B20" s="21">
        <f>1.163</f>
        <v>1.163</v>
      </c>
      <c r="E20" s="87"/>
    </row>
    <row r="21" spans="1:8" x14ac:dyDescent="0.2">
      <c r="A21" s="19" t="s">
        <v>39</v>
      </c>
      <c r="B21" s="22">
        <f>2000/2204.62</f>
        <v>0.90718581887127947</v>
      </c>
    </row>
    <row r="28" spans="1:8" x14ac:dyDescent="0.2">
      <c r="H28" t="s">
        <v>130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8" sqref="L28"/>
    </sheetView>
  </sheetViews>
  <sheetFormatPr baseColWidth="10" defaultColWidth="8.83203125" defaultRowHeight="15" x14ac:dyDescent="0.2"/>
  <cols>
    <col min="1" max="1" width="18.33203125" style="21" customWidth="1"/>
    <col min="2" max="2" width="8.5" style="21" customWidth="1"/>
    <col min="3" max="3" width="14.33203125" bestFit="1" customWidth="1"/>
    <col min="4" max="4" width="19.1640625" bestFit="1" customWidth="1"/>
    <col min="5" max="5" width="17.6640625" style="121" bestFit="1" customWidth="1"/>
    <col min="6" max="6" width="14.33203125" style="107" bestFit="1" customWidth="1"/>
    <col min="7" max="7" width="9.1640625" style="21" customWidth="1"/>
    <col min="8" max="8" width="9.1640625" style="60" customWidth="1"/>
    <col min="9" max="9" width="16.83203125" style="3" customWidth="1"/>
    <col min="10" max="10" width="14.33203125" style="121" customWidth="1"/>
    <col min="11" max="11" width="8.83203125" style="34"/>
    <col min="12" max="12" width="15.33203125" style="34" customWidth="1"/>
    <col min="13" max="13" width="9.1640625" style="111"/>
    <col min="14" max="14" width="17" style="114" customWidth="1"/>
    <col min="16" max="16" width="8.83203125" style="111"/>
    <col min="17" max="18" width="8.83203125" style="103"/>
    <col min="20" max="22" width="8.83203125" style="34"/>
  </cols>
  <sheetData>
    <row r="1" spans="1:23" x14ac:dyDescent="0.2">
      <c r="A1" s="39" t="s">
        <v>0</v>
      </c>
      <c r="B1" s="39" t="s">
        <v>131</v>
      </c>
      <c r="C1" t="s">
        <v>9</v>
      </c>
      <c r="D1" s="17" t="s">
        <v>69</v>
      </c>
      <c r="E1" s="121" t="s">
        <v>85</v>
      </c>
      <c r="F1" s="21" t="s">
        <v>87</v>
      </c>
      <c r="G1" s="3" t="s">
        <v>139</v>
      </c>
      <c r="H1" s="126" t="s">
        <v>137</v>
      </c>
      <c r="I1" s="3" t="s">
        <v>136</v>
      </c>
      <c r="J1" s="121" t="s">
        <v>122</v>
      </c>
      <c r="K1" s="34" t="s">
        <v>119</v>
      </c>
      <c r="L1" s="34" t="s">
        <v>113</v>
      </c>
      <c r="M1" s="111" t="s">
        <v>120</v>
      </c>
      <c r="N1" s="114" t="s">
        <v>114</v>
      </c>
      <c r="O1" t="s">
        <v>4</v>
      </c>
      <c r="P1" s="111" t="s">
        <v>121</v>
      </c>
      <c r="Q1" s="103" t="s">
        <v>190</v>
      </c>
      <c r="T1" s="34" t="s">
        <v>95</v>
      </c>
      <c r="U1" s="34" t="s">
        <v>97</v>
      </c>
      <c r="V1" s="34" t="s">
        <v>111</v>
      </c>
      <c r="W1" t="s">
        <v>2</v>
      </c>
    </row>
    <row r="2" spans="1:23" s="2" customFormat="1" x14ac:dyDescent="0.2">
      <c r="A2" s="2" t="s">
        <v>1</v>
      </c>
      <c r="D2" s="2" t="s">
        <v>108</v>
      </c>
      <c r="E2" s="122" t="s">
        <v>106</v>
      </c>
      <c r="G2" s="2" t="s">
        <v>135</v>
      </c>
      <c r="H2" s="96" t="s">
        <v>138</v>
      </c>
      <c r="I2" s="2" t="s">
        <v>140</v>
      </c>
      <c r="J2" s="122" t="s">
        <v>107</v>
      </c>
      <c r="K2" s="96" t="s">
        <v>107</v>
      </c>
      <c r="L2" s="96" t="s">
        <v>107</v>
      </c>
      <c r="M2" s="112" t="s">
        <v>107</v>
      </c>
      <c r="N2" s="115" t="s">
        <v>142</v>
      </c>
      <c r="O2" s="2" t="s">
        <v>98</v>
      </c>
      <c r="P2" s="108" t="s">
        <v>126</v>
      </c>
      <c r="Q2" s="104"/>
      <c r="R2" s="104"/>
      <c r="T2" s="96" t="s">
        <v>96</v>
      </c>
      <c r="U2" s="96" t="s">
        <v>96</v>
      </c>
      <c r="V2" s="96" t="s">
        <v>112</v>
      </c>
    </row>
    <row r="3" spans="1:23" x14ac:dyDescent="0.2">
      <c r="A3" s="48" t="s">
        <v>2</v>
      </c>
      <c r="B3" s="48"/>
      <c r="F3" s="21"/>
      <c r="G3" s="3"/>
      <c r="H3" s="34"/>
      <c r="I3" s="3" t="s">
        <v>141</v>
      </c>
    </row>
    <row r="4" spans="1:23" x14ac:dyDescent="0.2">
      <c r="A4" s="26" t="s">
        <v>109</v>
      </c>
      <c r="B4" s="26"/>
      <c r="C4" t="s">
        <v>118</v>
      </c>
      <c r="D4">
        <v>0</v>
      </c>
      <c r="E4" s="121">
        <f>0.0102+0.10641+2.406035</f>
        <v>2.5226450000000002</v>
      </c>
      <c r="F4" s="21" t="s">
        <v>110</v>
      </c>
      <c r="G4" s="119">
        <v>1.65</v>
      </c>
      <c r="H4" s="99"/>
      <c r="I4" s="119"/>
      <c r="J4" s="123">
        <f>K4+L4</f>
        <v>2.6949999999999998</v>
      </c>
      <c r="L4" s="34">
        <v>2.6949999999999998</v>
      </c>
      <c r="M4" s="113"/>
      <c r="N4" s="116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">
      <c r="A5" s="21" t="s">
        <v>117</v>
      </c>
      <c r="C5" t="s">
        <v>118</v>
      </c>
      <c r="D5">
        <f>13.1*28.6/1000</f>
        <v>0.37466000000000005</v>
      </c>
      <c r="E5" s="121">
        <f>3.7*1.31/1.4</f>
        <v>3.4621428571428576</v>
      </c>
      <c r="F5" s="21" t="s">
        <v>110</v>
      </c>
      <c r="G5" s="3"/>
      <c r="H5" s="34"/>
      <c r="J5" s="123">
        <f>K5+L5</f>
        <v>1.7271428571428573</v>
      </c>
      <c r="L5" s="97">
        <f>2.418/1.4</f>
        <v>1.7271428571428573</v>
      </c>
      <c r="M5" s="113">
        <f>1.195*1.3/1.4</f>
        <v>1.1096428571428574</v>
      </c>
      <c r="N5" s="116">
        <f>0.09*28/1.4</f>
        <v>1.8</v>
      </c>
      <c r="O5">
        <v>0</v>
      </c>
    </row>
    <row r="6" spans="1:23" x14ac:dyDescent="0.2">
      <c r="A6" s="26" t="s">
        <v>115</v>
      </c>
      <c r="B6" s="26"/>
      <c r="C6" t="s">
        <v>118</v>
      </c>
      <c r="D6">
        <v>0</v>
      </c>
      <c r="E6" s="121">
        <f>3.7/1.3</f>
        <v>2.8461538461538463</v>
      </c>
      <c r="F6" s="21" t="s">
        <v>110</v>
      </c>
      <c r="G6" s="3"/>
      <c r="H6" s="34"/>
      <c r="J6" s="123">
        <f>K6+L6</f>
        <v>1.2030769230769232</v>
      </c>
      <c r="L6" s="97">
        <f>1.564/1.3</f>
        <v>1.2030769230769232</v>
      </c>
      <c r="M6" s="113">
        <f>0.954/1.3</f>
        <v>0.73384615384615381</v>
      </c>
      <c r="N6" s="116">
        <f>0.037*28/1.3</f>
        <v>0.79692307692307696</v>
      </c>
      <c r="O6">
        <v>0</v>
      </c>
      <c r="P6" s="111">
        <f>613*Ref!B18</f>
        <v>2.2067999999999999</v>
      </c>
      <c r="Q6" s="136"/>
      <c r="W6" t="s">
        <v>123</v>
      </c>
    </row>
    <row r="7" spans="1:23" x14ac:dyDescent="0.2">
      <c r="A7" s="26" t="s">
        <v>116</v>
      </c>
      <c r="B7" s="26"/>
      <c r="C7" t="s">
        <v>118</v>
      </c>
      <c r="D7">
        <v>0</v>
      </c>
      <c r="E7" s="121">
        <f>3.7/1.3</f>
        <v>2.8461538461538463</v>
      </c>
      <c r="F7" s="21" t="s">
        <v>110</v>
      </c>
      <c r="G7" s="3"/>
      <c r="H7" s="34"/>
      <c r="J7" s="123">
        <f>K7+L7</f>
        <v>2.25</v>
      </c>
      <c r="L7" s="97">
        <f>2.925/1.3</f>
        <v>2.25</v>
      </c>
      <c r="M7" s="113">
        <v>0</v>
      </c>
      <c r="N7" s="116">
        <f>0.049*28/1.3</f>
        <v>1.0553846153846154</v>
      </c>
      <c r="O7">
        <v>0</v>
      </c>
      <c r="P7" s="111">
        <f>1122*Ref!B18</f>
        <v>4.0392000000000001</v>
      </c>
      <c r="Q7" s="136"/>
      <c r="W7" t="s">
        <v>123</v>
      </c>
    </row>
    <row r="8" spans="1:23" x14ac:dyDescent="0.2">
      <c r="A8" s="98" t="s">
        <v>124</v>
      </c>
      <c r="B8" s="98"/>
      <c r="C8" t="s">
        <v>118</v>
      </c>
      <c r="D8">
        <v>0</v>
      </c>
      <c r="E8" s="121">
        <f>1/0.364</f>
        <v>2.7472527472527473</v>
      </c>
      <c r="F8" s="21" t="s">
        <v>110</v>
      </c>
      <c r="G8" s="3"/>
      <c r="H8" s="34"/>
      <c r="J8" s="123">
        <f t="shared" ref="J8" si="0">K8+L8</f>
        <v>0.54300000000000004</v>
      </c>
      <c r="L8" s="99">
        <v>0.54300000000000004</v>
      </c>
      <c r="M8" s="113"/>
      <c r="N8" s="116">
        <f>0.0365*28</f>
        <v>1.022</v>
      </c>
      <c r="O8">
        <v>0</v>
      </c>
      <c r="Q8" s="136"/>
    </row>
    <row r="9" spans="1:23" x14ac:dyDescent="0.2">
      <c r="A9" s="98" t="s">
        <v>125</v>
      </c>
      <c r="B9" s="98"/>
      <c r="C9" t="s">
        <v>118</v>
      </c>
      <c r="D9">
        <v>0</v>
      </c>
      <c r="E9" s="121">
        <f>1/0.341</f>
        <v>2.9325513196480935</v>
      </c>
      <c r="F9" s="21" t="s">
        <v>110</v>
      </c>
      <c r="G9" s="3"/>
      <c r="H9" s="34"/>
      <c r="J9" s="123">
        <f>K9+L9</f>
        <v>1.3819999999999999</v>
      </c>
      <c r="L9" s="99">
        <v>1.3819999999999999</v>
      </c>
      <c r="M9" s="113"/>
      <c r="N9" s="116">
        <f>0.047*28</f>
        <v>1.3160000000000001</v>
      </c>
      <c r="O9">
        <v>0</v>
      </c>
      <c r="Q9" s="136"/>
    </row>
    <row r="10" spans="1:23" s="29" customFormat="1" ht="16" thickBot="1" x14ac:dyDescent="0.25">
      <c r="A10" s="29" t="s">
        <v>3</v>
      </c>
      <c r="B10" s="29" t="s">
        <v>191</v>
      </c>
      <c r="C10" t="str">
        <f t="shared" ref="C10:F10" si="1">C$9</f>
        <v>diesel</v>
      </c>
      <c r="D10">
        <v>0</v>
      </c>
      <c r="E10" s="121">
        <f>1/0.364</f>
        <v>2.7472527472527473</v>
      </c>
      <c r="F10" t="str">
        <f t="shared" si="1"/>
        <v>dry cleft timber</v>
      </c>
      <c r="G10">
        <f>1.81</f>
        <v>1.81</v>
      </c>
      <c r="H10" s="99">
        <v>60</v>
      </c>
      <c r="I10" s="24">
        <v>0</v>
      </c>
      <c r="J10" s="123">
        <f t="shared" ref="J10" si="2">K10+L10</f>
        <v>0.54300000000000004</v>
      </c>
      <c r="K10" s="34"/>
      <c r="L10" s="99">
        <v>0.54300000000000004</v>
      </c>
      <c r="M10" s="113"/>
      <c r="N10" s="116">
        <f>0.0365*28</f>
        <v>1.022</v>
      </c>
      <c r="O10">
        <v>0</v>
      </c>
      <c r="P10" s="107">
        <v>0</v>
      </c>
      <c r="Q10" s="103">
        <v>200</v>
      </c>
      <c r="R10" s="105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7" thickBot="1" x14ac:dyDescent="0.25">
      <c r="A11" s="32" t="s">
        <v>77</v>
      </c>
      <c r="B11" s="32" t="s">
        <v>132</v>
      </c>
      <c r="C11" s="1" t="str">
        <f>C$9</f>
        <v>diesel</v>
      </c>
      <c r="D11" s="1">
        <f t="shared" ref="D11:O19" si="3">D$9</f>
        <v>0</v>
      </c>
      <c r="E11" s="129">
        <f t="shared" si="3"/>
        <v>2.9325513196480935</v>
      </c>
      <c r="F11" s="39" t="str">
        <f t="shared" si="3"/>
        <v>dry cleft timber</v>
      </c>
      <c r="G11" s="57">
        <v>1.81</v>
      </c>
      <c r="H11" s="131">
        <f>H$10</f>
        <v>60</v>
      </c>
      <c r="I11" s="130">
        <f>I$10</f>
        <v>0</v>
      </c>
      <c r="J11" s="129">
        <f t="shared" si="3"/>
        <v>1.3819999999999999</v>
      </c>
      <c r="K11" s="132">
        <f t="shared" si="3"/>
        <v>0</v>
      </c>
      <c r="L11" s="132">
        <f t="shared" si="3"/>
        <v>1.3819999999999999</v>
      </c>
      <c r="M11" s="133"/>
      <c r="N11" s="134">
        <f t="shared" si="3"/>
        <v>1.3160000000000001</v>
      </c>
      <c r="O11" s="1">
        <f t="shared" si="3"/>
        <v>0</v>
      </c>
      <c r="P11" s="133"/>
      <c r="Q11" s="135"/>
      <c r="R11" s="135"/>
    </row>
    <row r="12" spans="1:23" ht="16" x14ac:dyDescent="0.2">
      <c r="A12" s="25" t="s">
        <v>78</v>
      </c>
      <c r="B12" s="25" t="str">
        <f>B11</f>
        <v>steel</v>
      </c>
      <c r="C12" t="str">
        <f t="shared" ref="C12:C19" si="4">C$9</f>
        <v>diesel</v>
      </c>
      <c r="D12">
        <f t="shared" si="3"/>
        <v>0</v>
      </c>
      <c r="E12" s="121">
        <f t="shared" si="3"/>
        <v>2.9325513196480935</v>
      </c>
      <c r="F12" s="21" t="str">
        <f t="shared" si="3"/>
        <v>dry cleft timber</v>
      </c>
      <c r="G12" s="3">
        <f>G11</f>
        <v>1.81</v>
      </c>
      <c r="H12" s="99">
        <f>H11</f>
        <v>60</v>
      </c>
      <c r="I12" s="119">
        <f>I11</f>
        <v>0</v>
      </c>
      <c r="J12" s="121">
        <f t="shared" si="3"/>
        <v>1.3819999999999999</v>
      </c>
      <c r="K12" s="34">
        <f t="shared" si="3"/>
        <v>0</v>
      </c>
      <c r="L12" s="34">
        <f t="shared" si="3"/>
        <v>1.3819999999999999</v>
      </c>
      <c r="M12" s="107"/>
      <c r="N12" s="114">
        <f t="shared" si="3"/>
        <v>1.3160000000000001</v>
      </c>
      <c r="O12">
        <f t="shared" si="3"/>
        <v>0</v>
      </c>
      <c r="P12" s="107"/>
      <c r="T12"/>
      <c r="U12"/>
      <c r="V12"/>
    </row>
    <row r="13" spans="1:23" s="29" customFormat="1" ht="17" thickBot="1" x14ac:dyDescent="0.25">
      <c r="A13" s="30" t="s">
        <v>81</v>
      </c>
      <c r="B13" s="30" t="str">
        <f>B11</f>
        <v>steel</v>
      </c>
      <c r="C13" s="29" t="str">
        <f t="shared" si="4"/>
        <v>diesel</v>
      </c>
      <c r="D13" s="29">
        <f t="shared" si="3"/>
        <v>0</v>
      </c>
      <c r="E13" s="124">
        <f t="shared" si="3"/>
        <v>2.9325513196480935</v>
      </c>
      <c r="F13" s="29" t="str">
        <f t="shared" si="3"/>
        <v>dry cleft timber</v>
      </c>
      <c r="G13" s="57">
        <f>G11</f>
        <v>1.81</v>
      </c>
      <c r="H13" s="127">
        <f>H11</f>
        <v>60</v>
      </c>
      <c r="I13" s="58">
        <f>I11</f>
        <v>0</v>
      </c>
      <c r="J13" s="124">
        <f t="shared" si="3"/>
        <v>1.3819999999999999</v>
      </c>
      <c r="K13" s="35">
        <f t="shared" si="3"/>
        <v>0</v>
      </c>
      <c r="L13" s="35">
        <f t="shared" si="3"/>
        <v>1.3819999999999999</v>
      </c>
      <c r="M13" s="109"/>
      <c r="N13" s="117">
        <f t="shared" si="3"/>
        <v>1.3160000000000001</v>
      </c>
      <c r="O13" s="29">
        <f t="shared" si="3"/>
        <v>0</v>
      </c>
      <c r="P13" s="109"/>
      <c r="Q13" s="105"/>
      <c r="R13" s="105"/>
    </row>
    <row r="14" spans="1:23" ht="17" thickBot="1" x14ac:dyDescent="0.25">
      <c r="A14" s="52" t="s">
        <v>62</v>
      </c>
      <c r="B14" s="32" t="s">
        <v>132</v>
      </c>
      <c r="C14" t="str">
        <f>C$9</f>
        <v>diesel</v>
      </c>
      <c r="D14">
        <f t="shared" si="3"/>
        <v>0</v>
      </c>
      <c r="E14" s="121">
        <f t="shared" si="3"/>
        <v>2.9325513196480935</v>
      </c>
      <c r="F14" s="120" t="str">
        <f t="shared" si="3"/>
        <v>dry cleft timber</v>
      </c>
      <c r="G14" s="57">
        <v>1.81</v>
      </c>
      <c r="H14" s="131">
        <f>H$10</f>
        <v>60</v>
      </c>
      <c r="I14" s="130">
        <f>I$10</f>
        <v>0</v>
      </c>
      <c r="J14" s="121">
        <f t="shared" si="3"/>
        <v>1.3819999999999999</v>
      </c>
      <c r="K14" s="34">
        <f t="shared" si="3"/>
        <v>0</v>
      </c>
      <c r="L14" s="34">
        <f t="shared" si="3"/>
        <v>1.3819999999999999</v>
      </c>
      <c r="M14" s="107"/>
      <c r="N14" s="114">
        <f t="shared" si="3"/>
        <v>1.3160000000000001</v>
      </c>
      <c r="O14">
        <f t="shared" si="3"/>
        <v>0</v>
      </c>
      <c r="P14" s="107"/>
      <c r="T14"/>
      <c r="U14"/>
      <c r="V14"/>
    </row>
    <row r="15" spans="1:23" ht="16" x14ac:dyDescent="0.2">
      <c r="A15" s="46" t="s">
        <v>79</v>
      </c>
      <c r="B15" s="25" t="str">
        <f>B14</f>
        <v>steel</v>
      </c>
      <c r="C15" t="str">
        <f t="shared" si="4"/>
        <v>diesel</v>
      </c>
      <c r="D15">
        <f t="shared" si="3"/>
        <v>0</v>
      </c>
      <c r="E15" s="121">
        <f t="shared" si="3"/>
        <v>2.9325513196480935</v>
      </c>
      <c r="F15" s="21" t="str">
        <f t="shared" si="3"/>
        <v>dry cleft timber</v>
      </c>
      <c r="G15" s="3">
        <f>G14</f>
        <v>1.81</v>
      </c>
      <c r="H15" s="99">
        <f>H14</f>
        <v>60</v>
      </c>
      <c r="I15" s="119">
        <f>I14</f>
        <v>0</v>
      </c>
      <c r="J15" s="121">
        <f t="shared" si="3"/>
        <v>1.3819999999999999</v>
      </c>
      <c r="K15" s="34">
        <f t="shared" si="3"/>
        <v>0</v>
      </c>
      <c r="L15" s="34">
        <f t="shared" si="3"/>
        <v>1.3819999999999999</v>
      </c>
      <c r="M15" s="107"/>
      <c r="N15" s="114">
        <f t="shared" si="3"/>
        <v>1.3160000000000001</v>
      </c>
      <c r="O15">
        <f t="shared" si="3"/>
        <v>0</v>
      </c>
      <c r="P15" s="107"/>
      <c r="T15"/>
      <c r="U15"/>
      <c r="V15"/>
    </row>
    <row r="16" spans="1:23" s="29" customFormat="1" ht="17" thickBot="1" x14ac:dyDescent="0.25">
      <c r="A16" s="53" t="s">
        <v>82</v>
      </c>
      <c r="B16" s="30" t="str">
        <f>B14</f>
        <v>steel</v>
      </c>
      <c r="C16" s="29" t="str">
        <f t="shared" si="4"/>
        <v>diesel</v>
      </c>
      <c r="D16" s="29">
        <f t="shared" si="3"/>
        <v>0</v>
      </c>
      <c r="E16" s="124">
        <f t="shared" si="3"/>
        <v>2.9325513196480935</v>
      </c>
      <c r="F16" s="29" t="str">
        <f t="shared" si="3"/>
        <v>dry cleft timber</v>
      </c>
      <c r="G16" s="57">
        <f>G14</f>
        <v>1.81</v>
      </c>
      <c r="H16" s="127">
        <f>H14</f>
        <v>60</v>
      </c>
      <c r="I16" s="58">
        <f>I14</f>
        <v>0</v>
      </c>
      <c r="J16" s="124">
        <f t="shared" si="3"/>
        <v>1.3819999999999999</v>
      </c>
      <c r="K16" s="35">
        <f t="shared" si="3"/>
        <v>0</v>
      </c>
      <c r="L16" s="35">
        <f t="shared" si="3"/>
        <v>1.3819999999999999</v>
      </c>
      <c r="M16" s="109"/>
      <c r="N16" s="117">
        <f t="shared" si="3"/>
        <v>1.3160000000000001</v>
      </c>
      <c r="O16" s="29">
        <f t="shared" si="3"/>
        <v>0</v>
      </c>
      <c r="P16" s="109"/>
      <c r="Q16" s="105"/>
      <c r="R16" s="105"/>
    </row>
    <row r="17" spans="1:23" ht="17" thickBot="1" x14ac:dyDescent="0.25">
      <c r="A17" s="46" t="s">
        <v>63</v>
      </c>
      <c r="B17" s="32" t="s">
        <v>132</v>
      </c>
      <c r="C17" t="str">
        <f>C$9</f>
        <v>diesel</v>
      </c>
      <c r="D17">
        <f t="shared" si="3"/>
        <v>0</v>
      </c>
      <c r="E17" s="121">
        <f t="shared" si="3"/>
        <v>2.9325513196480935</v>
      </c>
      <c r="F17" s="21" t="str">
        <f t="shared" si="3"/>
        <v>dry cleft timber</v>
      </c>
      <c r="G17" s="57">
        <v>1.81</v>
      </c>
      <c r="H17" s="131">
        <f>H$10</f>
        <v>60</v>
      </c>
      <c r="I17" s="130">
        <f>I$10</f>
        <v>0</v>
      </c>
      <c r="J17" s="121">
        <f t="shared" si="3"/>
        <v>1.3819999999999999</v>
      </c>
      <c r="K17" s="34">
        <f t="shared" si="3"/>
        <v>0</v>
      </c>
      <c r="L17" s="34">
        <f t="shared" si="3"/>
        <v>1.3819999999999999</v>
      </c>
      <c r="M17" s="107"/>
      <c r="N17" s="114">
        <f t="shared" si="3"/>
        <v>1.3160000000000001</v>
      </c>
      <c r="O17">
        <f t="shared" si="3"/>
        <v>0</v>
      </c>
      <c r="P17" s="107"/>
      <c r="T17"/>
      <c r="U17"/>
      <c r="V17"/>
    </row>
    <row r="18" spans="1:23" ht="16" x14ac:dyDescent="0.2">
      <c r="A18" s="46" t="s">
        <v>80</v>
      </c>
      <c r="B18" s="25" t="str">
        <f>B17</f>
        <v>steel</v>
      </c>
      <c r="C18" t="str">
        <f t="shared" si="4"/>
        <v>diesel</v>
      </c>
      <c r="D18">
        <f t="shared" si="3"/>
        <v>0</v>
      </c>
      <c r="E18" s="121">
        <f t="shared" si="3"/>
        <v>2.9325513196480935</v>
      </c>
      <c r="F18" s="21" t="str">
        <f t="shared" si="3"/>
        <v>dry cleft timber</v>
      </c>
      <c r="G18" s="3">
        <f>G17</f>
        <v>1.81</v>
      </c>
      <c r="H18" s="99">
        <f>H17</f>
        <v>60</v>
      </c>
      <c r="I18" s="119">
        <f>I17</f>
        <v>0</v>
      </c>
      <c r="J18" s="121">
        <f t="shared" si="3"/>
        <v>1.3819999999999999</v>
      </c>
      <c r="K18" s="34">
        <f t="shared" si="3"/>
        <v>0</v>
      </c>
      <c r="L18" s="34">
        <f t="shared" si="3"/>
        <v>1.3819999999999999</v>
      </c>
      <c r="M18" s="107"/>
      <c r="N18" s="114">
        <f t="shared" si="3"/>
        <v>1.3160000000000001</v>
      </c>
      <c r="O18">
        <f t="shared" si="3"/>
        <v>0</v>
      </c>
      <c r="P18" s="107"/>
      <c r="T18"/>
      <c r="U18"/>
      <c r="V18"/>
    </row>
    <row r="19" spans="1:23" s="35" customFormat="1" ht="17" thickBot="1" x14ac:dyDescent="0.25">
      <c r="A19" s="63" t="s">
        <v>83</v>
      </c>
      <c r="B19" s="30" t="str">
        <f>B17</f>
        <v>steel</v>
      </c>
      <c r="C19" s="29" t="str">
        <f t="shared" si="4"/>
        <v>diesel</v>
      </c>
      <c r="D19" s="29">
        <f t="shared" si="3"/>
        <v>0</v>
      </c>
      <c r="E19" s="124">
        <f t="shared" si="3"/>
        <v>2.9325513196480935</v>
      </c>
      <c r="F19" s="29" t="str">
        <f t="shared" si="3"/>
        <v>dry cleft timber</v>
      </c>
      <c r="G19" s="57">
        <f>G17</f>
        <v>1.81</v>
      </c>
      <c r="H19" s="127">
        <f>H17</f>
        <v>60</v>
      </c>
      <c r="I19" s="58">
        <f>I17</f>
        <v>0</v>
      </c>
      <c r="J19" s="124">
        <f t="shared" si="3"/>
        <v>1.3819999999999999</v>
      </c>
      <c r="K19" s="35">
        <f t="shared" si="3"/>
        <v>0</v>
      </c>
      <c r="L19" s="35">
        <f t="shared" si="3"/>
        <v>1.3819999999999999</v>
      </c>
      <c r="M19" s="109"/>
      <c r="N19" s="117">
        <f t="shared" si="3"/>
        <v>1.3160000000000001</v>
      </c>
      <c r="O19" s="29">
        <f t="shared" si="3"/>
        <v>0</v>
      </c>
      <c r="P19" s="109"/>
      <c r="Q19" s="105"/>
      <c r="R19" s="105"/>
      <c r="T19" s="29"/>
      <c r="U19" s="29"/>
      <c r="V19" s="29"/>
    </row>
    <row r="20" spans="1:23" ht="16" thickBot="1" x14ac:dyDescent="0.25">
      <c r="A20" t="s">
        <v>133</v>
      </c>
      <c r="B20" s="21" t="s">
        <v>134</v>
      </c>
      <c r="C20" s="27" t="str">
        <f>C10</f>
        <v>diesel</v>
      </c>
      <c r="D20" s="27">
        <f t="shared" ref="D20:W20" si="5">D10</f>
        <v>0</v>
      </c>
      <c r="E20" s="125">
        <f t="shared" si="5"/>
        <v>2.7472527472527473</v>
      </c>
      <c r="F20" s="27" t="str">
        <f t="shared" ref="F20" si="6">F10</f>
        <v>dry cleft timber</v>
      </c>
      <c r="G20" s="57">
        <v>1.81</v>
      </c>
      <c r="H20" s="99"/>
      <c r="I20" s="119"/>
      <c r="J20" s="125">
        <f t="shared" si="5"/>
        <v>0.54300000000000004</v>
      </c>
      <c r="K20" s="27">
        <f t="shared" si="5"/>
        <v>0</v>
      </c>
      <c r="L20" s="27">
        <f t="shared" si="5"/>
        <v>0.54300000000000004</v>
      </c>
      <c r="M20" s="110">
        <f t="shared" si="5"/>
        <v>0</v>
      </c>
      <c r="N20" s="118">
        <f t="shared" si="5"/>
        <v>1.022</v>
      </c>
      <c r="O20" s="27">
        <f t="shared" si="5"/>
        <v>0</v>
      </c>
      <c r="P20" s="110">
        <f>P10</f>
        <v>0</v>
      </c>
      <c r="Q20" s="106"/>
      <c r="R20" s="106"/>
      <c r="T20" s="27">
        <f t="shared" si="5"/>
        <v>0</v>
      </c>
      <c r="U20" s="27">
        <f t="shared" si="5"/>
        <v>0</v>
      </c>
      <c r="V20" s="27">
        <f t="shared" si="5"/>
        <v>0</v>
      </c>
      <c r="W20" s="27">
        <f t="shared" si="5"/>
        <v>0</v>
      </c>
    </row>
    <row r="21" spans="1:23" x14ac:dyDescent="0.2">
      <c r="F21" s="21"/>
    </row>
    <row r="22" spans="1:23" x14ac:dyDescent="0.2">
      <c r="F22" s="21"/>
    </row>
    <row r="23" spans="1:23" x14ac:dyDescent="0.2">
      <c r="F23" s="21"/>
    </row>
    <row r="24" spans="1:23" x14ac:dyDescent="0.2">
      <c r="F24" s="21"/>
    </row>
    <row r="25" spans="1:23" x14ac:dyDescent="0.2">
      <c r="F25" s="21"/>
    </row>
    <row r="26" spans="1:23" x14ac:dyDescent="0.2">
      <c r="F26" s="21"/>
    </row>
    <row r="27" spans="1:23" x14ac:dyDescent="0.2">
      <c r="F27" s="21"/>
    </row>
    <row r="28" spans="1:23" x14ac:dyDescent="0.2">
      <c r="F28" s="21"/>
    </row>
    <row r="29" spans="1:23" x14ac:dyDescent="0.2">
      <c r="F29" s="21"/>
    </row>
    <row r="30" spans="1:23" x14ac:dyDescent="0.2">
      <c r="F30" s="21"/>
    </row>
    <row r="31" spans="1:23" x14ac:dyDescent="0.2">
      <c r="F31" s="21"/>
    </row>
    <row r="32" spans="1:23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workbookViewId="0">
      <selection activeCell="A30" sqref="A30"/>
    </sheetView>
  </sheetViews>
  <sheetFormatPr baseColWidth="10" defaultColWidth="10.1640625" defaultRowHeight="15" x14ac:dyDescent="0.2"/>
  <cols>
    <col min="1" max="2" width="15" style="21" customWidth="1"/>
    <col min="3" max="3" width="15" style="20" bestFit="1" customWidth="1"/>
    <col min="4" max="4" width="17.83203125" style="20" bestFit="1" customWidth="1"/>
    <col min="5" max="5" width="15.83203125" style="20" bestFit="1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16384" width="10.1640625" style="20"/>
  </cols>
  <sheetData>
    <row r="1" spans="1:5" s="39" customFormat="1" x14ac:dyDescent="0.2">
      <c r="A1" s="39" t="s">
        <v>0</v>
      </c>
      <c r="B1" s="39" t="s">
        <v>131</v>
      </c>
      <c r="C1" s="47" t="s">
        <v>30</v>
      </c>
      <c r="D1" s="65" t="s">
        <v>6</v>
      </c>
      <c r="E1" s="39" t="s">
        <v>40</v>
      </c>
    </row>
    <row r="2" spans="1:5" x14ac:dyDescent="0.2">
      <c r="A2" s="48" t="s">
        <v>1</v>
      </c>
      <c r="B2" s="48"/>
      <c r="D2" s="47" t="s">
        <v>36</v>
      </c>
    </row>
    <row r="3" spans="1:5" x14ac:dyDescent="0.2">
      <c r="A3" s="48" t="s">
        <v>2</v>
      </c>
      <c r="B3" s="48"/>
    </row>
    <row r="4" spans="1:5" x14ac:dyDescent="0.2">
      <c r="A4" s="21" t="s">
        <v>3</v>
      </c>
      <c r="C4" s="66">
        <v>0.9</v>
      </c>
      <c r="D4" s="50">
        <f>0.55*Ref!B$18/Ref!$C$12</f>
        <v>1.3869182594347289</v>
      </c>
    </row>
    <row r="5" spans="1:5" x14ac:dyDescent="0.2">
      <c r="A5" s="21" t="s">
        <v>100</v>
      </c>
      <c r="C5" s="66">
        <f>C4</f>
        <v>0.9</v>
      </c>
      <c r="D5" s="50">
        <f>D4</f>
        <v>1.3869182594347289</v>
      </c>
    </row>
    <row r="6" spans="1:5" x14ac:dyDescent="0.2">
      <c r="A6" s="21" t="s">
        <v>101</v>
      </c>
      <c r="C6" s="66">
        <f>C4</f>
        <v>0.9</v>
      </c>
      <c r="D6" s="50">
        <f>D4</f>
        <v>1.3869182594347289</v>
      </c>
    </row>
    <row r="7" spans="1:5" s="41" customFormat="1" ht="16" thickBot="1" x14ac:dyDescent="0.25">
      <c r="A7" s="36" t="s">
        <v>99</v>
      </c>
      <c r="B7" s="36"/>
      <c r="C7" s="54">
        <f>C4</f>
        <v>0.9</v>
      </c>
      <c r="D7" s="85">
        <f>D4</f>
        <v>1.3869182594347289</v>
      </c>
    </row>
    <row r="8" spans="1:5" s="39" customFormat="1" ht="16" x14ac:dyDescent="0.2">
      <c r="A8" s="32" t="s">
        <v>77</v>
      </c>
      <c r="B8" s="32" t="s">
        <v>132</v>
      </c>
      <c r="C8" s="66">
        <v>0.9</v>
      </c>
      <c r="D8" s="50">
        <f>0.55*Ref!B$18/Ref!$C$12</f>
        <v>1.3869182594347289</v>
      </c>
      <c r="E8" s="67"/>
    </row>
    <row r="9" spans="1:5" s="21" customFormat="1" ht="16" x14ac:dyDescent="0.2">
      <c r="A9" s="25" t="s">
        <v>78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7" thickBot="1" x14ac:dyDescent="0.25">
      <c r="A10" s="30" t="s">
        <v>81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ht="16" x14ac:dyDescent="0.2">
      <c r="A11" s="32" t="s">
        <v>62</v>
      </c>
      <c r="B11" s="32" t="s">
        <v>132</v>
      </c>
      <c r="C11" s="66">
        <v>0.9</v>
      </c>
      <c r="D11" s="66">
        <f>(0.55*Ref!B18/Ref!C12*(38/158.3))+(0.47*Ref!B18/Ref!C12*(120.3/158.3))</f>
        <v>1.2336109450282529</v>
      </c>
      <c r="E11" s="67"/>
    </row>
    <row r="12" spans="1:5" s="39" customFormat="1" ht="16" x14ac:dyDescent="0.2">
      <c r="A12" s="51" t="s">
        <v>79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7" thickBot="1" x14ac:dyDescent="0.25">
      <c r="A13" s="53" t="s">
        <v>82</v>
      </c>
      <c r="B13" s="30" t="str">
        <f>B11</f>
        <v>steel</v>
      </c>
      <c r="C13" s="54">
        <f>C11</f>
        <v>0.9</v>
      </c>
      <c r="D13" s="54">
        <f>D11</f>
        <v>1.2336109450282529</v>
      </c>
      <c r="E13" s="41"/>
    </row>
    <row r="14" spans="1:5" s="21" customFormat="1" ht="16" x14ac:dyDescent="0.2">
      <c r="A14" s="52" t="s">
        <v>63</v>
      </c>
      <c r="B14" s="32" t="s">
        <v>132</v>
      </c>
      <c r="C14" s="20">
        <v>0.9</v>
      </c>
      <c r="D14" s="50">
        <f>0.55*Ref!B$18/Ref!$C$12</f>
        <v>1.3869182594347289</v>
      </c>
      <c r="E14" s="20"/>
    </row>
    <row r="15" spans="1:5" s="21" customFormat="1" ht="16" x14ac:dyDescent="0.2">
      <c r="A15" s="46" t="s">
        <v>80</v>
      </c>
      <c r="B15" s="25" t="str">
        <f>B14</f>
        <v>steel</v>
      </c>
      <c r="C15" s="23">
        <f>C14</f>
        <v>0.9</v>
      </c>
      <c r="D15" s="23">
        <f>D14</f>
        <v>1.3869182594347289</v>
      </c>
      <c r="E15" s="20"/>
    </row>
    <row r="16" spans="1:5" s="56" customFormat="1" ht="17" thickBot="1" x14ac:dyDescent="0.25">
      <c r="A16" s="53" t="s">
        <v>83</v>
      </c>
      <c r="B16" s="30" t="str">
        <f>B14</f>
        <v>steel</v>
      </c>
      <c r="C16" s="54">
        <f>C14</f>
        <v>0.9</v>
      </c>
      <c r="D16" s="54">
        <f>D14</f>
        <v>1.3869182594347289</v>
      </c>
      <c r="E16" s="41"/>
    </row>
    <row r="17" spans="1:5" s="21" customFormat="1" ht="16" x14ac:dyDescent="0.2">
      <c r="A17" s="21" t="s">
        <v>71</v>
      </c>
      <c r="B17" s="32" t="s">
        <v>132</v>
      </c>
      <c r="C17" s="20">
        <v>0.9</v>
      </c>
      <c r="D17" s="50">
        <f>0.55*Ref!B$18/Ref!$C$12</f>
        <v>1.3869182594347289</v>
      </c>
      <c r="E17" s="20"/>
    </row>
    <row r="18" spans="1:5" s="21" customFormat="1" ht="16" x14ac:dyDescent="0.2">
      <c r="A18" s="21" t="s">
        <v>72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7" thickBot="1" x14ac:dyDescent="0.25">
      <c r="A19" s="29" t="s">
        <v>73</v>
      </c>
      <c r="B19" s="30" t="str">
        <f>B17</f>
        <v>steel</v>
      </c>
      <c r="C19" s="41">
        <f>C17</f>
        <v>0.9</v>
      </c>
      <c r="D19" s="54">
        <f>D17</f>
        <v>1.3869182594347289</v>
      </c>
      <c r="E19" s="41"/>
    </row>
    <row r="20" spans="1:5" s="39" customFormat="1" ht="16" x14ac:dyDescent="0.2">
      <c r="A20" s="21" t="s">
        <v>74</v>
      </c>
      <c r="B20" s="32" t="s">
        <v>132</v>
      </c>
      <c r="C20" s="20">
        <v>0.9</v>
      </c>
      <c r="D20" s="50">
        <f>0.55*Ref!B$18/Ref!$C$12</f>
        <v>1.3869182594347289</v>
      </c>
      <c r="E20" s="20"/>
    </row>
    <row r="21" spans="1:5" s="21" customFormat="1" ht="16" x14ac:dyDescent="0.2">
      <c r="A21" s="21" t="s">
        <v>75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7" thickBot="1" x14ac:dyDescent="0.25">
      <c r="A22" s="29" t="s">
        <v>76</v>
      </c>
      <c r="B22" s="30" t="str">
        <f>B20</f>
        <v>steel</v>
      </c>
      <c r="C22" s="41">
        <f>C20</f>
        <v>0.9</v>
      </c>
      <c r="D22" s="54">
        <f>D20</f>
        <v>1.3869182594347289</v>
      </c>
      <c r="E22" s="41"/>
    </row>
    <row r="23" spans="1:5" s="21" customFormat="1" x14ac:dyDescent="0.2">
      <c r="A23" t="s">
        <v>133</v>
      </c>
      <c r="B23" s="21" t="s">
        <v>134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">
      <c r="A24" s="21" t="s">
        <v>145</v>
      </c>
      <c r="B24" s="21"/>
      <c r="C24" s="20"/>
      <c r="D24" s="20"/>
      <c r="E24" s="20"/>
    </row>
    <row r="25" spans="1:5" s="21" customFormat="1" x14ac:dyDescent="0.2">
      <c r="A25" s="27" t="s">
        <v>148</v>
      </c>
      <c r="B25" s="21" t="s">
        <v>134</v>
      </c>
      <c r="C25" s="20">
        <v>1</v>
      </c>
      <c r="D25" s="49">
        <f>180*Ref!B$18</f>
        <v>0.64800000000000002</v>
      </c>
      <c r="E25" s="20"/>
    </row>
    <row r="26" spans="1:5" s="21" customFormat="1" x14ac:dyDescent="0.2">
      <c r="A26" s="27" t="s">
        <v>149</v>
      </c>
      <c r="B26" s="21" t="s">
        <v>134</v>
      </c>
      <c r="C26" s="20">
        <v>1</v>
      </c>
      <c r="D26" s="49">
        <f>180*Ref!B$18</f>
        <v>0.64800000000000002</v>
      </c>
      <c r="E26" s="20"/>
    </row>
    <row r="27" spans="1:5" s="21" customFormat="1" x14ac:dyDescent="0.2">
      <c r="A27" s="27" t="s">
        <v>161</v>
      </c>
      <c r="B27" s="27" t="s">
        <v>162</v>
      </c>
      <c r="C27" s="20">
        <v>1</v>
      </c>
      <c r="D27" s="20">
        <f>14/0.028*Ref!B$18</f>
        <v>1.8</v>
      </c>
      <c r="E27" s="20"/>
    </row>
    <row r="28" spans="1:5" s="39" customFormat="1" x14ac:dyDescent="0.2">
      <c r="A28" s="27" t="s">
        <v>171</v>
      </c>
      <c r="B28" s="21" t="s">
        <v>134</v>
      </c>
      <c r="C28" s="23">
        <f>C$4</f>
        <v>0.9</v>
      </c>
      <c r="D28" s="23">
        <f t="shared" ref="D28:D31" si="1">D$4</f>
        <v>1.3869182594347289</v>
      </c>
      <c r="E28" s="20"/>
    </row>
    <row r="29" spans="1:5" s="21" customFormat="1" x14ac:dyDescent="0.2">
      <c r="A29" s="27" t="s">
        <v>172</v>
      </c>
      <c r="B29" s="21" t="s">
        <v>134</v>
      </c>
      <c r="C29" s="23">
        <f t="shared" ref="C29:C31" si="2">C$4</f>
        <v>0.9</v>
      </c>
      <c r="D29" s="23">
        <f t="shared" si="1"/>
        <v>1.3869182594347289</v>
      </c>
      <c r="E29" s="20"/>
    </row>
    <row r="30" spans="1:5" s="21" customFormat="1" x14ac:dyDescent="0.2">
      <c r="A30" s="27" t="s">
        <v>173</v>
      </c>
      <c r="B30" s="27" t="s">
        <v>162</v>
      </c>
      <c r="C30" s="23">
        <f t="shared" si="2"/>
        <v>0.9</v>
      </c>
      <c r="D30" s="23">
        <f t="shared" si="1"/>
        <v>1.3869182594347289</v>
      </c>
      <c r="E30" s="20"/>
    </row>
    <row r="31" spans="1:5" s="21" customFormat="1" x14ac:dyDescent="0.2">
      <c r="A31" s="27" t="s">
        <v>174</v>
      </c>
      <c r="B31" s="27" t="s">
        <v>162</v>
      </c>
      <c r="C31" s="23">
        <f t="shared" si="2"/>
        <v>0.9</v>
      </c>
      <c r="D31" s="23">
        <f t="shared" si="1"/>
        <v>1.3869182594347289</v>
      </c>
      <c r="E31" s="20"/>
    </row>
    <row r="32" spans="1:5" s="21" customFormat="1" x14ac:dyDescent="0.2">
      <c r="C32" s="20"/>
      <c r="D32" s="20"/>
      <c r="E32" s="20"/>
    </row>
    <row r="36" spans="1:5" s="39" customFormat="1" x14ac:dyDescent="0.2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topLeftCell="A13" zoomScale="130" zoomScaleNormal="130" workbookViewId="0">
      <selection activeCell="A41" sqref="A41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5" style="20" customWidth="1"/>
    <col min="4" max="4" width="10.832031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131</v>
      </c>
      <c r="C1" s="68" t="s">
        <v>29</v>
      </c>
      <c r="D1" s="68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8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C9</f>
        <v>0.56599999999999995</v>
      </c>
      <c r="D4" s="10">
        <v>0</v>
      </c>
      <c r="E4" s="47" t="s">
        <v>59</v>
      </c>
    </row>
    <row r="5" spans="1:11" ht="16" x14ac:dyDescent="0.2">
      <c r="A5" s="21" t="s">
        <v>179</v>
      </c>
      <c r="B5" s="25" t="s">
        <v>132</v>
      </c>
      <c r="C5" s="68">
        <v>0.56599999999999995</v>
      </c>
      <c r="D5" s="140">
        <f>(2.9763+0.6597)/(2.9763+0.6597+0.8496)</f>
        <v>0.81059390048154101</v>
      </c>
      <c r="E5" s="68" t="s">
        <v>59</v>
      </c>
    </row>
    <row r="6" spans="1:11" x14ac:dyDescent="0.2">
      <c r="A6" s="21" t="s">
        <v>100</v>
      </c>
      <c r="C6" s="20">
        <f>C4</f>
        <v>0.56599999999999995</v>
      </c>
      <c r="D6" s="10">
        <v>0</v>
      </c>
      <c r="E6" s="20" t="str">
        <f>E4</f>
        <v>natural gas - IPCC</v>
      </c>
    </row>
    <row r="7" spans="1:11" x14ac:dyDescent="0.2">
      <c r="A7" s="21" t="s">
        <v>101</v>
      </c>
      <c r="C7" s="47">
        <f>C4</f>
        <v>0.56599999999999995</v>
      </c>
      <c r="D7" s="89">
        <v>0</v>
      </c>
      <c r="E7" s="47" t="str">
        <f>E4</f>
        <v>natural gas - IPCC</v>
      </c>
    </row>
    <row r="8" spans="1:11" s="41" customFormat="1" ht="16" thickBot="1" x14ac:dyDescent="0.25">
      <c r="A8" s="29" t="s">
        <v>99</v>
      </c>
      <c r="B8" s="29"/>
      <c r="C8" s="41">
        <f>C4</f>
        <v>0.56599999999999995</v>
      </c>
      <c r="D8" s="42">
        <v>0</v>
      </c>
      <c r="E8" s="81" t="str">
        <f>E4</f>
        <v>natural gas - IPCC</v>
      </c>
    </row>
    <row r="9" spans="1:11" s="39" customFormat="1" ht="16" x14ac:dyDescent="0.2">
      <c r="A9" s="32" t="s">
        <v>77</v>
      </c>
      <c r="B9" s="32" t="s">
        <v>132</v>
      </c>
      <c r="C9" s="61">
        <v>0.56599999999999995</v>
      </c>
      <c r="D9" s="100">
        <v>0</v>
      </c>
      <c r="E9" s="61" t="s">
        <v>59</v>
      </c>
    </row>
    <row r="10" spans="1:11" s="21" customFormat="1" ht="16" x14ac:dyDescent="0.2">
      <c r="A10" s="25" t="s">
        <v>78</v>
      </c>
      <c r="B10" s="25" t="str">
        <f>B9</f>
        <v>steel</v>
      </c>
      <c r="C10" s="61">
        <v>0.56599999999999995</v>
      </c>
      <c r="D10" s="101">
        <f t="shared" ref="D10" si="0">D$9</f>
        <v>0</v>
      </c>
      <c r="E10" s="21" t="str">
        <f>E9</f>
        <v>natural gas - IPCC</v>
      </c>
    </row>
    <row r="11" spans="1:11" s="29" customFormat="1" ht="17" thickBot="1" x14ac:dyDescent="0.25">
      <c r="A11" s="30" t="s">
        <v>81</v>
      </c>
      <c r="B11" s="30" t="str">
        <f>B9</f>
        <v>steel</v>
      </c>
      <c r="C11" s="62">
        <v>0.56599999999999995</v>
      </c>
      <c r="D11" s="102">
        <f t="shared" ref="D11:E11" si="1">D$9</f>
        <v>0</v>
      </c>
      <c r="E11" s="41" t="str">
        <f t="shared" si="1"/>
        <v>natural gas - IPCC</v>
      </c>
    </row>
    <row r="12" spans="1:11" s="21" customFormat="1" ht="16" x14ac:dyDescent="0.2">
      <c r="A12" s="32" t="s">
        <v>62</v>
      </c>
      <c r="B12" s="32" t="s">
        <v>132</v>
      </c>
      <c r="C12" s="61">
        <v>0.56599999999999995</v>
      </c>
      <c r="D12" s="100">
        <v>0</v>
      </c>
      <c r="E12" s="61" t="s">
        <v>59</v>
      </c>
      <c r="F12" s="61"/>
      <c r="G12" s="61"/>
      <c r="H12" s="61"/>
      <c r="I12" s="61"/>
      <c r="J12" s="61"/>
      <c r="K12" s="61"/>
    </row>
    <row r="13" spans="1:11" s="39" customFormat="1" ht="16" x14ac:dyDescent="0.2">
      <c r="A13" s="51" t="s">
        <v>79</v>
      </c>
      <c r="B13" s="25" t="str">
        <f>B12</f>
        <v>steel</v>
      </c>
      <c r="C13" s="20">
        <f>C12</f>
        <v>0.56599999999999995</v>
      </c>
      <c r="D13" s="101">
        <f>D12</f>
        <v>0</v>
      </c>
      <c r="E13" s="20" t="str">
        <f>E12</f>
        <v>natural gas - IPCC</v>
      </c>
      <c r="F13" s="20"/>
      <c r="G13" s="20"/>
      <c r="H13" s="20"/>
      <c r="I13" s="20"/>
      <c r="J13" s="20"/>
      <c r="K13" s="20"/>
    </row>
    <row r="14" spans="1:11" s="29" customFormat="1" ht="17" thickBot="1" x14ac:dyDescent="0.25">
      <c r="A14" s="53" t="s">
        <v>82</v>
      </c>
      <c r="B14" s="30" t="str">
        <f>B12</f>
        <v>steel</v>
      </c>
      <c r="C14" s="41">
        <f>C12</f>
        <v>0.56599999999999995</v>
      </c>
      <c r="D14" s="102">
        <f>D12</f>
        <v>0</v>
      </c>
      <c r="E14" s="41" t="str">
        <f>E12</f>
        <v>natural gas - IPCC</v>
      </c>
      <c r="F14" s="41"/>
      <c r="G14" s="41"/>
      <c r="H14" s="41"/>
      <c r="I14" s="41"/>
      <c r="J14" s="41"/>
      <c r="K14" s="41"/>
    </row>
    <row r="15" spans="1:11" s="21" customFormat="1" ht="16" x14ac:dyDescent="0.2">
      <c r="A15" s="52" t="s">
        <v>63</v>
      </c>
      <c r="B15" s="32" t="s">
        <v>132</v>
      </c>
      <c r="C15" s="61">
        <v>0.56599999999999995</v>
      </c>
      <c r="D15" s="100">
        <v>0</v>
      </c>
      <c r="E15" s="61" t="s">
        <v>59</v>
      </c>
      <c r="F15" s="61"/>
      <c r="G15" s="61"/>
      <c r="H15" s="61"/>
      <c r="I15" s="61"/>
      <c r="J15" s="61"/>
      <c r="K15" s="61"/>
    </row>
    <row r="16" spans="1:11" s="21" customFormat="1" ht="16" x14ac:dyDescent="0.2">
      <c r="A16" s="46" t="s">
        <v>80</v>
      </c>
      <c r="B16" s="25" t="str">
        <f>B15</f>
        <v>steel</v>
      </c>
      <c r="C16" s="20">
        <f>C15</f>
        <v>0.56599999999999995</v>
      </c>
      <c r="D16" s="101">
        <f>D15</f>
        <v>0</v>
      </c>
      <c r="E16" s="20" t="str">
        <f>E15</f>
        <v>natural gas - IPCC</v>
      </c>
      <c r="F16" s="20"/>
      <c r="G16" s="20"/>
      <c r="H16" s="20"/>
      <c r="I16" s="20"/>
      <c r="J16" s="20"/>
      <c r="K16" s="20"/>
    </row>
    <row r="17" spans="1:11" s="56" customFormat="1" ht="17" thickBot="1" x14ac:dyDescent="0.25">
      <c r="A17" s="53" t="s">
        <v>83</v>
      </c>
      <c r="B17" s="30" t="str">
        <f>B15</f>
        <v>steel</v>
      </c>
      <c r="C17" s="41">
        <f>C15</f>
        <v>0.56599999999999995</v>
      </c>
      <c r="D17" s="102">
        <f>D15</f>
        <v>0</v>
      </c>
      <c r="E17" s="41" t="str">
        <f>E15</f>
        <v>natural gas - IPCC</v>
      </c>
      <c r="F17" s="41"/>
      <c r="G17" s="41"/>
      <c r="H17" s="41"/>
      <c r="I17" s="41"/>
      <c r="J17" s="41"/>
      <c r="K17" s="41"/>
    </row>
    <row r="18" spans="1:11" s="21" customFormat="1" ht="16" x14ac:dyDescent="0.2">
      <c r="A18" s="21" t="s">
        <v>71</v>
      </c>
      <c r="B18" s="32" t="s">
        <v>132</v>
      </c>
      <c r="C18" s="61">
        <v>0.56599999999999995</v>
      </c>
      <c r="D18" s="100">
        <v>0</v>
      </c>
      <c r="E18" s="61" t="s">
        <v>59</v>
      </c>
      <c r="F18" s="20"/>
      <c r="G18" s="20"/>
      <c r="H18" s="20"/>
      <c r="I18" s="20"/>
      <c r="J18" s="20"/>
      <c r="K18" s="20"/>
    </row>
    <row r="19" spans="1:11" s="21" customFormat="1" ht="16" x14ac:dyDescent="0.2">
      <c r="A19" s="21" t="s">
        <v>72</v>
      </c>
      <c r="B19" s="25" t="str">
        <f>B18</f>
        <v>steel</v>
      </c>
      <c r="C19" s="20">
        <f>C18</f>
        <v>0.56599999999999995</v>
      </c>
      <c r="D19" s="101">
        <f>D18</f>
        <v>0</v>
      </c>
      <c r="E19" s="20" t="str">
        <f>E18</f>
        <v>natural gas - IPCC</v>
      </c>
      <c r="F19" s="20"/>
      <c r="G19" s="20"/>
      <c r="H19" s="20"/>
      <c r="I19" s="20"/>
      <c r="J19" s="20"/>
      <c r="K19" s="20"/>
    </row>
    <row r="20" spans="1:11" s="29" customFormat="1" ht="17" thickBot="1" x14ac:dyDescent="0.25">
      <c r="A20" s="29" t="s">
        <v>73</v>
      </c>
      <c r="B20" s="30" t="str">
        <f>B18</f>
        <v>steel</v>
      </c>
      <c r="C20" s="41">
        <f>C18</f>
        <v>0.56599999999999995</v>
      </c>
      <c r="D20" s="102">
        <f>D18</f>
        <v>0</v>
      </c>
      <c r="E20" s="41" t="str">
        <f>E18</f>
        <v>natural gas - IPCC</v>
      </c>
      <c r="F20" s="41"/>
      <c r="G20" s="41"/>
      <c r="H20" s="41"/>
      <c r="I20" s="41"/>
      <c r="J20" s="41"/>
      <c r="K20" s="41"/>
    </row>
    <row r="21" spans="1:11" s="39" customFormat="1" ht="16" x14ac:dyDescent="0.2">
      <c r="A21" s="21" t="s">
        <v>74</v>
      </c>
      <c r="B21" s="32" t="s">
        <v>132</v>
      </c>
      <c r="C21" s="61">
        <v>0.56599999999999995</v>
      </c>
      <c r="D21" s="100">
        <v>0</v>
      </c>
      <c r="E21" s="61" t="s">
        <v>59</v>
      </c>
      <c r="F21" s="20"/>
      <c r="G21" s="20"/>
      <c r="H21" s="20"/>
      <c r="I21" s="20"/>
      <c r="J21" s="20"/>
      <c r="K21" s="20"/>
    </row>
    <row r="22" spans="1:11" s="21" customFormat="1" ht="16" x14ac:dyDescent="0.2">
      <c r="A22" s="21" t="s">
        <v>75</v>
      </c>
      <c r="B22" s="25" t="str">
        <f>B21</f>
        <v>steel</v>
      </c>
      <c r="C22" s="20">
        <f>C21</f>
        <v>0.56599999999999995</v>
      </c>
      <c r="D22" s="101">
        <f>D21</f>
        <v>0</v>
      </c>
      <c r="E22" s="20" t="str">
        <f>E21</f>
        <v>natural gas - IPCC</v>
      </c>
      <c r="F22" s="20"/>
      <c r="G22" s="20"/>
      <c r="H22" s="20"/>
      <c r="I22" s="20"/>
      <c r="J22" s="20"/>
      <c r="K22" s="20"/>
    </row>
    <row r="23" spans="1:11" s="29" customFormat="1" ht="17" thickBot="1" x14ac:dyDescent="0.25">
      <c r="A23" s="29" t="s">
        <v>76</v>
      </c>
      <c r="B23" s="30" t="str">
        <f>B21</f>
        <v>steel</v>
      </c>
      <c r="C23" s="41">
        <f>C21</f>
        <v>0.56599999999999995</v>
      </c>
      <c r="D23" s="102">
        <f>D21</f>
        <v>0</v>
      </c>
      <c r="E23" s="41" t="str">
        <f>E21</f>
        <v>natural gas - IPCC</v>
      </c>
      <c r="F23" s="41"/>
      <c r="G23" s="41"/>
      <c r="H23" s="41"/>
      <c r="I23" s="41"/>
      <c r="J23" s="41"/>
      <c r="K23" s="41"/>
    </row>
    <row r="24" spans="1:11" s="21" customFormat="1" x14ac:dyDescent="0.2">
      <c r="A24" t="s">
        <v>133</v>
      </c>
      <c r="B24" s="21" t="s">
        <v>134</v>
      </c>
      <c r="C24" s="20">
        <f>C4</f>
        <v>0.56599999999999995</v>
      </c>
      <c r="D24" s="20">
        <v>0</v>
      </c>
      <c r="E24" s="20" t="str">
        <f>E4</f>
        <v>natural gas - IPCC</v>
      </c>
      <c r="F24" s="20"/>
      <c r="G24" s="20"/>
      <c r="H24" s="20"/>
      <c r="I24" s="20"/>
      <c r="J24" s="20"/>
      <c r="K24" s="20"/>
    </row>
    <row r="25" spans="1:11" s="39" customFormat="1" x14ac:dyDescent="0.2">
      <c r="A25" s="21" t="s">
        <v>145</v>
      </c>
      <c r="B25" s="21" t="s">
        <v>134</v>
      </c>
      <c r="C25" s="20">
        <f>C6</f>
        <v>0.56599999999999995</v>
      </c>
      <c r="D25" s="20">
        <f>D6</f>
        <v>0</v>
      </c>
      <c r="E25" s="20" t="str">
        <f>E6</f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">
      <c r="A26" s="27" t="s">
        <v>148</v>
      </c>
      <c r="B26" s="21" t="s">
        <v>134</v>
      </c>
      <c r="C26" s="21">
        <f>C4</f>
        <v>0.56599999999999995</v>
      </c>
      <c r="D26" s="20">
        <f>D7</f>
        <v>0</v>
      </c>
      <c r="E26" s="20" t="str">
        <f>E7</f>
        <v>natural gas - IPCC</v>
      </c>
      <c r="F26" s="20"/>
      <c r="G26" s="20"/>
      <c r="H26" s="20"/>
      <c r="I26" s="20"/>
      <c r="J26" s="20"/>
      <c r="K26" s="20"/>
    </row>
    <row r="27" spans="1:11" s="21" customFormat="1" x14ac:dyDescent="0.2">
      <c r="A27" s="27" t="s">
        <v>149</v>
      </c>
      <c r="B27" s="21" t="s">
        <v>134</v>
      </c>
      <c r="C27" s="21">
        <f>C6</f>
        <v>0.56599999999999995</v>
      </c>
      <c r="D27" s="20">
        <f t="shared" ref="D27:E27" si="2">D8</f>
        <v>0</v>
      </c>
      <c r="E27" s="20" t="str">
        <f t="shared" si="2"/>
        <v>natural gas - IPCC</v>
      </c>
      <c r="F27" s="20"/>
      <c r="G27" s="20"/>
      <c r="H27" s="20"/>
      <c r="I27" s="20"/>
      <c r="J27" s="20"/>
      <c r="K27" s="20"/>
    </row>
    <row r="28" spans="1:11" s="39" customFormat="1" x14ac:dyDescent="0.2">
      <c r="A28" s="27" t="s">
        <v>171</v>
      </c>
      <c r="B28" s="21" t="s">
        <v>134</v>
      </c>
      <c r="C28" s="21">
        <f t="shared" ref="C28:C29" si="3">C8</f>
        <v>0.56599999999999995</v>
      </c>
      <c r="D28" s="20">
        <v>0</v>
      </c>
      <c r="E28" s="20" t="str">
        <f t="shared" ref="E28" si="4">E10</f>
        <v>natural gas - IPCC</v>
      </c>
      <c r="F28" s="20"/>
      <c r="G28" s="20"/>
      <c r="H28" s="20"/>
      <c r="I28" s="20"/>
      <c r="J28" s="20"/>
      <c r="K28" s="20"/>
    </row>
    <row r="29" spans="1:11" s="21" customFormat="1" x14ac:dyDescent="0.2">
      <c r="A29" s="27" t="s">
        <v>172</v>
      </c>
      <c r="B29" s="21" t="s">
        <v>134</v>
      </c>
      <c r="C29" s="21">
        <f t="shared" si="3"/>
        <v>0.56599999999999995</v>
      </c>
      <c r="D29" s="20">
        <v>0</v>
      </c>
      <c r="E29" s="20" t="str">
        <f t="shared" ref="E29" si="5">E11</f>
        <v>natural gas - IPCC</v>
      </c>
      <c r="F29" s="20"/>
      <c r="G29" s="20"/>
      <c r="H29" s="20"/>
      <c r="I29" s="20"/>
      <c r="J29" s="20"/>
      <c r="K29" s="20"/>
    </row>
    <row r="30" spans="1:11" s="21" customFormat="1" x14ac:dyDescent="0.2">
      <c r="A30" s="27" t="s">
        <v>161</v>
      </c>
      <c r="B30" s="27" t="s">
        <v>162</v>
      </c>
      <c r="C30" s="21">
        <f>C7</f>
        <v>0.56599999999999995</v>
      </c>
      <c r="D30" s="20">
        <v>1</v>
      </c>
      <c r="E30" s="47" t="s">
        <v>166</v>
      </c>
      <c r="F30" s="20"/>
      <c r="G30" s="20"/>
      <c r="H30" s="20"/>
      <c r="I30" s="20"/>
      <c r="J30" s="20"/>
      <c r="K30" s="20"/>
    </row>
    <row r="31" spans="1:11" s="21" customFormat="1" x14ac:dyDescent="0.2">
      <c r="A31" s="27" t="s">
        <v>173</v>
      </c>
      <c r="B31" s="27" t="s">
        <v>162</v>
      </c>
      <c r="C31" s="21">
        <f t="shared" ref="C31:C40" si="6">C10</f>
        <v>0.56599999999999995</v>
      </c>
      <c r="D31" s="20">
        <v>1</v>
      </c>
      <c r="E31" s="20" t="str">
        <f t="shared" ref="E31" si="7">E12</f>
        <v>natural gas - IPCC</v>
      </c>
      <c r="F31" s="20"/>
      <c r="G31" s="20"/>
      <c r="H31" s="20"/>
      <c r="I31" s="20"/>
      <c r="J31" s="20"/>
      <c r="K31" s="20"/>
    </row>
    <row r="32" spans="1:11" s="21" customFormat="1" x14ac:dyDescent="0.2">
      <c r="A32" s="27" t="s">
        <v>174</v>
      </c>
      <c r="B32" s="27" t="s">
        <v>162</v>
      </c>
      <c r="C32" s="21">
        <f t="shared" si="6"/>
        <v>0.56599999999999995</v>
      </c>
      <c r="D32" s="20">
        <v>1</v>
      </c>
      <c r="E32" s="20" t="str">
        <f t="shared" ref="E32:E41" si="8">E13</f>
        <v>natural gas - IPCC</v>
      </c>
      <c r="F32" s="20"/>
      <c r="G32" s="20"/>
      <c r="H32" s="20"/>
      <c r="I32" s="20"/>
      <c r="J32" s="20"/>
      <c r="K32" s="20"/>
    </row>
    <row r="33" spans="1:11" s="150" customFormat="1" ht="16" x14ac:dyDescent="0.2">
      <c r="A33" s="152" t="s">
        <v>183</v>
      </c>
      <c r="B33" s="147" t="s">
        <v>181</v>
      </c>
      <c r="C33" s="148">
        <v>1</v>
      </c>
      <c r="D33" s="149">
        <v>0</v>
      </c>
      <c r="E33" s="160" t="s">
        <v>202</v>
      </c>
      <c r="F33" s="149"/>
      <c r="G33" s="149"/>
      <c r="H33" s="149"/>
      <c r="I33" s="149"/>
      <c r="J33" s="149"/>
      <c r="K33" s="149"/>
    </row>
    <row r="34" spans="1:11" s="39" customFormat="1" ht="16" x14ac:dyDescent="0.2">
      <c r="A34" s="153" t="s">
        <v>194</v>
      </c>
      <c r="B34" s="27" t="s">
        <v>181</v>
      </c>
      <c r="C34" s="21">
        <v>1</v>
      </c>
      <c r="D34" s="20">
        <v>0</v>
      </c>
      <c r="E34" s="160" t="s">
        <v>202</v>
      </c>
      <c r="F34" s="20"/>
      <c r="G34" s="20"/>
      <c r="H34" s="20"/>
      <c r="I34" s="20"/>
      <c r="J34" s="20"/>
      <c r="K34" s="20"/>
    </row>
    <row r="35" spans="1:11" x14ac:dyDescent="0.2">
      <c r="A35" s="27" t="s">
        <v>184</v>
      </c>
      <c r="B35" s="147" t="s">
        <v>181</v>
      </c>
      <c r="C35" s="148">
        <f t="shared" si="6"/>
        <v>0.56599999999999995</v>
      </c>
      <c r="D35" s="149">
        <v>0</v>
      </c>
      <c r="E35" s="149" t="str">
        <f t="shared" si="8"/>
        <v>natural gas - IPCC</v>
      </c>
    </row>
    <row r="36" spans="1:11" s="61" customFormat="1" x14ac:dyDescent="0.2">
      <c r="A36" s="27" t="s">
        <v>196</v>
      </c>
      <c r="B36" s="27" t="s">
        <v>181</v>
      </c>
      <c r="C36" s="21">
        <f t="shared" si="6"/>
        <v>0.56599999999999995</v>
      </c>
      <c r="D36" s="20">
        <v>0</v>
      </c>
      <c r="E36" s="20" t="str">
        <f t="shared" si="8"/>
        <v>natural gas - IPCC</v>
      </c>
      <c r="F36" s="20"/>
      <c r="G36" s="20"/>
      <c r="H36" s="20"/>
      <c r="I36" s="20"/>
      <c r="J36" s="20"/>
      <c r="K36" s="20"/>
    </row>
    <row r="37" spans="1:11" x14ac:dyDescent="0.2">
      <c r="A37" s="27" t="s">
        <v>186</v>
      </c>
      <c r="B37" s="147" t="s">
        <v>181</v>
      </c>
      <c r="C37" s="148">
        <f t="shared" si="6"/>
        <v>0.56599999999999995</v>
      </c>
      <c r="D37" s="149">
        <v>0</v>
      </c>
      <c r="E37" s="149" t="str">
        <f t="shared" si="8"/>
        <v>natural gas - IPCC</v>
      </c>
    </row>
    <row r="38" spans="1:11" x14ac:dyDescent="0.2">
      <c r="A38" s="27" t="s">
        <v>198</v>
      </c>
      <c r="B38" s="147" t="s">
        <v>181</v>
      </c>
      <c r="C38" s="148">
        <f t="shared" si="6"/>
        <v>0.56599999999999995</v>
      </c>
      <c r="D38" s="149">
        <v>0</v>
      </c>
      <c r="E38" s="149" t="str">
        <f t="shared" si="8"/>
        <v>natural gas - IPCC</v>
      </c>
    </row>
    <row r="39" spans="1:11" s="61" customFormat="1" x14ac:dyDescent="0.2">
      <c r="A39" s="27" t="s">
        <v>199</v>
      </c>
      <c r="B39" s="27" t="s">
        <v>181</v>
      </c>
      <c r="C39" s="21">
        <f t="shared" si="6"/>
        <v>0.56599999999999995</v>
      </c>
      <c r="D39" s="20">
        <v>0</v>
      </c>
      <c r="E39" s="20" t="str">
        <f t="shared" si="8"/>
        <v>natural gas - IPCC</v>
      </c>
      <c r="F39" s="20"/>
      <c r="G39" s="20"/>
      <c r="H39" s="20"/>
      <c r="I39" s="20"/>
      <c r="J39" s="20"/>
      <c r="K39" s="20"/>
    </row>
    <row r="40" spans="1:11" s="61" customFormat="1" x14ac:dyDescent="0.2">
      <c r="A40" s="27" t="s">
        <v>200</v>
      </c>
      <c r="B40" s="27" t="s">
        <v>181</v>
      </c>
      <c r="C40" s="21">
        <f t="shared" si="6"/>
        <v>0.56599999999999995</v>
      </c>
      <c r="D40" s="20">
        <v>0</v>
      </c>
      <c r="E40" s="20" t="str">
        <f t="shared" si="8"/>
        <v>natural gas - IPCC</v>
      </c>
      <c r="F40" s="20"/>
      <c r="G40" s="20"/>
      <c r="H40" s="20"/>
      <c r="I40" s="20"/>
      <c r="J40" s="20"/>
      <c r="K40" s="20"/>
    </row>
    <row r="41" spans="1:11" x14ac:dyDescent="0.2">
      <c r="A41" s="27" t="s">
        <v>203</v>
      </c>
      <c r="B41" s="27" t="s">
        <v>132</v>
      </c>
      <c r="C41" s="20">
        <v>0.41</v>
      </c>
      <c r="D41" s="20">
        <v>0</v>
      </c>
      <c r="E41" s="20" t="str">
        <f t="shared" si="8"/>
        <v>natural gas - IPCC</v>
      </c>
    </row>
    <row r="42" spans="1:11" ht="14.25" customHeight="1" x14ac:dyDescent="0.2"/>
    <row r="44" spans="1:11" s="61" customFormat="1" x14ac:dyDescent="0.2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2801-7AA7-1B40-897D-136340C88BD2}">
  <dimension ref="A1:K38"/>
  <sheetViews>
    <sheetView topLeftCell="A8" zoomScale="130" zoomScaleNormal="130" workbookViewId="0">
      <selection activeCell="E27" sqref="E27:E28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5" style="20" customWidth="1"/>
    <col min="4" max="4" width="10.832031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131</v>
      </c>
      <c r="C1" s="68" t="s">
        <v>29</v>
      </c>
      <c r="D1" s="68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8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">
      <c r="A5" s="21" t="s">
        <v>100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">
      <c r="A6" s="21" t="s">
        <v>101</v>
      </c>
      <c r="C6" s="47">
        <f>C4</f>
        <v>0.56599999999999995</v>
      </c>
      <c r="D6" s="89">
        <v>0</v>
      </c>
      <c r="E6" s="47" t="str">
        <f>E4</f>
        <v>natural gas - IPCC</v>
      </c>
    </row>
    <row r="7" spans="1:11" s="41" customFormat="1" ht="16" thickBot="1" x14ac:dyDescent="0.25">
      <c r="A7" s="29" t="s">
        <v>99</v>
      </c>
      <c r="B7" s="29"/>
      <c r="C7" s="41">
        <f>C4</f>
        <v>0.56599999999999995</v>
      </c>
      <c r="D7" s="42">
        <v>0</v>
      </c>
      <c r="E7" s="81" t="str">
        <f>E4</f>
        <v>natural gas - IPCC</v>
      </c>
    </row>
    <row r="8" spans="1:11" s="39" customFormat="1" ht="16" x14ac:dyDescent="0.2">
      <c r="A8" s="32" t="s">
        <v>77</v>
      </c>
      <c r="B8" s="32" t="s">
        <v>132</v>
      </c>
      <c r="C8" s="61">
        <v>0.56599999999999995</v>
      </c>
      <c r="D8" s="100">
        <v>0</v>
      </c>
      <c r="E8" s="61" t="s">
        <v>59</v>
      </c>
    </row>
    <row r="9" spans="1:11" s="21" customFormat="1" ht="16" x14ac:dyDescent="0.2">
      <c r="A9" s="25" t="s">
        <v>78</v>
      </c>
      <c r="B9" s="25" t="str">
        <f>B8</f>
        <v>steel</v>
      </c>
      <c r="C9" s="61">
        <v>0.56599999999999995</v>
      </c>
      <c r="D9" s="101">
        <f t="shared" ref="D9:E10" si="0">D$8</f>
        <v>0</v>
      </c>
      <c r="E9" s="21" t="str">
        <f>E8</f>
        <v>natural gas - IPCC</v>
      </c>
    </row>
    <row r="10" spans="1:11" s="29" customFormat="1" ht="17" thickBot="1" x14ac:dyDescent="0.25">
      <c r="A10" s="30" t="s">
        <v>81</v>
      </c>
      <c r="B10" s="30" t="str">
        <f>B8</f>
        <v>steel</v>
      </c>
      <c r="C10" s="62">
        <v>0.56599999999999995</v>
      </c>
      <c r="D10" s="102">
        <f t="shared" si="0"/>
        <v>0</v>
      </c>
      <c r="E10" s="41" t="str">
        <f t="shared" si="0"/>
        <v>natural gas - IPCC</v>
      </c>
    </row>
    <row r="11" spans="1:11" s="21" customFormat="1" ht="16" x14ac:dyDescent="0.2">
      <c r="A11" s="32" t="s">
        <v>62</v>
      </c>
      <c r="B11" s="32" t="s">
        <v>132</v>
      </c>
      <c r="C11" s="61">
        <v>0.56599999999999995</v>
      </c>
      <c r="D11" s="100">
        <v>0</v>
      </c>
      <c r="E11" s="61" t="s">
        <v>59</v>
      </c>
      <c r="F11" s="61"/>
      <c r="G11" s="61"/>
      <c r="H11" s="61"/>
      <c r="I11" s="61"/>
      <c r="J11" s="61"/>
      <c r="K11" s="61"/>
    </row>
    <row r="12" spans="1:11" s="39" customFormat="1" ht="16" x14ac:dyDescent="0.2">
      <c r="A12" s="51" t="s">
        <v>79</v>
      </c>
      <c r="B12" s="25" t="str">
        <f>B11</f>
        <v>steel</v>
      </c>
      <c r="C12" s="20">
        <f>C11</f>
        <v>0.56599999999999995</v>
      </c>
      <c r="D12" s="101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7" thickBot="1" x14ac:dyDescent="0.25">
      <c r="A13" s="53" t="s">
        <v>82</v>
      </c>
      <c r="B13" s="30" t="str">
        <f>B11</f>
        <v>steel</v>
      </c>
      <c r="C13" s="41">
        <f>C11</f>
        <v>0.56599999999999995</v>
      </c>
      <c r="D13" s="102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ht="16" x14ac:dyDescent="0.2">
      <c r="A14" s="52" t="s">
        <v>63</v>
      </c>
      <c r="B14" s="32" t="s">
        <v>132</v>
      </c>
      <c r="C14" s="61">
        <v>0.56599999999999995</v>
      </c>
      <c r="D14" s="100">
        <v>0</v>
      </c>
      <c r="E14" s="61" t="s">
        <v>59</v>
      </c>
      <c r="F14" s="61"/>
      <c r="G14" s="61"/>
      <c r="H14" s="61"/>
      <c r="I14" s="61"/>
      <c r="J14" s="61"/>
      <c r="K14" s="61"/>
    </row>
    <row r="15" spans="1:11" s="21" customFormat="1" ht="16" x14ac:dyDescent="0.2">
      <c r="A15" s="46" t="s">
        <v>80</v>
      </c>
      <c r="B15" s="25" t="str">
        <f>B14</f>
        <v>steel</v>
      </c>
      <c r="C15" s="20">
        <f>C14</f>
        <v>0.56599999999999995</v>
      </c>
      <c r="D15" s="101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6" customFormat="1" ht="17" thickBot="1" x14ac:dyDescent="0.25">
      <c r="A16" s="53" t="s">
        <v>83</v>
      </c>
      <c r="B16" s="30" t="str">
        <f>B14</f>
        <v>steel</v>
      </c>
      <c r="C16" s="41">
        <f>C14</f>
        <v>0.56599999999999995</v>
      </c>
      <c r="D16" s="102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ht="16" x14ac:dyDescent="0.2">
      <c r="A17" s="21" t="s">
        <v>71</v>
      </c>
      <c r="B17" s="32" t="s">
        <v>132</v>
      </c>
      <c r="C17" s="61">
        <v>0.56599999999999995</v>
      </c>
      <c r="D17" s="100">
        <v>0</v>
      </c>
      <c r="E17" s="61" t="s">
        <v>59</v>
      </c>
      <c r="F17" s="20"/>
      <c r="G17" s="20"/>
      <c r="H17" s="20"/>
      <c r="I17" s="20"/>
      <c r="J17" s="20"/>
      <c r="K17" s="20"/>
    </row>
    <row r="18" spans="1:11" s="21" customFormat="1" ht="16" x14ac:dyDescent="0.2">
      <c r="A18" s="21" t="s">
        <v>72</v>
      </c>
      <c r="B18" s="25" t="str">
        <f>B17</f>
        <v>steel</v>
      </c>
      <c r="C18" s="20">
        <f>C17</f>
        <v>0.56599999999999995</v>
      </c>
      <c r="D18" s="101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7" thickBot="1" x14ac:dyDescent="0.25">
      <c r="A19" s="29" t="s">
        <v>73</v>
      </c>
      <c r="B19" s="30" t="str">
        <f>B17</f>
        <v>steel</v>
      </c>
      <c r="C19" s="41">
        <f>C17</f>
        <v>0.56599999999999995</v>
      </c>
      <c r="D19" s="102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ht="16" x14ac:dyDescent="0.2">
      <c r="A20" s="21" t="s">
        <v>74</v>
      </c>
      <c r="B20" s="32" t="s">
        <v>132</v>
      </c>
      <c r="C20" s="61">
        <v>0.56599999999999995</v>
      </c>
      <c r="D20" s="100">
        <v>0</v>
      </c>
      <c r="E20" s="61" t="s">
        <v>59</v>
      </c>
      <c r="F20" s="20"/>
      <c r="G20" s="20"/>
      <c r="H20" s="20"/>
      <c r="I20" s="20"/>
      <c r="J20" s="20"/>
      <c r="K20" s="20"/>
    </row>
    <row r="21" spans="1:11" s="21" customFormat="1" ht="16" x14ac:dyDescent="0.2">
      <c r="A21" s="21" t="s">
        <v>75</v>
      </c>
      <c r="B21" s="25" t="str">
        <f>B20</f>
        <v>steel</v>
      </c>
      <c r="C21" s="20">
        <f>C20</f>
        <v>0.56599999999999995</v>
      </c>
      <c r="D21" s="101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7" thickBot="1" x14ac:dyDescent="0.25">
      <c r="A22" s="29" t="s">
        <v>76</v>
      </c>
      <c r="B22" s="30" t="str">
        <f>B20</f>
        <v>steel</v>
      </c>
      <c r="C22" s="41">
        <f>C20</f>
        <v>0.56599999999999995</v>
      </c>
      <c r="D22" s="102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">
      <c r="A23" s="27" t="s">
        <v>171</v>
      </c>
      <c r="B23" s="21" t="s">
        <v>134</v>
      </c>
      <c r="C23" s="21">
        <f t="shared" ref="C23:C26" si="1">C6</f>
        <v>0.56599999999999995</v>
      </c>
      <c r="D23" s="20">
        <f>D8</f>
        <v>0</v>
      </c>
      <c r="E23" s="20" t="str">
        <f>E8</f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">
      <c r="A24" s="27" t="s">
        <v>172</v>
      </c>
      <c r="B24" s="21" t="s">
        <v>134</v>
      </c>
      <c r="C24" s="21">
        <f t="shared" si="1"/>
        <v>0.56599999999999995</v>
      </c>
      <c r="D24" s="20">
        <f>D9</f>
        <v>0</v>
      </c>
      <c r="E24" s="20" t="str">
        <f>E9</f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">
      <c r="A25" s="27" t="s">
        <v>173</v>
      </c>
      <c r="B25" s="27" t="s">
        <v>162</v>
      </c>
      <c r="C25" s="21">
        <f t="shared" si="1"/>
        <v>0.56599999999999995</v>
      </c>
      <c r="D25" s="20">
        <v>0</v>
      </c>
      <c r="E25" s="20" t="str">
        <f>E10</f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">
      <c r="A26" s="27" t="s">
        <v>174</v>
      </c>
      <c r="B26" s="27" t="s">
        <v>162</v>
      </c>
      <c r="C26" s="21">
        <f t="shared" si="1"/>
        <v>0.56599999999999995</v>
      </c>
      <c r="D26" s="20">
        <v>0</v>
      </c>
      <c r="E26" s="20" t="str">
        <f>E11</f>
        <v>natural gas - IPCC</v>
      </c>
      <c r="F26" s="20"/>
      <c r="G26" s="20"/>
      <c r="H26" s="20"/>
      <c r="I26" s="20"/>
      <c r="J26" s="20"/>
      <c r="K26" s="20"/>
    </row>
    <row r="27" spans="1:11" s="21" customFormat="1" ht="16" x14ac:dyDescent="0.2">
      <c r="A27" s="147" t="s">
        <v>183</v>
      </c>
      <c r="B27" s="147" t="s">
        <v>181</v>
      </c>
      <c r="C27" s="148">
        <v>1</v>
      </c>
      <c r="D27" s="149">
        <v>0</v>
      </c>
      <c r="E27" s="160" t="s">
        <v>202</v>
      </c>
      <c r="F27" s="20"/>
      <c r="G27" s="20"/>
      <c r="H27" s="20"/>
      <c r="I27" s="20"/>
      <c r="J27" s="20"/>
      <c r="K27" s="20"/>
    </row>
    <row r="28" spans="1:11" s="39" customFormat="1" ht="16" x14ac:dyDescent="0.2">
      <c r="A28" s="27" t="s">
        <v>194</v>
      </c>
      <c r="B28" s="27" t="s">
        <v>181</v>
      </c>
      <c r="C28" s="21">
        <v>1</v>
      </c>
      <c r="D28" s="20">
        <v>0</v>
      </c>
      <c r="E28" s="160" t="s">
        <v>202</v>
      </c>
      <c r="F28" s="20"/>
      <c r="G28" s="20"/>
      <c r="H28" s="20"/>
      <c r="I28" s="20"/>
      <c r="J28" s="20"/>
      <c r="K28" s="20"/>
    </row>
    <row r="29" spans="1:11" x14ac:dyDescent="0.2">
      <c r="A29" s="27" t="s">
        <v>184</v>
      </c>
      <c r="B29" s="147" t="s">
        <v>181</v>
      </c>
      <c r="C29" s="148">
        <f>C8</f>
        <v>0.56599999999999995</v>
      </c>
      <c r="D29" s="149">
        <v>0</v>
      </c>
      <c r="E29" s="149" t="str">
        <f t="shared" ref="E29:E34" si="2">E10</f>
        <v>natural gas - IPCC</v>
      </c>
    </row>
    <row r="30" spans="1:11" s="61" customFormat="1" x14ac:dyDescent="0.2">
      <c r="A30" s="27" t="s">
        <v>196</v>
      </c>
      <c r="B30" s="27" t="s">
        <v>181</v>
      </c>
      <c r="C30" s="21">
        <f>C9</f>
        <v>0.56599999999999995</v>
      </c>
      <c r="D30" s="149">
        <v>0</v>
      </c>
      <c r="E30" s="20" t="str">
        <f t="shared" si="2"/>
        <v>natural gas - IPCC</v>
      </c>
      <c r="F30" s="20"/>
      <c r="G30" s="20"/>
      <c r="H30" s="20"/>
      <c r="I30" s="20"/>
      <c r="J30" s="20"/>
      <c r="K30" s="20"/>
    </row>
    <row r="31" spans="1:11" x14ac:dyDescent="0.2">
      <c r="A31" s="27" t="s">
        <v>186</v>
      </c>
      <c r="B31" s="27" t="s">
        <v>181</v>
      </c>
      <c r="C31" s="21">
        <v>0.3</v>
      </c>
      <c r="D31" s="149">
        <v>0</v>
      </c>
      <c r="E31" s="20" t="s">
        <v>187</v>
      </c>
    </row>
    <row r="32" spans="1:11" x14ac:dyDescent="0.2">
      <c r="A32" s="27" t="s">
        <v>198</v>
      </c>
      <c r="B32" s="147" t="s">
        <v>181</v>
      </c>
      <c r="C32" s="148">
        <f>C11</f>
        <v>0.56599999999999995</v>
      </c>
      <c r="D32" s="149">
        <v>0</v>
      </c>
      <c r="E32" s="149" t="str">
        <f t="shared" si="2"/>
        <v>natural gas - IPCC</v>
      </c>
    </row>
    <row r="33" spans="1:11" s="61" customFormat="1" x14ac:dyDescent="0.2">
      <c r="A33" s="27" t="s">
        <v>199</v>
      </c>
      <c r="B33" s="27" t="s">
        <v>181</v>
      </c>
      <c r="C33" s="21">
        <f>C12</f>
        <v>0.56599999999999995</v>
      </c>
      <c r="D33" s="149">
        <v>0</v>
      </c>
      <c r="E33" s="20" t="str">
        <f t="shared" si="2"/>
        <v>natural gas - IPCC</v>
      </c>
      <c r="F33" s="20"/>
      <c r="G33" s="20"/>
      <c r="H33" s="20"/>
      <c r="I33" s="20"/>
      <c r="J33" s="20"/>
      <c r="K33" s="20"/>
    </row>
    <row r="34" spans="1:11" s="61" customFormat="1" x14ac:dyDescent="0.2">
      <c r="A34" s="27" t="s">
        <v>200</v>
      </c>
      <c r="B34" s="27" t="s">
        <v>181</v>
      </c>
      <c r="C34" s="21">
        <f>C13</f>
        <v>0.56599999999999995</v>
      </c>
      <c r="D34" s="149">
        <v>0</v>
      </c>
      <c r="E34" s="20" t="str">
        <f t="shared" si="2"/>
        <v>natural gas - IPCC</v>
      </c>
      <c r="F34" s="20"/>
      <c r="G34" s="20"/>
      <c r="H34" s="20"/>
      <c r="I34" s="20"/>
      <c r="J34" s="20"/>
      <c r="K34" s="20"/>
    </row>
    <row r="36" spans="1:11" ht="14.25" customHeight="1" x14ac:dyDescent="0.2"/>
    <row r="38" spans="1:11" s="61" customFormat="1" x14ac:dyDescent="0.2">
      <c r="A38" s="21"/>
      <c r="B38" s="21"/>
      <c r="C38" s="20"/>
      <c r="D38" s="20"/>
      <c r="E38" s="20"/>
      <c r="F38" s="20"/>
      <c r="G38" s="20"/>
      <c r="H38" s="20"/>
      <c r="I38" s="20"/>
      <c r="J38" s="20"/>
      <c r="K38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0B11-4DB5-834C-8DA2-E8A2561E6528}">
  <dimension ref="A1:C6"/>
  <sheetViews>
    <sheetView topLeftCell="A2" zoomScaleNormal="100" workbookViewId="0">
      <selection activeCell="C17" sqref="C17"/>
    </sheetView>
  </sheetViews>
  <sheetFormatPr baseColWidth="10" defaultRowHeight="15" x14ac:dyDescent="0.2"/>
  <sheetData>
    <row r="1" spans="1:3" x14ac:dyDescent="0.2">
      <c r="A1" s="39" t="s">
        <v>0</v>
      </c>
      <c r="B1" s="39" t="s">
        <v>131</v>
      </c>
      <c r="C1" s="68" t="s">
        <v>188</v>
      </c>
    </row>
    <row r="2" spans="1:3" x14ac:dyDescent="0.2">
      <c r="A2" s="48" t="s">
        <v>1</v>
      </c>
      <c r="B2" s="48"/>
      <c r="C2" s="47" t="s">
        <v>189</v>
      </c>
    </row>
    <row r="3" spans="1:3" x14ac:dyDescent="0.2">
      <c r="A3" s="48" t="s">
        <v>2</v>
      </c>
      <c r="B3" s="48"/>
      <c r="C3" s="20"/>
    </row>
    <row r="4" spans="1:3" x14ac:dyDescent="0.2">
      <c r="A4" t="s">
        <v>183</v>
      </c>
      <c r="B4" t="s">
        <v>181</v>
      </c>
      <c r="C4">
        <v>0.25</v>
      </c>
    </row>
    <row r="5" spans="1:3" x14ac:dyDescent="0.2">
      <c r="A5" t="s">
        <v>194</v>
      </c>
      <c r="B5" t="s">
        <v>181</v>
      </c>
      <c r="C5">
        <v>0.25</v>
      </c>
    </row>
    <row r="6" spans="1:3" x14ac:dyDescent="0.2">
      <c r="A6" t="s">
        <v>3</v>
      </c>
      <c r="B6" t="s">
        <v>181</v>
      </c>
      <c r="C6"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109B-D612-BD4E-84F1-980C96FC6FD8}">
  <dimension ref="A1:J34"/>
  <sheetViews>
    <sheetView workbookViewId="0">
      <selection activeCell="E43" sqref="E43"/>
    </sheetView>
  </sheetViews>
  <sheetFormatPr baseColWidth="10" defaultColWidth="8.83203125" defaultRowHeight="15" x14ac:dyDescent="0.2"/>
  <cols>
    <col min="1" max="1" width="18.5" style="21" customWidth="1"/>
    <col min="2" max="2" width="12.33203125" style="21" customWidth="1"/>
    <col min="3" max="3" width="13.1640625" style="20" bestFit="1" customWidth="1"/>
    <col min="4" max="4" width="13.1640625" style="20" customWidth="1"/>
    <col min="5" max="5" width="17.33203125" style="20" customWidth="1"/>
    <col min="6" max="7" width="15.83203125" style="20" customWidth="1"/>
    <col min="8" max="8" width="15.83203125" style="47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39" t="s">
        <v>0</v>
      </c>
      <c r="B1" s="39" t="s">
        <v>131</v>
      </c>
      <c r="C1" s="68" t="s">
        <v>29</v>
      </c>
      <c r="D1" s="47" t="s">
        <v>64</v>
      </c>
      <c r="E1" s="21" t="s">
        <v>9</v>
      </c>
      <c r="F1" s="21" t="s">
        <v>10</v>
      </c>
      <c r="G1" s="21" t="s">
        <v>8</v>
      </c>
      <c r="H1" s="39" t="s">
        <v>6</v>
      </c>
      <c r="I1" s="39" t="s">
        <v>2</v>
      </c>
      <c r="J1" s="39" t="s">
        <v>60</v>
      </c>
    </row>
    <row r="2" spans="1:10" x14ac:dyDescent="0.2">
      <c r="A2" s="48" t="s">
        <v>1</v>
      </c>
      <c r="B2" s="48"/>
      <c r="C2" s="47" t="s">
        <v>66</v>
      </c>
      <c r="D2" s="47" t="s">
        <v>88</v>
      </c>
      <c r="H2" s="47" t="s">
        <v>67</v>
      </c>
    </row>
    <row r="3" spans="1:10" x14ac:dyDescent="0.2">
      <c r="A3" s="48" t="s">
        <v>2</v>
      </c>
      <c r="B3" s="48"/>
    </row>
    <row r="4" spans="1:10" s="29" customFormat="1" ht="16" thickBot="1" x14ac:dyDescent="0.25">
      <c r="A4" s="29" t="s">
        <v>3</v>
      </c>
      <c r="C4" s="69">
        <v>0.9</v>
      </c>
      <c r="D4" s="92">
        <v>0</v>
      </c>
      <c r="E4" s="39" t="s">
        <v>59</v>
      </c>
      <c r="F4" s="39">
        <v>0</v>
      </c>
      <c r="G4" t="s">
        <v>143</v>
      </c>
      <c r="H4" s="64">
        <f>(25.3/4.6668)*Ref!B$18</f>
        <v>1.9516585240421703E-2</v>
      </c>
      <c r="I4" s="41"/>
      <c r="J4" s="41"/>
    </row>
    <row r="5" spans="1:10" s="39" customFormat="1" ht="17.25" customHeight="1" x14ac:dyDescent="0.2">
      <c r="A5" s="32" t="s">
        <v>77</v>
      </c>
      <c r="B5" s="32" t="s">
        <v>132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143</v>
      </c>
      <c r="H5" s="64">
        <f>(25.3/4.6668)*Ref!B$18</f>
        <v>1.9516585240421703E-2</v>
      </c>
    </row>
    <row r="6" spans="1:10" ht="16" x14ac:dyDescent="0.2">
      <c r="A6" s="25" t="s">
        <v>78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143</v>
      </c>
      <c r="H6" s="64">
        <f>H5</f>
        <v>1.9516585240421703E-2</v>
      </c>
      <c r="I6" s="21"/>
      <c r="J6" s="21"/>
    </row>
    <row r="7" spans="1:10" s="29" customFormat="1" ht="15.75" customHeight="1" thickBot="1" x14ac:dyDescent="0.25">
      <c r="A7" s="30" t="s">
        <v>81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143</v>
      </c>
      <c r="H7" s="58">
        <f>H5</f>
        <v>1.9516585240421703E-2</v>
      </c>
    </row>
    <row r="8" spans="1:10" ht="15" customHeight="1" x14ac:dyDescent="0.2">
      <c r="A8" s="32" t="s">
        <v>62</v>
      </c>
      <c r="B8" s="32" t="s">
        <v>132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143</v>
      </c>
      <c r="H8" s="64">
        <f>(25.3/4.6668)*Ref!B$18</f>
        <v>1.9516585240421703E-2</v>
      </c>
    </row>
    <row r="9" spans="1:10" s="39" customFormat="1" ht="16" x14ac:dyDescent="0.2">
      <c r="A9" s="51" t="s">
        <v>79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143</v>
      </c>
      <c r="H9" s="64">
        <f>H8</f>
        <v>1.9516585240421703E-2</v>
      </c>
      <c r="I9" s="20"/>
      <c r="J9" s="20"/>
    </row>
    <row r="10" spans="1:10" s="29" customFormat="1" ht="17" thickBot="1" x14ac:dyDescent="0.25">
      <c r="A10" s="53" t="s">
        <v>82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143</v>
      </c>
      <c r="H10" s="58">
        <f>H8</f>
        <v>1.9516585240421703E-2</v>
      </c>
      <c r="I10" s="41"/>
      <c r="J10" s="41"/>
    </row>
    <row r="11" spans="1:10" ht="16" x14ac:dyDescent="0.2">
      <c r="A11" s="52" t="s">
        <v>63</v>
      </c>
      <c r="B11" s="32" t="s">
        <v>132</v>
      </c>
      <c r="C11" s="69">
        <v>0.9</v>
      </c>
      <c r="D11" s="92">
        <v>0</v>
      </c>
      <c r="E11" s="39" t="s">
        <v>59</v>
      </c>
      <c r="F11" s="39">
        <v>0</v>
      </c>
      <c r="G11" t="s">
        <v>143</v>
      </c>
      <c r="H11" s="64">
        <f>(25.3/4.6668)*Ref!B$18</f>
        <v>1.9516585240421703E-2</v>
      </c>
    </row>
    <row r="12" spans="1:10" ht="16.5" customHeight="1" x14ac:dyDescent="0.2">
      <c r="A12" s="46" t="s">
        <v>80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143</v>
      </c>
      <c r="H12" s="64">
        <f>H11</f>
        <v>1.9516585240421703E-2</v>
      </c>
    </row>
    <row r="13" spans="1:10" s="56" customFormat="1" ht="17" thickBot="1" x14ac:dyDescent="0.25">
      <c r="A13" s="53" t="s">
        <v>83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143</v>
      </c>
      <c r="H13" s="58">
        <f>H11</f>
        <v>1.9516585240421703E-2</v>
      </c>
      <c r="I13" s="41"/>
      <c r="J13" s="41"/>
    </row>
    <row r="14" spans="1:10" ht="16" x14ac:dyDescent="0.2">
      <c r="A14" s="21" t="s">
        <v>71</v>
      </c>
      <c r="B14" s="32" t="s">
        <v>132</v>
      </c>
      <c r="C14" s="69">
        <v>0.9</v>
      </c>
      <c r="D14" s="93">
        <v>0</v>
      </c>
      <c r="E14" s="39" t="s">
        <v>59</v>
      </c>
      <c r="F14" s="39">
        <v>0</v>
      </c>
      <c r="G14" t="s">
        <v>143</v>
      </c>
      <c r="H14" s="64">
        <f>(25.3/4.6668)*Ref!B$18</f>
        <v>1.9516585240421703E-2</v>
      </c>
      <c r="I14" s="21"/>
      <c r="J14" s="21"/>
    </row>
    <row r="15" spans="1:10" ht="16" x14ac:dyDescent="0.2">
      <c r="A15" s="21" t="s">
        <v>72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143</v>
      </c>
      <c r="H15" s="64">
        <f>H14</f>
        <v>1.9516585240421703E-2</v>
      </c>
    </row>
    <row r="16" spans="1:10" s="29" customFormat="1" ht="17" thickBot="1" x14ac:dyDescent="0.25">
      <c r="A16" s="29" t="s">
        <v>73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143</v>
      </c>
      <c r="H16" s="58">
        <f>H14</f>
        <v>1.9516585240421703E-2</v>
      </c>
      <c r="I16" s="41"/>
      <c r="J16" s="41"/>
    </row>
    <row r="17" spans="1:10" s="39" customFormat="1" ht="16" x14ac:dyDescent="0.2">
      <c r="A17" s="21" t="s">
        <v>74</v>
      </c>
      <c r="B17" s="32" t="s">
        <v>132</v>
      </c>
      <c r="C17" s="69">
        <v>0.9</v>
      </c>
      <c r="D17" s="93">
        <v>0</v>
      </c>
      <c r="E17" s="39" t="s">
        <v>59</v>
      </c>
      <c r="F17" s="39">
        <v>0</v>
      </c>
      <c r="G17" t="s">
        <v>143</v>
      </c>
      <c r="H17" s="64">
        <f>(25.3/4.6668)*Ref!B$18</f>
        <v>1.9516585240421703E-2</v>
      </c>
      <c r="I17" s="20"/>
      <c r="J17" s="20"/>
    </row>
    <row r="18" spans="1:10" ht="16" x14ac:dyDescent="0.2">
      <c r="A18" s="21" t="s">
        <v>75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143</v>
      </c>
      <c r="H18" s="64">
        <f>H17</f>
        <v>1.9516585240421703E-2</v>
      </c>
    </row>
    <row r="19" spans="1:10" s="29" customFormat="1" ht="17" thickBot="1" x14ac:dyDescent="0.25">
      <c r="A19" s="29" t="s">
        <v>76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143</v>
      </c>
      <c r="H19" s="58">
        <f>H17</f>
        <v>1.9516585240421703E-2</v>
      </c>
      <c r="I19" s="41"/>
      <c r="J19" s="41"/>
    </row>
    <row r="20" spans="1:10" x14ac:dyDescent="0.2">
      <c r="A20" t="s">
        <v>133</v>
      </c>
      <c r="B20" s="21" t="s">
        <v>134</v>
      </c>
      <c r="C20" s="10">
        <f>C4</f>
        <v>0.9</v>
      </c>
      <c r="D20" s="10">
        <f t="shared" ref="D20:H20" si="2">D4</f>
        <v>0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1.9516585240421703E-2</v>
      </c>
    </row>
    <row r="21" spans="1:10" s="39" customFormat="1" x14ac:dyDescent="0.2">
      <c r="A21" s="27" t="s">
        <v>148</v>
      </c>
      <c r="B21" s="21" t="s">
        <v>134</v>
      </c>
      <c r="C21" s="10">
        <f>C4</f>
        <v>0.9</v>
      </c>
      <c r="D21" s="10">
        <f t="shared" ref="D21:H21" si="3">D4</f>
        <v>0</v>
      </c>
      <c r="E21" s="10" t="str">
        <f t="shared" si="3"/>
        <v>natural gas - IPCC</v>
      </c>
      <c r="F21" s="10">
        <f t="shared" si="3"/>
        <v>0</v>
      </c>
      <c r="G21" s="10" t="str">
        <f t="shared" si="3"/>
        <v>dry wood chips (EU no swiss)</v>
      </c>
      <c r="H21" s="10">
        <f t="shared" si="3"/>
        <v>1.9516585240421703E-2</v>
      </c>
      <c r="I21" s="20"/>
      <c r="J21" s="20"/>
    </row>
    <row r="22" spans="1:10" x14ac:dyDescent="0.2">
      <c r="A22" s="27" t="s">
        <v>149</v>
      </c>
      <c r="B22" s="21" t="s">
        <v>134</v>
      </c>
      <c r="C22" s="10">
        <f>C4</f>
        <v>0.9</v>
      </c>
      <c r="D22" s="10">
        <f t="shared" ref="D22:H23" si="4">D4</f>
        <v>0</v>
      </c>
      <c r="E22" s="10" t="str">
        <f t="shared" si="4"/>
        <v>natural gas - IPCC</v>
      </c>
      <c r="F22" s="10">
        <v>1</v>
      </c>
      <c r="G22" s="10" t="str">
        <f t="shared" si="4"/>
        <v>dry wood chips (EU no swiss)</v>
      </c>
      <c r="H22" s="10">
        <f t="shared" si="4"/>
        <v>1.9516585240421703E-2</v>
      </c>
    </row>
    <row r="23" spans="1:10" s="148" customFormat="1" x14ac:dyDescent="0.2">
      <c r="A23" s="147" t="s">
        <v>161</v>
      </c>
      <c r="B23" s="147" t="s">
        <v>162</v>
      </c>
      <c r="C23" s="151">
        <f>C5</f>
        <v>0.9</v>
      </c>
      <c r="D23" s="151"/>
      <c r="E23" s="151" t="str">
        <f t="shared" si="4"/>
        <v>natural gas - IPCC</v>
      </c>
      <c r="F23" s="151">
        <v>1</v>
      </c>
      <c r="G23" s="151" t="str">
        <f t="shared" si="4"/>
        <v>dry wood chips (EU no swiss)</v>
      </c>
      <c r="H23" s="151">
        <f t="shared" si="4"/>
        <v>1.9516585240421703E-2</v>
      </c>
      <c r="I23" s="149"/>
      <c r="J23" s="149"/>
    </row>
    <row r="24" spans="1:10" x14ac:dyDescent="0.2">
      <c r="A24" s="27" t="s">
        <v>171</v>
      </c>
      <c r="B24" s="21" t="s">
        <v>134</v>
      </c>
      <c r="C24" s="10">
        <f>C$4</f>
        <v>0.9</v>
      </c>
      <c r="D24" s="10">
        <f t="shared" ref="D24:H27" si="5">D$4</f>
        <v>0</v>
      </c>
      <c r="E24" s="10" t="str">
        <f t="shared" si="5"/>
        <v>natural gas - IPCC</v>
      </c>
      <c r="F24" s="10">
        <f t="shared" si="5"/>
        <v>0</v>
      </c>
      <c r="G24" s="10" t="str">
        <f t="shared" si="5"/>
        <v>dry wood chips (EU no swiss)</v>
      </c>
      <c r="H24" s="10">
        <f t="shared" si="5"/>
        <v>1.9516585240421703E-2</v>
      </c>
    </row>
    <row r="25" spans="1:10" s="39" customFormat="1" x14ac:dyDescent="0.2">
      <c r="A25" s="27" t="s">
        <v>172</v>
      </c>
      <c r="B25" s="21" t="s">
        <v>134</v>
      </c>
      <c r="C25" s="10">
        <f t="shared" ref="C25:C27" si="6">C$4</f>
        <v>0.9</v>
      </c>
      <c r="D25" s="10">
        <f t="shared" si="5"/>
        <v>0</v>
      </c>
      <c r="E25" s="10" t="str">
        <f t="shared" si="5"/>
        <v>natural gas - IPCC</v>
      </c>
      <c r="F25" s="10">
        <v>1</v>
      </c>
      <c r="G25" s="10" t="str">
        <f t="shared" si="5"/>
        <v>dry wood chips (EU no swiss)</v>
      </c>
      <c r="H25" s="10">
        <f t="shared" si="5"/>
        <v>1.9516585240421703E-2</v>
      </c>
      <c r="I25" s="20"/>
      <c r="J25" s="20"/>
    </row>
    <row r="26" spans="1:10" x14ac:dyDescent="0.2">
      <c r="A26" s="27" t="s">
        <v>173</v>
      </c>
      <c r="B26" s="27" t="s">
        <v>162</v>
      </c>
      <c r="C26" s="10">
        <f t="shared" si="6"/>
        <v>0.9</v>
      </c>
      <c r="D26" s="10">
        <f t="shared" si="5"/>
        <v>0</v>
      </c>
      <c r="E26" s="10" t="str">
        <f t="shared" si="5"/>
        <v>natural gas - IPCC</v>
      </c>
      <c r="F26" s="10">
        <f t="shared" si="5"/>
        <v>0</v>
      </c>
      <c r="G26" s="10" t="str">
        <f t="shared" si="5"/>
        <v>dry wood chips (EU no swiss)</v>
      </c>
      <c r="H26" s="10">
        <f t="shared" si="5"/>
        <v>1.9516585240421703E-2</v>
      </c>
    </row>
    <row r="27" spans="1:10" ht="15.75" customHeight="1" x14ac:dyDescent="0.2">
      <c r="A27" s="27" t="s">
        <v>174</v>
      </c>
      <c r="B27" s="27" t="s">
        <v>162</v>
      </c>
      <c r="C27" s="10">
        <f t="shared" si="6"/>
        <v>0.9</v>
      </c>
      <c r="D27" s="10">
        <f t="shared" si="5"/>
        <v>0</v>
      </c>
      <c r="E27" s="10" t="str">
        <f t="shared" si="5"/>
        <v>natural gas - IPCC</v>
      </c>
      <c r="F27" s="10">
        <v>1</v>
      </c>
      <c r="G27" s="10" t="str">
        <f t="shared" si="5"/>
        <v>dry wood chips (EU no swiss)</v>
      </c>
      <c r="H27" s="10">
        <f t="shared" si="5"/>
        <v>1.9516585240421703E-2</v>
      </c>
    </row>
    <row r="28" spans="1:10" x14ac:dyDescent="0.2">
      <c r="A28" s="152" t="s">
        <v>183</v>
      </c>
      <c r="B28" s="147" t="s">
        <v>181</v>
      </c>
      <c r="C28" s="148">
        <f t="shared" ref="C28:C33" si="7">C7</f>
        <v>0.9</v>
      </c>
      <c r="D28" s="149">
        <v>0</v>
      </c>
      <c r="E28" s="149" t="str">
        <f t="shared" ref="E28:E33" si="8">E9</f>
        <v>natural gas - IPCC</v>
      </c>
      <c r="F28" s="151">
        <f t="shared" ref="F28:H34" si="9">F$4</f>
        <v>0</v>
      </c>
      <c r="G28" s="151" t="s">
        <v>195</v>
      </c>
      <c r="H28" s="151">
        <f t="shared" si="9"/>
        <v>1.9516585240421703E-2</v>
      </c>
    </row>
    <row r="29" spans="1:10" x14ac:dyDescent="0.2">
      <c r="A29" s="153" t="s">
        <v>194</v>
      </c>
      <c r="B29" s="27" t="s">
        <v>181</v>
      </c>
      <c r="C29" s="21">
        <f t="shared" si="7"/>
        <v>0.9</v>
      </c>
      <c r="D29" s="149">
        <v>0</v>
      </c>
      <c r="E29" s="20" t="str">
        <f t="shared" si="8"/>
        <v>natural gas - IPCC</v>
      </c>
      <c r="F29" s="10">
        <v>1</v>
      </c>
      <c r="G29" s="151" t="s">
        <v>195</v>
      </c>
      <c r="H29" s="10">
        <f t="shared" si="9"/>
        <v>1.9516585240421703E-2</v>
      </c>
    </row>
    <row r="30" spans="1:10" x14ac:dyDescent="0.2">
      <c r="A30" s="27" t="s">
        <v>184</v>
      </c>
      <c r="B30" s="147" t="s">
        <v>181</v>
      </c>
      <c r="C30" s="148">
        <f t="shared" si="7"/>
        <v>0.9</v>
      </c>
      <c r="D30" s="149">
        <v>0</v>
      </c>
      <c r="E30" s="149" t="str">
        <f t="shared" si="8"/>
        <v>natural gas - IPCC</v>
      </c>
      <c r="F30" s="151">
        <f t="shared" si="9"/>
        <v>0</v>
      </c>
      <c r="G30" s="151" t="s">
        <v>201</v>
      </c>
      <c r="H30" s="151">
        <f t="shared" si="9"/>
        <v>1.9516585240421703E-2</v>
      </c>
    </row>
    <row r="31" spans="1:10" x14ac:dyDescent="0.2">
      <c r="A31" s="27" t="s">
        <v>196</v>
      </c>
      <c r="B31" s="27" t="s">
        <v>181</v>
      </c>
      <c r="C31" s="21">
        <f t="shared" si="7"/>
        <v>0.9</v>
      </c>
      <c r="D31" s="149">
        <v>0</v>
      </c>
      <c r="E31" s="20" t="str">
        <f t="shared" si="8"/>
        <v>natural gas - IPCC</v>
      </c>
      <c r="F31" s="10">
        <v>1</v>
      </c>
      <c r="G31" s="151" t="s">
        <v>201</v>
      </c>
      <c r="H31" s="10">
        <f t="shared" si="9"/>
        <v>1.9516585240421703E-2</v>
      </c>
    </row>
    <row r="32" spans="1:10" x14ac:dyDescent="0.2">
      <c r="A32" s="27" t="s">
        <v>198</v>
      </c>
      <c r="B32" s="147" t="s">
        <v>181</v>
      </c>
      <c r="C32" s="148">
        <f t="shared" si="7"/>
        <v>0.9</v>
      </c>
      <c r="D32" s="149">
        <v>0</v>
      </c>
      <c r="E32" s="149" t="str">
        <f t="shared" si="8"/>
        <v>natural gas - IPCC</v>
      </c>
      <c r="F32" s="151">
        <f t="shared" si="9"/>
        <v>0</v>
      </c>
      <c r="G32" s="151" t="s">
        <v>195</v>
      </c>
      <c r="H32" s="151">
        <f t="shared" si="9"/>
        <v>1.9516585240421703E-2</v>
      </c>
    </row>
    <row r="33" spans="1:8" x14ac:dyDescent="0.2">
      <c r="A33" s="27" t="s">
        <v>199</v>
      </c>
      <c r="B33" s="27" t="s">
        <v>181</v>
      </c>
      <c r="C33" s="21">
        <f t="shared" si="7"/>
        <v>0.9</v>
      </c>
      <c r="D33" s="149">
        <v>0</v>
      </c>
      <c r="E33" s="20" t="str">
        <f t="shared" si="8"/>
        <v>natural gas - IPCC</v>
      </c>
      <c r="F33" s="10">
        <v>1</v>
      </c>
      <c r="G33" s="151" t="s">
        <v>195</v>
      </c>
      <c r="H33" s="10">
        <f t="shared" si="9"/>
        <v>1.9516585240421703E-2</v>
      </c>
    </row>
    <row r="34" spans="1:8" x14ac:dyDescent="0.2">
      <c r="A34" s="27" t="s">
        <v>200</v>
      </c>
      <c r="B34" s="27" t="s">
        <v>181</v>
      </c>
      <c r="C34" s="21">
        <f>C14</f>
        <v>0.9</v>
      </c>
      <c r="D34" s="149">
        <v>0</v>
      </c>
      <c r="E34" s="20" t="str">
        <f>E16</f>
        <v>natural gas - IPCC</v>
      </c>
      <c r="F34" s="10">
        <v>1</v>
      </c>
      <c r="G34" s="151" t="s">
        <v>201</v>
      </c>
      <c r="H34" s="10">
        <f t="shared" si="9"/>
        <v>1.9516585240421703E-2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4"/>
  <sheetViews>
    <sheetView workbookViewId="0">
      <selection activeCell="D48" sqref="D48"/>
    </sheetView>
  </sheetViews>
  <sheetFormatPr baseColWidth="10" defaultColWidth="8.83203125" defaultRowHeight="15" x14ac:dyDescent="0.2"/>
  <cols>
    <col min="1" max="1" width="18.5" style="21" customWidth="1"/>
    <col min="2" max="2" width="12.33203125" style="21" customWidth="1"/>
    <col min="3" max="3" width="13.1640625" style="20" bestFit="1" customWidth="1"/>
    <col min="4" max="4" width="13.1640625" style="20" customWidth="1"/>
    <col min="5" max="5" width="17.33203125" style="20" customWidth="1"/>
    <col min="6" max="7" width="15.83203125" style="20" customWidth="1"/>
    <col min="8" max="8" width="15.83203125" style="47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39" t="s">
        <v>0</v>
      </c>
      <c r="B1" s="39" t="s">
        <v>131</v>
      </c>
      <c r="C1" s="68" t="s">
        <v>29</v>
      </c>
      <c r="D1" s="47" t="s">
        <v>64</v>
      </c>
      <c r="E1" s="21" t="s">
        <v>9</v>
      </c>
      <c r="F1" s="21" t="s">
        <v>10</v>
      </c>
      <c r="G1" s="21" t="s">
        <v>8</v>
      </c>
      <c r="H1" s="39" t="s">
        <v>6</v>
      </c>
      <c r="I1" s="39" t="s">
        <v>2</v>
      </c>
      <c r="J1" s="39" t="s">
        <v>60</v>
      </c>
    </row>
    <row r="2" spans="1:10" x14ac:dyDescent="0.2">
      <c r="A2" s="48" t="s">
        <v>1</v>
      </c>
      <c r="B2" s="48"/>
      <c r="C2" s="47" t="s">
        <v>66</v>
      </c>
      <c r="D2" s="47" t="s">
        <v>88</v>
      </c>
      <c r="H2" s="47" t="s">
        <v>67</v>
      </c>
    </row>
    <row r="3" spans="1:10" x14ac:dyDescent="0.2">
      <c r="A3" s="48" t="s">
        <v>2</v>
      </c>
      <c r="B3" s="48"/>
    </row>
    <row r="4" spans="1:10" s="29" customFormat="1" ht="16" thickBot="1" x14ac:dyDescent="0.25">
      <c r="A4" s="29" t="s">
        <v>3</v>
      </c>
      <c r="C4" s="69">
        <v>0.9</v>
      </c>
      <c r="D4" s="92">
        <v>0</v>
      </c>
      <c r="E4" s="39" t="s">
        <v>59</v>
      </c>
      <c r="F4" s="39">
        <v>0</v>
      </c>
      <c r="G4" t="s">
        <v>143</v>
      </c>
      <c r="H4" s="64">
        <f>(25.3/4.6668)*Ref!B$18</f>
        <v>1.9516585240421703E-2</v>
      </c>
      <c r="I4" s="41"/>
      <c r="J4" s="41"/>
    </row>
    <row r="5" spans="1:10" s="39" customFormat="1" ht="17.25" customHeight="1" x14ac:dyDescent="0.2">
      <c r="A5" s="32" t="s">
        <v>77</v>
      </c>
      <c r="B5" s="32" t="s">
        <v>132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143</v>
      </c>
      <c r="H5" s="64">
        <f>(25.3/4.6668)*Ref!B$18</f>
        <v>1.9516585240421703E-2</v>
      </c>
    </row>
    <row r="6" spans="1:10" ht="16" x14ac:dyDescent="0.2">
      <c r="A6" s="25" t="s">
        <v>78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143</v>
      </c>
      <c r="H6" s="64">
        <f>H5</f>
        <v>1.9516585240421703E-2</v>
      </c>
      <c r="I6" s="21"/>
      <c r="J6" s="21"/>
    </row>
    <row r="7" spans="1:10" s="29" customFormat="1" ht="15.75" customHeight="1" thickBot="1" x14ac:dyDescent="0.25">
      <c r="A7" s="30" t="s">
        <v>81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143</v>
      </c>
      <c r="H7" s="58">
        <f>H5</f>
        <v>1.9516585240421703E-2</v>
      </c>
    </row>
    <row r="8" spans="1:10" ht="15" customHeight="1" x14ac:dyDescent="0.2">
      <c r="A8" s="32" t="s">
        <v>62</v>
      </c>
      <c r="B8" s="32" t="s">
        <v>132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143</v>
      </c>
      <c r="H8" s="64">
        <f>(25.3/4.6668)*Ref!B$18</f>
        <v>1.9516585240421703E-2</v>
      </c>
    </row>
    <row r="9" spans="1:10" s="39" customFormat="1" ht="16" x14ac:dyDescent="0.2">
      <c r="A9" s="51" t="s">
        <v>79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143</v>
      </c>
      <c r="H9" s="64">
        <f>H8</f>
        <v>1.9516585240421703E-2</v>
      </c>
      <c r="I9" s="20"/>
      <c r="J9" s="20"/>
    </row>
    <row r="10" spans="1:10" s="29" customFormat="1" ht="17" thickBot="1" x14ac:dyDescent="0.25">
      <c r="A10" s="53" t="s">
        <v>82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143</v>
      </c>
      <c r="H10" s="58">
        <f>H8</f>
        <v>1.9516585240421703E-2</v>
      </c>
      <c r="I10" s="41"/>
      <c r="J10" s="41"/>
    </row>
    <row r="11" spans="1:10" ht="16" x14ac:dyDescent="0.2">
      <c r="A11" s="52" t="s">
        <v>63</v>
      </c>
      <c r="B11" s="32" t="s">
        <v>132</v>
      </c>
      <c r="C11" s="69">
        <v>0.9</v>
      </c>
      <c r="D11" s="92">
        <v>0</v>
      </c>
      <c r="E11" s="39" t="s">
        <v>59</v>
      </c>
      <c r="F11" s="39">
        <v>0</v>
      </c>
      <c r="G11" t="s">
        <v>143</v>
      </c>
      <c r="H11" s="64">
        <f>(25.3/4.6668)*Ref!B$18</f>
        <v>1.9516585240421703E-2</v>
      </c>
    </row>
    <row r="12" spans="1:10" ht="16.5" customHeight="1" x14ac:dyDescent="0.2">
      <c r="A12" s="46" t="s">
        <v>80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143</v>
      </c>
      <c r="H12" s="64">
        <f>H11</f>
        <v>1.9516585240421703E-2</v>
      </c>
    </row>
    <row r="13" spans="1:10" s="56" customFormat="1" ht="17" thickBot="1" x14ac:dyDescent="0.25">
      <c r="A13" s="53" t="s">
        <v>83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143</v>
      </c>
      <c r="H13" s="58">
        <f>H11</f>
        <v>1.9516585240421703E-2</v>
      </c>
      <c r="I13" s="41"/>
      <c r="J13" s="41"/>
    </row>
    <row r="14" spans="1:10" ht="16" x14ac:dyDescent="0.2">
      <c r="A14" s="21" t="s">
        <v>71</v>
      </c>
      <c r="B14" s="32" t="s">
        <v>132</v>
      </c>
      <c r="C14" s="69">
        <v>0.9</v>
      </c>
      <c r="D14" s="93">
        <v>0</v>
      </c>
      <c r="E14" s="39" t="s">
        <v>59</v>
      </c>
      <c r="F14" s="39">
        <v>0</v>
      </c>
      <c r="G14" t="s">
        <v>143</v>
      </c>
      <c r="H14" s="64">
        <f>(25.3/4.6668)*Ref!B$18</f>
        <v>1.9516585240421703E-2</v>
      </c>
      <c r="I14" s="21"/>
      <c r="J14" s="21"/>
    </row>
    <row r="15" spans="1:10" ht="16" x14ac:dyDescent="0.2">
      <c r="A15" s="21" t="s">
        <v>72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143</v>
      </c>
      <c r="H15" s="64">
        <f>H14</f>
        <v>1.9516585240421703E-2</v>
      </c>
    </row>
    <row r="16" spans="1:10" s="29" customFormat="1" ht="17" thickBot="1" x14ac:dyDescent="0.25">
      <c r="A16" s="29" t="s">
        <v>73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143</v>
      </c>
      <c r="H16" s="58">
        <f>H14</f>
        <v>1.9516585240421703E-2</v>
      </c>
      <c r="I16" s="41"/>
      <c r="J16" s="41"/>
    </row>
    <row r="17" spans="1:10" s="39" customFormat="1" ht="16" x14ac:dyDescent="0.2">
      <c r="A17" s="21" t="s">
        <v>74</v>
      </c>
      <c r="B17" s="32" t="s">
        <v>132</v>
      </c>
      <c r="C17" s="69">
        <v>0.9</v>
      </c>
      <c r="D17" s="93">
        <v>0</v>
      </c>
      <c r="E17" s="39" t="s">
        <v>59</v>
      </c>
      <c r="F17" s="39">
        <v>0</v>
      </c>
      <c r="G17" t="s">
        <v>143</v>
      </c>
      <c r="H17" s="64">
        <f>(25.3/4.6668)*Ref!B$18</f>
        <v>1.9516585240421703E-2</v>
      </c>
      <c r="I17" s="20"/>
      <c r="J17" s="20"/>
    </row>
    <row r="18" spans="1:10" ht="16" x14ac:dyDescent="0.2">
      <c r="A18" s="21" t="s">
        <v>75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143</v>
      </c>
      <c r="H18" s="64">
        <f>H17</f>
        <v>1.9516585240421703E-2</v>
      </c>
    </row>
    <row r="19" spans="1:10" s="29" customFormat="1" ht="17" thickBot="1" x14ac:dyDescent="0.25">
      <c r="A19" s="29" t="s">
        <v>76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143</v>
      </c>
      <c r="H19" s="58">
        <f>H17</f>
        <v>1.9516585240421703E-2</v>
      </c>
      <c r="I19" s="41"/>
      <c r="J19" s="41"/>
    </row>
    <row r="20" spans="1:10" x14ac:dyDescent="0.2">
      <c r="A20" t="s">
        <v>133</v>
      </c>
      <c r="B20" s="21" t="s">
        <v>134</v>
      </c>
      <c r="C20" s="10">
        <f>C4</f>
        <v>0.9</v>
      </c>
      <c r="D20" s="10">
        <f t="shared" ref="D20:H20" si="2">D4</f>
        <v>0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1.9516585240421703E-2</v>
      </c>
    </row>
    <row r="21" spans="1:10" s="39" customFormat="1" x14ac:dyDescent="0.2">
      <c r="A21" s="27" t="s">
        <v>148</v>
      </c>
      <c r="B21" s="21" t="s">
        <v>134</v>
      </c>
      <c r="C21" s="10">
        <f>C4</f>
        <v>0.9</v>
      </c>
      <c r="D21" s="10">
        <f t="shared" ref="D21:H21" si="3">D4</f>
        <v>0</v>
      </c>
      <c r="E21" s="10" t="str">
        <f t="shared" si="3"/>
        <v>natural gas - IPCC</v>
      </c>
      <c r="F21" s="10">
        <f t="shared" si="3"/>
        <v>0</v>
      </c>
      <c r="G21" s="10" t="str">
        <f t="shared" si="3"/>
        <v>dry wood chips (EU no swiss)</v>
      </c>
      <c r="H21" s="10">
        <f t="shared" si="3"/>
        <v>1.9516585240421703E-2</v>
      </c>
      <c r="I21" s="20"/>
      <c r="J21" s="20"/>
    </row>
    <row r="22" spans="1:10" x14ac:dyDescent="0.2">
      <c r="A22" s="27" t="s">
        <v>149</v>
      </c>
      <c r="B22" s="21" t="s">
        <v>134</v>
      </c>
      <c r="C22" s="10">
        <f>C4</f>
        <v>0.9</v>
      </c>
      <c r="D22" s="10">
        <f t="shared" ref="D22:H23" si="4">D4</f>
        <v>0</v>
      </c>
      <c r="E22" s="10" t="str">
        <f t="shared" si="4"/>
        <v>natural gas - IPCC</v>
      </c>
      <c r="F22" s="10">
        <v>1</v>
      </c>
      <c r="G22" s="10" t="str">
        <f t="shared" si="4"/>
        <v>dry wood chips (EU no swiss)</v>
      </c>
      <c r="H22" s="10">
        <f t="shared" si="4"/>
        <v>1.9516585240421703E-2</v>
      </c>
    </row>
    <row r="23" spans="1:10" x14ac:dyDescent="0.2">
      <c r="A23" s="27" t="s">
        <v>161</v>
      </c>
      <c r="B23" s="27" t="s">
        <v>162</v>
      </c>
      <c r="C23" s="10">
        <f>C5</f>
        <v>0.9</v>
      </c>
      <c r="D23" s="10"/>
      <c r="E23" s="10" t="str">
        <f t="shared" si="4"/>
        <v>natural gas - IPCC</v>
      </c>
      <c r="F23" s="10">
        <v>1</v>
      </c>
      <c r="G23" s="10" t="str">
        <f t="shared" si="4"/>
        <v>dry wood chips (EU no swiss)</v>
      </c>
      <c r="H23" s="10">
        <f t="shared" si="4"/>
        <v>1.9516585240421703E-2</v>
      </c>
    </row>
    <row r="24" spans="1:10" x14ac:dyDescent="0.2">
      <c r="A24" s="27" t="s">
        <v>171</v>
      </c>
      <c r="B24" s="21" t="s">
        <v>134</v>
      </c>
      <c r="C24" s="10">
        <f>C$4</f>
        <v>0.9</v>
      </c>
      <c r="D24" s="10">
        <f t="shared" ref="D24:H34" si="5">D$4</f>
        <v>0</v>
      </c>
      <c r="E24" s="10" t="str">
        <f t="shared" si="5"/>
        <v>natural gas - IPCC</v>
      </c>
      <c r="F24" s="10">
        <f t="shared" si="5"/>
        <v>0</v>
      </c>
      <c r="G24" s="10" t="str">
        <f t="shared" si="5"/>
        <v>dry wood chips (EU no swiss)</v>
      </c>
      <c r="H24" s="10">
        <f t="shared" si="5"/>
        <v>1.9516585240421703E-2</v>
      </c>
    </row>
    <row r="25" spans="1:10" s="39" customFormat="1" x14ac:dyDescent="0.2">
      <c r="A25" s="27" t="s">
        <v>172</v>
      </c>
      <c r="B25" s="21" t="s">
        <v>134</v>
      </c>
      <c r="C25" s="10">
        <f t="shared" ref="C25:C27" si="6">C$4</f>
        <v>0.9</v>
      </c>
      <c r="D25" s="10">
        <f t="shared" si="5"/>
        <v>0</v>
      </c>
      <c r="E25" s="10" t="str">
        <f t="shared" si="5"/>
        <v>natural gas - IPCC</v>
      </c>
      <c r="F25" s="10">
        <v>1</v>
      </c>
      <c r="G25" s="10" t="str">
        <f t="shared" si="5"/>
        <v>dry wood chips (EU no swiss)</v>
      </c>
      <c r="H25" s="10">
        <f t="shared" si="5"/>
        <v>1.9516585240421703E-2</v>
      </c>
      <c r="I25" s="20"/>
      <c r="J25" s="20"/>
    </row>
    <row r="26" spans="1:10" x14ac:dyDescent="0.2">
      <c r="A26" s="27" t="s">
        <v>173</v>
      </c>
      <c r="B26" s="27" t="s">
        <v>162</v>
      </c>
      <c r="C26" s="10">
        <f t="shared" si="6"/>
        <v>0.9</v>
      </c>
      <c r="D26" s="10">
        <f t="shared" si="5"/>
        <v>0</v>
      </c>
      <c r="E26" s="10" t="str">
        <f t="shared" si="5"/>
        <v>natural gas - IPCC</v>
      </c>
      <c r="F26" s="10">
        <f t="shared" si="5"/>
        <v>0</v>
      </c>
      <c r="G26" s="10" t="str">
        <f t="shared" si="5"/>
        <v>dry wood chips (EU no swiss)</v>
      </c>
      <c r="H26" s="10">
        <f t="shared" si="5"/>
        <v>1.9516585240421703E-2</v>
      </c>
    </row>
    <row r="27" spans="1:10" ht="15.75" customHeight="1" x14ac:dyDescent="0.2">
      <c r="A27" s="27" t="s">
        <v>174</v>
      </c>
      <c r="B27" s="27" t="s">
        <v>162</v>
      </c>
      <c r="C27" s="10">
        <f t="shared" si="6"/>
        <v>0.9</v>
      </c>
      <c r="D27" s="10">
        <f t="shared" si="5"/>
        <v>0</v>
      </c>
      <c r="E27" s="10" t="str">
        <f t="shared" si="5"/>
        <v>natural gas - IPCC</v>
      </c>
      <c r="F27" s="10">
        <v>1</v>
      </c>
      <c r="G27" s="10" t="str">
        <f t="shared" si="5"/>
        <v>dry wood chips (EU no swiss)</v>
      </c>
      <c r="H27" s="10">
        <f t="shared" si="5"/>
        <v>1.9516585240421703E-2</v>
      </c>
    </row>
    <row r="28" spans="1:10" s="148" customFormat="1" x14ac:dyDescent="0.2">
      <c r="A28" s="152" t="s">
        <v>183</v>
      </c>
      <c r="B28" s="147" t="s">
        <v>181</v>
      </c>
      <c r="C28" s="148">
        <v>0.9</v>
      </c>
      <c r="D28" s="149">
        <v>0</v>
      </c>
      <c r="E28" s="149" t="str">
        <f t="shared" ref="E28:E34" si="7">E9</f>
        <v>natural gas - IPCC</v>
      </c>
      <c r="F28" s="151">
        <f t="shared" si="5"/>
        <v>0</v>
      </c>
      <c r="G28" s="151" t="s">
        <v>195</v>
      </c>
      <c r="H28" s="151">
        <f t="shared" si="5"/>
        <v>1.9516585240421703E-2</v>
      </c>
      <c r="I28" s="149"/>
      <c r="J28" s="149"/>
    </row>
    <row r="29" spans="1:10" x14ac:dyDescent="0.2">
      <c r="A29" s="153" t="s">
        <v>194</v>
      </c>
      <c r="B29" s="27" t="s">
        <v>181</v>
      </c>
      <c r="C29" s="21">
        <f>C8</f>
        <v>0.9</v>
      </c>
      <c r="D29" s="149">
        <v>0</v>
      </c>
      <c r="E29" s="20" t="str">
        <f t="shared" si="7"/>
        <v>natural gas - IPCC</v>
      </c>
      <c r="F29" s="10">
        <v>1</v>
      </c>
      <c r="G29" s="151" t="s">
        <v>195</v>
      </c>
      <c r="H29" s="10">
        <f t="shared" si="5"/>
        <v>1.9516585240421703E-2</v>
      </c>
    </row>
    <row r="30" spans="1:10" x14ac:dyDescent="0.2">
      <c r="A30" s="27" t="s">
        <v>184</v>
      </c>
      <c r="B30" s="147" t="s">
        <v>181</v>
      </c>
      <c r="C30" s="148">
        <v>0.9</v>
      </c>
      <c r="D30" s="149">
        <v>0</v>
      </c>
      <c r="E30" s="149" t="str">
        <f t="shared" si="7"/>
        <v>natural gas - IPCC</v>
      </c>
      <c r="F30" s="151">
        <f t="shared" si="5"/>
        <v>0</v>
      </c>
      <c r="G30" s="151" t="s">
        <v>201</v>
      </c>
      <c r="H30" s="151">
        <f t="shared" si="5"/>
        <v>1.9516585240421703E-2</v>
      </c>
    </row>
    <row r="31" spans="1:10" x14ac:dyDescent="0.2">
      <c r="A31" s="27" t="s">
        <v>196</v>
      </c>
      <c r="B31" s="27" t="s">
        <v>181</v>
      </c>
      <c r="C31" s="21">
        <f>C10</f>
        <v>0.9</v>
      </c>
      <c r="D31" s="149">
        <v>0</v>
      </c>
      <c r="E31" s="20" t="str">
        <f t="shared" si="7"/>
        <v>natural gas - IPCC</v>
      </c>
      <c r="F31" s="10">
        <v>1</v>
      </c>
      <c r="G31" s="151" t="s">
        <v>201</v>
      </c>
      <c r="H31" s="10">
        <f t="shared" si="5"/>
        <v>1.9516585240421703E-2</v>
      </c>
    </row>
    <row r="32" spans="1:10" x14ac:dyDescent="0.2">
      <c r="A32" s="27" t="s">
        <v>186</v>
      </c>
      <c r="B32" s="147" t="s">
        <v>181</v>
      </c>
      <c r="C32" s="148">
        <v>0.9</v>
      </c>
      <c r="D32" s="149">
        <v>0</v>
      </c>
      <c r="E32" s="149" t="str">
        <f t="shared" si="7"/>
        <v>natural gas - IPCC</v>
      </c>
      <c r="F32" s="151">
        <f t="shared" si="5"/>
        <v>0</v>
      </c>
      <c r="G32" s="151" t="s">
        <v>195</v>
      </c>
      <c r="H32" s="151">
        <f t="shared" si="5"/>
        <v>1.9516585240421703E-2</v>
      </c>
    </row>
    <row r="33" spans="1:8" x14ac:dyDescent="0.2">
      <c r="A33" s="27" t="s">
        <v>198</v>
      </c>
      <c r="B33" s="147" t="s">
        <v>181</v>
      </c>
      <c r="C33" s="148">
        <v>0.9</v>
      </c>
      <c r="D33" s="149">
        <v>0</v>
      </c>
      <c r="E33" s="149" t="str">
        <f t="shared" si="7"/>
        <v>natural gas - IPCC</v>
      </c>
      <c r="F33" s="151">
        <f t="shared" si="5"/>
        <v>0</v>
      </c>
      <c r="G33" s="151" t="s">
        <v>195</v>
      </c>
      <c r="H33" s="151">
        <f t="shared" si="5"/>
        <v>1.9516585240421703E-2</v>
      </c>
    </row>
    <row r="34" spans="1:8" x14ac:dyDescent="0.2">
      <c r="A34" s="27" t="s">
        <v>199</v>
      </c>
      <c r="B34" s="27" t="s">
        <v>181</v>
      </c>
      <c r="C34" s="21">
        <f>C13</f>
        <v>0.9</v>
      </c>
      <c r="D34" s="149">
        <v>0</v>
      </c>
      <c r="E34" s="20" t="str">
        <f t="shared" si="7"/>
        <v>natural gas - IPCC</v>
      </c>
      <c r="F34" s="10">
        <v>1</v>
      </c>
      <c r="G34" s="151" t="s">
        <v>195</v>
      </c>
      <c r="H34" s="10">
        <f t="shared" si="5"/>
        <v>1.9516585240421703E-2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C8D0-FA27-9E4D-81B1-A62D5381CDA0}">
  <dimension ref="A1:J34"/>
  <sheetViews>
    <sheetView workbookViewId="0">
      <selection activeCell="G44" sqref="G44"/>
    </sheetView>
  </sheetViews>
  <sheetFormatPr baseColWidth="10" defaultColWidth="8.83203125" defaultRowHeight="15" x14ac:dyDescent="0.2"/>
  <cols>
    <col min="1" max="1" width="18.5" style="21" customWidth="1"/>
    <col min="2" max="2" width="12.33203125" style="21" customWidth="1"/>
    <col min="3" max="3" width="13.1640625" style="20" bestFit="1" customWidth="1"/>
    <col min="4" max="4" width="13.1640625" style="20" customWidth="1"/>
    <col min="5" max="5" width="17.33203125" style="20" customWidth="1"/>
    <col min="6" max="7" width="15.83203125" style="20" customWidth="1"/>
    <col min="8" max="8" width="15.83203125" style="47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39" t="s">
        <v>0</v>
      </c>
      <c r="B1" s="39" t="s">
        <v>131</v>
      </c>
      <c r="C1" s="68" t="s">
        <v>29</v>
      </c>
      <c r="D1" s="47" t="s">
        <v>64</v>
      </c>
      <c r="E1" s="21" t="s">
        <v>9</v>
      </c>
      <c r="F1" s="21" t="s">
        <v>10</v>
      </c>
      <c r="G1" s="21" t="s">
        <v>8</v>
      </c>
      <c r="H1" s="39" t="s">
        <v>6</v>
      </c>
      <c r="I1" s="39" t="s">
        <v>2</v>
      </c>
      <c r="J1" s="39" t="s">
        <v>60</v>
      </c>
    </row>
    <row r="2" spans="1:10" x14ac:dyDescent="0.2">
      <c r="A2" s="48" t="s">
        <v>1</v>
      </c>
      <c r="B2" s="48"/>
      <c r="C2" s="47" t="s">
        <v>66</v>
      </c>
      <c r="D2" s="47" t="s">
        <v>88</v>
      </c>
      <c r="H2" s="47" t="s">
        <v>67</v>
      </c>
    </row>
    <row r="3" spans="1:10" x14ac:dyDescent="0.2">
      <c r="A3" s="48" t="s">
        <v>2</v>
      </c>
      <c r="B3" s="48"/>
    </row>
    <row r="4" spans="1:10" s="29" customFormat="1" ht="16" thickBot="1" x14ac:dyDescent="0.25">
      <c r="A4" s="29" t="s">
        <v>3</v>
      </c>
      <c r="C4" s="69">
        <v>0.9</v>
      </c>
      <c r="D4" s="92">
        <v>0</v>
      </c>
      <c r="E4" s="39" t="s">
        <v>59</v>
      </c>
      <c r="F4" s="39">
        <v>0</v>
      </c>
      <c r="G4" t="s">
        <v>143</v>
      </c>
      <c r="H4" s="64">
        <f>(25.3/4.6668)*Ref!B$18</f>
        <v>1.9516585240421703E-2</v>
      </c>
      <c r="I4" s="41"/>
      <c r="J4" s="41"/>
    </row>
    <row r="5" spans="1:10" s="39" customFormat="1" ht="17.25" customHeight="1" x14ac:dyDescent="0.2">
      <c r="A5" s="32" t="s">
        <v>77</v>
      </c>
      <c r="B5" s="32" t="s">
        <v>132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143</v>
      </c>
      <c r="H5" s="64">
        <f>(25.3/4.6668)*Ref!B$18</f>
        <v>1.9516585240421703E-2</v>
      </c>
    </row>
    <row r="6" spans="1:10" ht="16" x14ac:dyDescent="0.2">
      <c r="A6" s="25" t="s">
        <v>78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143</v>
      </c>
      <c r="H6" s="64">
        <f>H5</f>
        <v>1.9516585240421703E-2</v>
      </c>
      <c r="I6" s="21"/>
      <c r="J6" s="21"/>
    </row>
    <row r="7" spans="1:10" s="29" customFormat="1" ht="15.75" customHeight="1" thickBot="1" x14ac:dyDescent="0.25">
      <c r="A7" s="30" t="s">
        <v>81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143</v>
      </c>
      <c r="H7" s="58">
        <f>H5</f>
        <v>1.9516585240421703E-2</v>
      </c>
    </row>
    <row r="8" spans="1:10" ht="15" customHeight="1" x14ac:dyDescent="0.2">
      <c r="A8" s="32" t="s">
        <v>62</v>
      </c>
      <c r="B8" s="32" t="s">
        <v>132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143</v>
      </c>
      <c r="H8" s="64">
        <f>(25.3/4.6668)*Ref!B$18</f>
        <v>1.9516585240421703E-2</v>
      </c>
    </row>
    <row r="9" spans="1:10" s="39" customFormat="1" ht="16" x14ac:dyDescent="0.2">
      <c r="A9" s="51" t="s">
        <v>79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143</v>
      </c>
      <c r="H9" s="64">
        <f>H8</f>
        <v>1.9516585240421703E-2</v>
      </c>
      <c r="I9" s="20"/>
      <c r="J9" s="20"/>
    </row>
    <row r="10" spans="1:10" s="29" customFormat="1" ht="17" thickBot="1" x14ac:dyDescent="0.25">
      <c r="A10" s="53" t="s">
        <v>82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143</v>
      </c>
      <c r="H10" s="58">
        <f>H8</f>
        <v>1.9516585240421703E-2</v>
      </c>
      <c r="I10" s="41"/>
      <c r="J10" s="41"/>
    </row>
    <row r="11" spans="1:10" ht="16" x14ac:dyDescent="0.2">
      <c r="A11" s="52" t="s">
        <v>63</v>
      </c>
      <c r="B11" s="32" t="s">
        <v>132</v>
      </c>
      <c r="C11" s="69">
        <v>0.9</v>
      </c>
      <c r="D11" s="92">
        <v>0</v>
      </c>
      <c r="E11" s="39" t="s">
        <v>59</v>
      </c>
      <c r="F11" s="39">
        <v>0</v>
      </c>
      <c r="G11" t="s">
        <v>143</v>
      </c>
      <c r="H11" s="64">
        <f>(25.3/4.6668)*Ref!B$18</f>
        <v>1.9516585240421703E-2</v>
      </c>
    </row>
    <row r="12" spans="1:10" ht="16.5" customHeight="1" x14ac:dyDescent="0.2">
      <c r="A12" s="46" t="s">
        <v>80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143</v>
      </c>
      <c r="H12" s="64">
        <f>H11</f>
        <v>1.9516585240421703E-2</v>
      </c>
    </row>
    <row r="13" spans="1:10" s="56" customFormat="1" ht="17" thickBot="1" x14ac:dyDescent="0.25">
      <c r="A13" s="53" t="s">
        <v>83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143</v>
      </c>
      <c r="H13" s="58">
        <f>H11</f>
        <v>1.9516585240421703E-2</v>
      </c>
      <c r="I13" s="41"/>
      <c r="J13" s="41"/>
    </row>
    <row r="14" spans="1:10" ht="16" x14ac:dyDescent="0.2">
      <c r="A14" s="21" t="s">
        <v>71</v>
      </c>
      <c r="B14" s="32" t="s">
        <v>132</v>
      </c>
      <c r="C14" s="69">
        <v>0.9</v>
      </c>
      <c r="D14" s="93">
        <v>0</v>
      </c>
      <c r="E14" s="39" t="s">
        <v>59</v>
      </c>
      <c r="F14" s="39">
        <v>0</v>
      </c>
      <c r="G14" t="s">
        <v>143</v>
      </c>
      <c r="H14" s="64">
        <f>(25.3/4.6668)*Ref!B$18</f>
        <v>1.9516585240421703E-2</v>
      </c>
      <c r="I14" s="21"/>
      <c r="J14" s="21"/>
    </row>
    <row r="15" spans="1:10" ht="16" x14ac:dyDescent="0.2">
      <c r="A15" s="21" t="s">
        <v>72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143</v>
      </c>
      <c r="H15" s="64">
        <f>H14</f>
        <v>1.9516585240421703E-2</v>
      </c>
    </row>
    <row r="16" spans="1:10" s="29" customFormat="1" ht="17" thickBot="1" x14ac:dyDescent="0.25">
      <c r="A16" s="29" t="s">
        <v>73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143</v>
      </c>
      <c r="H16" s="58">
        <f>H14</f>
        <v>1.9516585240421703E-2</v>
      </c>
      <c r="I16" s="41"/>
      <c r="J16" s="41"/>
    </row>
    <row r="17" spans="1:10" s="39" customFormat="1" ht="16" x14ac:dyDescent="0.2">
      <c r="A17" s="21" t="s">
        <v>74</v>
      </c>
      <c r="B17" s="32" t="s">
        <v>132</v>
      </c>
      <c r="C17" s="69">
        <v>0.9</v>
      </c>
      <c r="D17" s="93">
        <v>0</v>
      </c>
      <c r="E17" s="39" t="s">
        <v>59</v>
      </c>
      <c r="F17" s="39">
        <v>0</v>
      </c>
      <c r="G17" t="s">
        <v>143</v>
      </c>
      <c r="H17" s="64">
        <f>(25.3/4.6668)*Ref!B$18</f>
        <v>1.9516585240421703E-2</v>
      </c>
      <c r="I17" s="20"/>
      <c r="J17" s="20"/>
    </row>
    <row r="18" spans="1:10" ht="16" x14ac:dyDescent="0.2">
      <c r="A18" s="21" t="s">
        <v>75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143</v>
      </c>
      <c r="H18" s="64">
        <f>H17</f>
        <v>1.9516585240421703E-2</v>
      </c>
    </row>
    <row r="19" spans="1:10" s="29" customFormat="1" ht="17" thickBot="1" x14ac:dyDescent="0.25">
      <c r="A19" s="29" t="s">
        <v>76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143</v>
      </c>
      <c r="H19" s="58">
        <f>H17</f>
        <v>1.9516585240421703E-2</v>
      </c>
      <c r="I19" s="41"/>
      <c r="J19" s="41"/>
    </row>
    <row r="20" spans="1:10" x14ac:dyDescent="0.2">
      <c r="A20" t="s">
        <v>133</v>
      </c>
      <c r="B20" s="21" t="s">
        <v>134</v>
      </c>
      <c r="C20" s="10">
        <f>C4</f>
        <v>0.9</v>
      </c>
      <c r="D20" s="10">
        <f t="shared" ref="D20:H20" si="2">D4</f>
        <v>0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1.9516585240421703E-2</v>
      </c>
    </row>
    <row r="21" spans="1:10" s="39" customFormat="1" x14ac:dyDescent="0.2">
      <c r="A21" s="27" t="s">
        <v>148</v>
      </c>
      <c r="B21" s="21" t="s">
        <v>134</v>
      </c>
      <c r="C21" s="10">
        <f>C4</f>
        <v>0.9</v>
      </c>
      <c r="D21" s="10">
        <f t="shared" ref="D21:H21" si="3">D4</f>
        <v>0</v>
      </c>
      <c r="E21" s="10" t="str">
        <f t="shared" si="3"/>
        <v>natural gas - IPCC</v>
      </c>
      <c r="F21" s="10">
        <f t="shared" si="3"/>
        <v>0</v>
      </c>
      <c r="G21" s="10" t="str">
        <f t="shared" si="3"/>
        <v>dry wood chips (EU no swiss)</v>
      </c>
      <c r="H21" s="10">
        <f t="shared" si="3"/>
        <v>1.9516585240421703E-2</v>
      </c>
      <c r="I21" s="20"/>
      <c r="J21" s="20"/>
    </row>
    <row r="22" spans="1:10" x14ac:dyDescent="0.2">
      <c r="A22" s="27" t="s">
        <v>149</v>
      </c>
      <c r="B22" s="21" t="s">
        <v>134</v>
      </c>
      <c r="C22" s="10">
        <f>C4</f>
        <v>0.9</v>
      </c>
      <c r="D22" s="10">
        <f t="shared" ref="D22:H23" si="4">D4</f>
        <v>0</v>
      </c>
      <c r="E22" s="10" t="str">
        <f t="shared" si="4"/>
        <v>natural gas - IPCC</v>
      </c>
      <c r="F22" s="10">
        <v>1</v>
      </c>
      <c r="G22" s="10" t="str">
        <f t="shared" si="4"/>
        <v>dry wood chips (EU no swiss)</v>
      </c>
      <c r="H22" s="10">
        <f t="shared" si="4"/>
        <v>1.9516585240421703E-2</v>
      </c>
    </row>
    <row r="23" spans="1:10" s="148" customFormat="1" x14ac:dyDescent="0.2">
      <c r="A23" s="147" t="s">
        <v>161</v>
      </c>
      <c r="B23" s="147" t="s">
        <v>162</v>
      </c>
      <c r="C23" s="151">
        <f>C5</f>
        <v>0.9</v>
      </c>
      <c r="D23" s="151"/>
      <c r="E23" s="151" t="str">
        <f t="shared" si="4"/>
        <v>natural gas - IPCC</v>
      </c>
      <c r="F23" s="151">
        <v>1</v>
      </c>
      <c r="G23" s="151" t="str">
        <f t="shared" si="4"/>
        <v>dry wood chips (EU no swiss)</v>
      </c>
      <c r="H23" s="151">
        <f t="shared" si="4"/>
        <v>1.9516585240421703E-2</v>
      </c>
      <c r="I23" s="149"/>
      <c r="J23" s="149"/>
    </row>
    <row r="24" spans="1:10" x14ac:dyDescent="0.2">
      <c r="A24" s="27" t="s">
        <v>171</v>
      </c>
      <c r="B24" s="21" t="s">
        <v>134</v>
      </c>
      <c r="C24" s="10">
        <f>C$4</f>
        <v>0.9</v>
      </c>
      <c r="D24" s="10">
        <f t="shared" ref="D24:H27" si="5">D$4</f>
        <v>0</v>
      </c>
      <c r="E24" s="10" t="str">
        <f t="shared" si="5"/>
        <v>natural gas - IPCC</v>
      </c>
      <c r="F24" s="10">
        <f t="shared" si="5"/>
        <v>0</v>
      </c>
      <c r="G24" s="10" t="str">
        <f t="shared" si="5"/>
        <v>dry wood chips (EU no swiss)</v>
      </c>
      <c r="H24" s="10">
        <f t="shared" si="5"/>
        <v>1.9516585240421703E-2</v>
      </c>
    </row>
    <row r="25" spans="1:10" s="39" customFormat="1" x14ac:dyDescent="0.2">
      <c r="A25" s="27" t="s">
        <v>172</v>
      </c>
      <c r="B25" s="21" t="s">
        <v>134</v>
      </c>
      <c r="C25" s="10">
        <f t="shared" ref="C25:C27" si="6">C$4</f>
        <v>0.9</v>
      </c>
      <c r="D25" s="10">
        <f t="shared" si="5"/>
        <v>0</v>
      </c>
      <c r="E25" s="10" t="str">
        <f t="shared" si="5"/>
        <v>natural gas - IPCC</v>
      </c>
      <c r="F25" s="10">
        <v>1</v>
      </c>
      <c r="G25" s="10" t="str">
        <f t="shared" si="5"/>
        <v>dry wood chips (EU no swiss)</v>
      </c>
      <c r="H25" s="10">
        <f t="shared" si="5"/>
        <v>1.9516585240421703E-2</v>
      </c>
      <c r="I25" s="20"/>
      <c r="J25" s="20"/>
    </row>
    <row r="26" spans="1:10" x14ac:dyDescent="0.2">
      <c r="A26" s="27" t="s">
        <v>173</v>
      </c>
      <c r="B26" s="27" t="s">
        <v>162</v>
      </c>
      <c r="C26" s="10">
        <f t="shared" si="6"/>
        <v>0.9</v>
      </c>
      <c r="D26" s="10">
        <f t="shared" si="5"/>
        <v>0</v>
      </c>
      <c r="E26" s="10" t="str">
        <f t="shared" si="5"/>
        <v>natural gas - IPCC</v>
      </c>
      <c r="F26" s="10">
        <f t="shared" si="5"/>
        <v>0</v>
      </c>
      <c r="G26" s="10" t="str">
        <f t="shared" si="5"/>
        <v>dry wood chips (EU no swiss)</v>
      </c>
      <c r="H26" s="10">
        <f t="shared" si="5"/>
        <v>1.9516585240421703E-2</v>
      </c>
    </row>
    <row r="27" spans="1:10" ht="15.75" customHeight="1" x14ac:dyDescent="0.2">
      <c r="A27" s="27" t="s">
        <v>174</v>
      </c>
      <c r="B27" s="27" t="s">
        <v>162</v>
      </c>
      <c r="C27" s="10">
        <f t="shared" si="6"/>
        <v>0.9</v>
      </c>
      <c r="D27" s="10">
        <f t="shared" si="5"/>
        <v>0</v>
      </c>
      <c r="E27" s="10" t="str">
        <f t="shared" si="5"/>
        <v>natural gas - IPCC</v>
      </c>
      <c r="F27" s="10">
        <v>1</v>
      </c>
      <c r="G27" s="10" t="str">
        <f t="shared" si="5"/>
        <v>dry wood chips (EU no swiss)</v>
      </c>
      <c r="H27" s="10">
        <f t="shared" si="5"/>
        <v>1.9516585240421703E-2</v>
      </c>
    </row>
    <row r="28" spans="1:10" x14ac:dyDescent="0.2">
      <c r="A28" s="152" t="s">
        <v>183</v>
      </c>
      <c r="B28" s="147" t="s">
        <v>181</v>
      </c>
      <c r="C28" s="148">
        <f t="shared" ref="C28:C33" si="7">C7</f>
        <v>0.9</v>
      </c>
      <c r="D28" s="149">
        <v>0</v>
      </c>
      <c r="E28" s="149" t="str">
        <f t="shared" ref="E28:E34" si="8">E9</f>
        <v>natural gas - IPCC</v>
      </c>
      <c r="F28" s="151">
        <v>1</v>
      </c>
      <c r="G28" s="151" t="s">
        <v>187</v>
      </c>
      <c r="H28" s="151">
        <f t="shared" ref="F28:H34" si="9">H$4</f>
        <v>1.9516585240421703E-2</v>
      </c>
    </row>
    <row r="29" spans="1:10" x14ac:dyDescent="0.2">
      <c r="A29" s="153" t="s">
        <v>194</v>
      </c>
      <c r="B29" s="27" t="s">
        <v>181</v>
      </c>
      <c r="C29" s="21">
        <f t="shared" si="7"/>
        <v>0.9</v>
      </c>
      <c r="D29" s="149">
        <v>0</v>
      </c>
      <c r="E29" s="20" t="str">
        <f t="shared" si="8"/>
        <v>natural gas - IPCC</v>
      </c>
      <c r="F29" s="10">
        <v>1</v>
      </c>
      <c r="G29" s="151" t="s">
        <v>187</v>
      </c>
      <c r="H29" s="10">
        <f t="shared" si="9"/>
        <v>1.9516585240421703E-2</v>
      </c>
    </row>
    <row r="30" spans="1:10" x14ac:dyDescent="0.2">
      <c r="A30" s="27" t="s">
        <v>184</v>
      </c>
      <c r="B30" s="147" t="s">
        <v>181</v>
      </c>
      <c r="C30" s="148">
        <f t="shared" si="7"/>
        <v>0.9</v>
      </c>
      <c r="D30" s="149">
        <v>0</v>
      </c>
      <c r="E30" s="149" t="str">
        <f t="shared" si="8"/>
        <v>natural gas - IPCC</v>
      </c>
      <c r="F30" s="151">
        <f t="shared" si="9"/>
        <v>0</v>
      </c>
      <c r="G30" s="151" t="s">
        <v>195</v>
      </c>
      <c r="H30" s="151">
        <f t="shared" si="9"/>
        <v>1.9516585240421703E-2</v>
      </c>
    </row>
    <row r="31" spans="1:10" x14ac:dyDescent="0.2">
      <c r="A31" s="27" t="s">
        <v>196</v>
      </c>
      <c r="B31" s="27" t="s">
        <v>181</v>
      </c>
      <c r="C31" s="21">
        <f t="shared" si="7"/>
        <v>0.9</v>
      </c>
      <c r="D31" s="149">
        <v>0</v>
      </c>
      <c r="E31" s="20" t="str">
        <f t="shared" si="8"/>
        <v>natural gas - IPCC</v>
      </c>
      <c r="F31" s="10">
        <v>1</v>
      </c>
      <c r="G31" s="151" t="s">
        <v>195</v>
      </c>
      <c r="H31" s="10">
        <f t="shared" si="9"/>
        <v>1.9516585240421703E-2</v>
      </c>
    </row>
    <row r="32" spans="1:10" x14ac:dyDescent="0.2">
      <c r="A32" s="27" t="s">
        <v>198</v>
      </c>
      <c r="B32" s="147" t="s">
        <v>181</v>
      </c>
      <c r="C32" s="148">
        <f t="shared" si="7"/>
        <v>0.9</v>
      </c>
      <c r="D32" s="149">
        <v>0</v>
      </c>
      <c r="E32" s="149" t="str">
        <f t="shared" si="8"/>
        <v>natural gas - IPCC</v>
      </c>
      <c r="F32" s="151">
        <f t="shared" si="9"/>
        <v>0</v>
      </c>
      <c r="G32" s="151" t="s">
        <v>195</v>
      </c>
      <c r="H32" s="151">
        <f t="shared" si="9"/>
        <v>1.9516585240421703E-2</v>
      </c>
    </row>
    <row r="33" spans="1:8" x14ac:dyDescent="0.2">
      <c r="A33" s="27" t="s">
        <v>199</v>
      </c>
      <c r="B33" s="27" t="s">
        <v>181</v>
      </c>
      <c r="C33" s="21">
        <f t="shared" si="7"/>
        <v>0.9</v>
      </c>
      <c r="D33" s="149">
        <v>0</v>
      </c>
      <c r="E33" s="20" t="str">
        <f t="shared" si="8"/>
        <v>natural gas - IPCC</v>
      </c>
      <c r="F33" s="10">
        <v>1</v>
      </c>
      <c r="G33" s="151" t="s">
        <v>195</v>
      </c>
      <c r="H33" s="10">
        <f t="shared" si="9"/>
        <v>1.9516585240421703E-2</v>
      </c>
    </row>
    <row r="34" spans="1:8" x14ac:dyDescent="0.2">
      <c r="A34" s="27" t="s">
        <v>200</v>
      </c>
      <c r="B34" s="27" t="s">
        <v>181</v>
      </c>
      <c r="C34" s="21">
        <f>C13</f>
        <v>0.9</v>
      </c>
      <c r="D34" s="149">
        <v>0</v>
      </c>
      <c r="E34" s="20" t="str">
        <f t="shared" si="8"/>
        <v>natural gas - IPCC</v>
      </c>
      <c r="F34" s="10">
        <v>1</v>
      </c>
      <c r="G34" s="151" t="s">
        <v>195</v>
      </c>
      <c r="H34" s="10">
        <f t="shared" si="9"/>
        <v>1.9516585240421703E-2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Lime</vt:lpstr>
      <vt:lpstr>Charcoal</vt:lpstr>
      <vt:lpstr>Oxygen</vt:lpstr>
      <vt:lpstr>Power</vt:lpstr>
      <vt:lpstr>Power CCS</vt:lpstr>
      <vt:lpstr>Power Steam</vt:lpstr>
      <vt:lpstr>Heat</vt:lpstr>
      <vt:lpstr>Heat CCS</vt:lpstr>
      <vt:lpstr>Heat Aux</vt:lpstr>
      <vt:lpstr>CO2 Capture</vt:lpstr>
      <vt:lpstr>CO2 Cap Aux</vt:lpstr>
      <vt:lpstr>CO2 release</vt:lpstr>
      <vt:lpstr>CO2 Compress</vt:lpstr>
      <vt:lpstr>CO2 Storage</vt:lpstr>
      <vt:lpstr>CLC Capture</vt:lpstr>
      <vt:lpstr>Syngas</vt:lpstr>
      <vt:lpstr>WWT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2021-08-12T13:27:46Z</dcterms:modified>
</cp:coreProperties>
</file>