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Acc-Carb-Paper/data/shared/"/>
    </mc:Choice>
  </mc:AlternateContent>
  <xr:revisionPtr revIDLastSave="0" documentId="13_ncr:1_{234995ED-72ED-AF4E-923B-8EF035FC2567}" xr6:coauthVersionLast="47" xr6:coauthVersionMax="47" xr10:uidLastSave="{00000000-0000-0000-0000-000000000000}"/>
  <bookViews>
    <workbookView xWindow="3940" yWindow="1660" windowWidth="31680" windowHeight="20060" xr2:uid="{00000000-000D-0000-FFFF-FFFF00000000}"/>
  </bookViews>
  <sheets>
    <sheet name="Fuels" sheetId="2" r:id="rId1"/>
  </sheets>
  <definedNames>
    <definedName name="fuels" localSheetId="0">Fuels!$A$1:$J$13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2" l="1"/>
  <c r="D44" i="2"/>
  <c r="D45" i="2"/>
  <c r="D41" i="2"/>
  <c r="K8" i="2"/>
  <c r="M6" i="2"/>
  <c r="K6" i="2"/>
  <c r="E6" i="2"/>
  <c r="I6" i="2"/>
  <c r="D14" i="2"/>
  <c r="D4" i="2"/>
  <c r="E25" i="2"/>
  <c r="E20" i="2"/>
  <c r="E19" i="2"/>
  <c r="E70" i="2"/>
  <c r="I70" i="2"/>
  <c r="E72" i="2"/>
  <c r="K7" i="2"/>
  <c r="M59" i="2"/>
  <c r="M14" i="2"/>
  <c r="M4" i="2"/>
  <c r="K4" i="2"/>
  <c r="M58" i="2"/>
  <c r="M13" i="2"/>
  <c r="K13" i="2"/>
  <c r="M12" i="2"/>
  <c r="M8" i="2"/>
  <c r="M5" i="2"/>
  <c r="K5" i="2"/>
  <c r="M11" i="2"/>
  <c r="K11" i="2"/>
  <c r="M25" i="2"/>
  <c r="M72" i="2"/>
  <c r="M70" i="2"/>
  <c r="M10" i="2"/>
  <c r="M7" i="2"/>
  <c r="M20" i="2"/>
  <c r="M19" i="2"/>
  <c r="M27" i="2"/>
  <c r="M26" i="2"/>
  <c r="K20" i="2"/>
  <c r="K19" i="2"/>
  <c r="H71" i="2"/>
  <c r="I72" i="2"/>
  <c r="I68" i="2"/>
  <c r="I67" i="2"/>
  <c r="I62" i="2"/>
  <c r="I24" i="2"/>
  <c r="I23" i="2"/>
  <c r="I22" i="2"/>
  <c r="I21" i="2"/>
  <c r="C71" i="2"/>
  <c r="E71" i="2"/>
  <c r="E48" i="2"/>
  <c r="I48" i="2"/>
  <c r="D38" i="2"/>
  <c r="D39" i="2"/>
  <c r="D12" i="2"/>
  <c r="T12" i="2"/>
  <c r="L27" i="2"/>
  <c r="L10" i="2"/>
  <c r="L8" i="2"/>
  <c r="L58" i="2"/>
  <c r="L59" i="2"/>
  <c r="L19" i="2"/>
  <c r="L70" i="2"/>
  <c r="L11" i="2"/>
  <c r="L12" i="2"/>
  <c r="L20" i="2"/>
  <c r="L72" i="2"/>
  <c r="L4" i="2"/>
  <c r="L26" i="2"/>
  <c r="L7" i="2"/>
  <c r="L25" i="2"/>
  <c r="L5" i="2"/>
  <c r="L13" i="2"/>
  <c r="L14" i="2"/>
  <c r="L6" i="2"/>
  <c r="G71" i="2"/>
  <c r="G6" i="2"/>
  <c r="M71" i="2"/>
  <c r="G70" i="2"/>
  <c r="G72" i="2"/>
  <c r="I71" i="2"/>
  <c r="D33" i="2"/>
  <c r="T14" i="2"/>
  <c r="C69" i="2"/>
  <c r="E69" i="2"/>
  <c r="I69" i="2"/>
  <c r="L71" i="2"/>
  <c r="F68" i="2"/>
  <c r="S68" i="2"/>
  <c r="D43" i="2"/>
  <c r="D42" i="2"/>
  <c r="D40" i="2"/>
  <c r="D36" i="2"/>
  <c r="D34" i="2"/>
  <c r="D32" i="2"/>
  <c r="D31" i="2"/>
  <c r="E64" i="2"/>
  <c r="D64" i="2"/>
  <c r="I64" i="2"/>
  <c r="G66" i="2"/>
  <c r="F66" i="2"/>
  <c r="E66" i="2"/>
  <c r="D66" i="2"/>
  <c r="I66" i="2"/>
  <c r="G65" i="2"/>
  <c r="F65" i="2"/>
  <c r="D65" i="2"/>
  <c r="E65" i="2"/>
  <c r="I65" i="2"/>
  <c r="G24" i="2"/>
  <c r="F23" i="2"/>
  <c r="G23" i="2"/>
  <c r="F22" i="2"/>
  <c r="F62" i="2"/>
  <c r="G21" i="2"/>
  <c r="G20" i="2"/>
  <c r="G64" i="2"/>
  <c r="F64" i="2"/>
  <c r="E10" i="2"/>
  <c r="G10" i="2"/>
  <c r="I10" i="2"/>
  <c r="C63" i="2"/>
  <c r="E61" i="2"/>
  <c r="F61" i="2"/>
  <c r="I61" i="2"/>
  <c r="E63" i="2"/>
  <c r="F63" i="2"/>
  <c r="I63" i="2"/>
  <c r="D59" i="2"/>
  <c r="D58" i="2"/>
  <c r="J49" i="2"/>
  <c r="E57" i="2"/>
  <c r="E50" i="2"/>
  <c r="D56" i="2"/>
  <c r="B51" i="2"/>
  <c r="C51" i="2"/>
  <c r="J51" i="2"/>
  <c r="J53" i="2"/>
  <c r="G48" i="2"/>
  <c r="E52" i="2"/>
  <c r="C53" i="2"/>
  <c r="B53" i="2"/>
  <c r="C49" i="2"/>
  <c r="B49" i="2"/>
  <c r="C47" i="2"/>
  <c r="B47" i="2"/>
  <c r="C46" i="2"/>
  <c r="B46" i="2"/>
  <c r="N24" i="2"/>
  <c r="N21" i="2"/>
  <c r="N20" i="2"/>
  <c r="N23" i="2"/>
  <c r="N22" i="2"/>
  <c r="D28" i="2"/>
  <c r="D54" i="2"/>
  <c r="E27" i="2"/>
  <c r="E26" i="2"/>
  <c r="B23" i="2"/>
  <c r="C23" i="2"/>
  <c r="S20" i="2"/>
  <c r="D5" i="2"/>
  <c r="E7" i="2"/>
  <c r="D9" i="2"/>
  <c r="D13" i="2"/>
  <c r="D11" i="2"/>
  <c r="E18" i="2"/>
  <c r="E47" i="2"/>
  <c r="M47" i="2"/>
  <c r="E46" i="2"/>
  <c r="M46" i="2"/>
  <c r="F18" i="2"/>
  <c r="I18" i="2"/>
  <c r="G7" i="2"/>
  <c r="I7" i="2"/>
  <c r="G50" i="2"/>
  <c r="I50" i="2"/>
  <c r="I19" i="2"/>
  <c r="G26" i="2"/>
  <c r="I26" i="2"/>
  <c r="F52" i="2"/>
  <c r="I52" i="2"/>
  <c r="G57" i="2"/>
  <c r="I57" i="2"/>
  <c r="G27" i="2"/>
  <c r="I27" i="2"/>
  <c r="N7" i="2"/>
  <c r="E53" i="2"/>
  <c r="N19" i="2"/>
  <c r="N18" i="2"/>
  <c r="N27" i="2"/>
  <c r="E51" i="2"/>
  <c r="N57" i="2"/>
  <c r="E49" i="2"/>
  <c r="I25" i="2"/>
  <c r="G19" i="2"/>
  <c r="N26" i="2"/>
  <c r="L46" i="2"/>
  <c r="L47" i="2"/>
  <c r="G46" i="2"/>
  <c r="I46" i="2"/>
  <c r="G47" i="2"/>
  <c r="I47" i="2"/>
  <c r="G51" i="2"/>
  <c r="I51" i="2"/>
  <c r="F53" i="2"/>
  <c r="I53" i="2"/>
  <c r="G49" i="2"/>
  <c r="I49" i="2"/>
  <c r="G25" i="2"/>
  <c r="N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20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22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  <comment ref="P61" authorId="0" shapeId="0" xr:uid="{CB9CBB76-1329-F94A-ADED-21F3EA4304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from Phyllis</t>
        </r>
      </text>
    </comment>
    <comment ref="C62" authorId="0" shapeId="0" xr:uid="{9890BA17-2744-FC4C-8812-4ED64684BD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97.3 GCal = 407.375 GJ / 16.527 t lignin + solids</t>
        </r>
      </text>
    </comment>
    <comment ref="E62" authorId="0" shapeId="0" xr:uid="{E0A1B808-5742-EC49-ABEC-8B0120CA29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937 kmol C = 1124 kg C * 44/12 = 41228 kg CO2 / 16527 kg lignin+solids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<sst xmlns="http://schemas.openxmlformats.org/spreadsheetml/2006/main" count="133" uniqueCount="113">
  <si>
    <t>meta-notes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</si>
  <si>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</si>
  <si>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</si>
  <si>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</si>
  <si>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</si>
  <si>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</si>
  <si>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</si>
  <si>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</si>
  <si>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</si>
  <si>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</si>
  <si>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</si>
  <si>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</si>
  <si>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</si>
  <si>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</si>
  <si>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</si>
  <si>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</si>
  <si>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</si>
  <si>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</si>
  <si>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</si>
  <si>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</si>
  <si>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</si>
  <si>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</si>
  <si>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</si>
  <si>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</si>
  <si>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</si>
  <si>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</si>
  <si>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</si>
  <si>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</si>
  <si>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</si>
  <si>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</si>
  <si>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</si>
  <si>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</si>
  <si>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</si>
  <si>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</si>
  <si>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</si>
  <si>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</si>
  <si>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</si>
  <si>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Debt CO2</t>
  </si>
  <si>
    <t>coal - CEMCAP</t>
  </si>
  <si>
    <t>syngas - NREL</t>
  </si>
  <si>
    <t>syngas - wood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</si>
  <si>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</si>
  <si>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</si>
  <si>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</si>
  <si>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</si>
  <si>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</si>
  <si>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</si>
  <si>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</si>
  <si>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</si>
  <si>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</si>
  <si>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</si>
  <si>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</si>
  <si>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</si>
  <si>
    <t>CO2__fossil</t>
  </si>
  <si>
    <t>CO2__bio</t>
  </si>
  <si>
    <t>charcoal - inhouse</t>
  </si>
  <si>
    <t>coal</t>
  </si>
  <si>
    <t>natural gas</t>
  </si>
  <si>
    <t>Steam</t>
  </si>
  <si>
    <t>stover lignin FAO</t>
  </si>
  <si>
    <t>stover lignin NREL</t>
  </si>
  <si>
    <t>lignin</t>
  </si>
  <si>
    <t>charcoal - Missouri</t>
  </si>
  <si>
    <t>contrib_CO2__bio-annual</t>
  </si>
  <si>
    <t>contrib_CO2__bio-long</t>
  </si>
  <si>
    <t>EU 2018 - 269g/kWh</t>
  </si>
  <si>
    <t>EU 2050 - 54g/kWh</t>
  </si>
  <si>
    <t>waste 2018</t>
  </si>
  <si>
    <t>waste 2050</t>
  </si>
  <si>
    <t>waste 2050 opt</t>
  </si>
  <si>
    <t>biomethane</t>
  </si>
  <si>
    <t xml:space="preserve"> </t>
  </si>
  <si>
    <t>t/gj</t>
  </si>
  <si>
    <t>360.7 g/kwh</t>
  </si>
  <si>
    <t>EU 2050 - 0g/kWh</t>
  </si>
  <si>
    <t>IEAGHG biomix</t>
  </si>
  <si>
    <t>IEAGHG alternative mix</t>
  </si>
  <si>
    <t>IEAGHG2013 + IPCC EFDB</t>
  </si>
  <si>
    <t xml:space="preserve">Assumed: 50% meal, 50% sewage, </t>
  </si>
  <si>
    <t>bioCO2 adjusted so numbers line up with IEAGHG report, if calculated with IPCC EFs: 0.194*(1.669*3/7)+0.117*0+0.12*0.508+0.596*(1.601*3/7)</t>
  </si>
  <si>
    <t>grid electricity 1000g/kWh</t>
  </si>
  <si>
    <t>grid electricity 0g/kWh</t>
  </si>
  <si>
    <t>grid electricity 100g/kWh</t>
  </si>
  <si>
    <t>grid electricity 200g/kWh</t>
  </si>
  <si>
    <t>grid electricity 360g/kWh</t>
  </si>
  <si>
    <t>grid electricity 400g/kWh</t>
  </si>
  <si>
    <t>grid electricity 800g/kWh</t>
  </si>
  <si>
    <t>grid electricity 600g/kWh</t>
  </si>
  <si>
    <t>natural gas - CEMCAP</t>
  </si>
  <si>
    <t>grid electricity 262g/kWh</t>
  </si>
  <si>
    <t>coal - IEAGHG</t>
  </si>
  <si>
    <t>wood pellets (dry)</t>
  </si>
  <si>
    <t>wood pellets (10% H20)</t>
  </si>
  <si>
    <t>NL electricity 390g/kWh</t>
  </si>
  <si>
    <t>% bio</t>
  </si>
  <si>
    <t>wood pellets, dry</t>
  </si>
  <si>
    <t>CO2__bio-fuel production</t>
  </si>
  <si>
    <t>CH4 (CO2eq)</t>
  </si>
  <si>
    <t>from IPCC EFDB</t>
  </si>
  <si>
    <t>Other GHGs (CO2eq)</t>
  </si>
  <si>
    <t>wood waste - IPCC</t>
  </si>
  <si>
    <t>grid electricity 0g-kWh</t>
  </si>
  <si>
    <t>grid electricity 800g-kWh</t>
  </si>
  <si>
    <t>grid electricity 400g-kWh</t>
  </si>
  <si>
    <t>with NOx scrubber</t>
  </si>
  <si>
    <t>grid electricity 54g/kWh</t>
  </si>
  <si>
    <t xml:space="preserve">N2O (CO2eq) 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</si>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</sst>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  <xf numFmtId="9" fontId="0" fillId="0" borderId="0" xfId="43" applyFont="1" applyAlignment="1">
      <alignment wrapText="1"/>
    </xf>
    <xf numFmtId="9" fontId="18" fillId="0" borderId="0" xfId="43" applyFont="1"/>
    <xf numFmtId="9" fontId="0" fillId="0" borderId="0" xfId="43" applyFont="1"/>
    <xf numFmtId="0" fontId="16" fillId="0" borderId="0" xfId="0" applyFont="1"/>
    <xf numFmtId="164" fontId="16" fillId="0" borderId="0" xfId="0" applyNumberFormat="1" applyFont="1"/>
    <xf numFmtId="9" fontId="16" fillId="0" borderId="0" xfId="43" applyFont="1"/>
    <xf numFmtId="165" fontId="16" fillId="0" borderId="0" xfId="0" applyNumberFormat="1" applyFont="1"/>
    <xf numFmtId="0" fontId="23" fillId="0" borderId="0" xfId="0" applyFont="1"/>
    <xf numFmtId="0" fontId="24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"/>
  <sheetViews>
    <sheetView tabSelected="1" zoomScaleNormal="10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G78" sqref="G78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18.33203125" customWidth="1"/>
    <col min="5" max="5" width="6.6640625" customWidth="1"/>
    <col min="6" max="8" width="11.83203125" customWidth="1"/>
    <col min="9" max="9" width="11.83203125" style="13" customWidth="1"/>
    <col min="10" max="14" width="8.5" customWidth="1"/>
    <col min="15" max="15" width="8.6640625" customWidth="1"/>
    <col min="16" max="16" width="6.33203125" customWidth="1"/>
    <col min="17" max="17" width="6.1640625" customWidth="1"/>
    <col min="18" max="18" width="6" customWidth="1"/>
    <col min="19" max="19" width="8" customWidth="1"/>
  </cols>
  <sheetData>
    <row r="1" spans="1:21" s="1" customFormat="1" ht="60" customHeight="1" x14ac:dyDescent="0.2">
      <c r="A1" s="1" t="s">
        <v>1</v>
      </c>
      <c r="B1" s="1" t="s">
        <v>2</v>
      </c>
      <c r="C1" s="1" t="s">
        <v>10</v>
      </c>
      <c r="D1" s="1" t="s">
        <v>53</v>
      </c>
      <c r="E1" s="1" t="s">
        <v>54</v>
      </c>
      <c r="F1" s="1" t="s">
        <v>63</v>
      </c>
      <c r="G1" s="1" t="s">
        <v>64</v>
      </c>
      <c r="H1" s="1" t="s">
        <v>96</v>
      </c>
      <c r="I1" s="11" t="s">
        <v>94</v>
      </c>
      <c r="J1" s="1" t="s">
        <v>5</v>
      </c>
      <c r="K1" s="1" t="s">
        <v>97</v>
      </c>
      <c r="L1" s="1" t="s">
        <v>99</v>
      </c>
      <c r="M1" s="1" t="s">
        <v>106</v>
      </c>
      <c r="N1" s="1" t="s">
        <v>37</v>
      </c>
      <c r="O1" s="3" t="s">
        <v>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0</v>
      </c>
      <c r="U1" s="1" t="s">
        <v>7</v>
      </c>
    </row>
    <row r="2" spans="1:21" x14ac:dyDescent="0.2">
      <c r="A2" s="2" t="s">
        <v>0</v>
      </c>
      <c r="B2" s="2"/>
      <c r="C2" s="2"/>
      <c r="D2" s="2"/>
      <c r="E2" s="2"/>
      <c r="F2" s="2"/>
      <c r="G2" s="2"/>
      <c r="H2" s="2"/>
      <c r="I2" s="12"/>
      <c r="J2" s="2"/>
      <c r="K2" s="2" t="s">
        <v>98</v>
      </c>
      <c r="L2" s="2" t="s">
        <v>104</v>
      </c>
      <c r="M2" s="2" t="s">
        <v>98</v>
      </c>
      <c r="N2" s="2">
        <v>0.3</v>
      </c>
      <c r="O2" s="2"/>
      <c r="P2" s="2"/>
      <c r="Q2" s="2"/>
      <c r="R2" s="2"/>
      <c r="S2" s="2"/>
      <c r="T2" s="2"/>
      <c r="U2" s="2"/>
    </row>
    <row r="3" spans="1:21" x14ac:dyDescent="0.2">
      <c r="A3" s="2" t="s">
        <v>3</v>
      </c>
      <c r="B3" s="2" t="s">
        <v>6</v>
      </c>
      <c r="C3" s="2" t="s">
        <v>11</v>
      </c>
      <c r="D3" s="2" t="s">
        <v>4</v>
      </c>
      <c r="E3" s="2"/>
      <c r="F3" s="2"/>
      <c r="G3" s="2"/>
      <c r="H3" s="2"/>
      <c r="I3" s="12"/>
      <c r="J3" s="2" t="s">
        <v>4</v>
      </c>
      <c r="K3" s="2"/>
      <c r="L3" s="2"/>
      <c r="M3" s="2"/>
      <c r="N3" s="2"/>
      <c r="O3" s="2" t="s">
        <v>9</v>
      </c>
      <c r="P3" s="2" t="s">
        <v>44</v>
      </c>
      <c r="Q3" s="2" t="s">
        <v>44</v>
      </c>
      <c r="R3" s="2" t="s">
        <v>44</v>
      </c>
      <c r="S3" s="2" t="s">
        <v>44</v>
      </c>
      <c r="T3" s="2"/>
      <c r="U3" s="2"/>
    </row>
    <row r="4" spans="1:21" s="14" customFormat="1" x14ac:dyDescent="0.2">
      <c r="A4" s="14" t="s">
        <v>19</v>
      </c>
      <c r="B4" s="14">
        <v>48</v>
      </c>
      <c r="C4" s="14">
        <v>48</v>
      </c>
      <c r="D4" s="14">
        <f>0.0561*C4</f>
        <v>2.6928000000000001</v>
      </c>
      <c r="E4" s="15"/>
      <c r="I4" s="16"/>
      <c r="K4" s="14">
        <f>0.000001*C4*25</f>
        <v>1.2000000000000001E-3</v>
      </c>
      <c r="L4" s="14">
        <f>M4*0.1</f>
        <v>1.4303999999999999E-4</v>
      </c>
      <c r="M4" s="17">
        <f>0.0000001*C4*298</f>
        <v>1.4303999999999999E-3</v>
      </c>
      <c r="P4" s="14">
        <v>0.73</v>
      </c>
      <c r="U4" s="14" t="s">
        <v>73</v>
      </c>
    </row>
    <row r="5" spans="1:21" s="18" customFormat="1" x14ac:dyDescent="0.2">
      <c r="A5" s="14" t="s">
        <v>27</v>
      </c>
      <c r="B5" s="14">
        <v>25.8</v>
      </c>
      <c r="C5" s="14">
        <v>25.8</v>
      </c>
      <c r="D5" s="14">
        <f>96.1*C5/1000</f>
        <v>2.4793799999999999</v>
      </c>
      <c r="E5" s="14"/>
      <c r="G5" s="14"/>
      <c r="H5" s="14"/>
      <c r="I5" s="16"/>
      <c r="J5" s="14"/>
      <c r="K5" s="14">
        <f>0.00001*C5*25</f>
        <v>6.4500000000000009E-3</v>
      </c>
      <c r="L5" s="14">
        <f t="shared" ref="L5:L8" si="0">M5*0.1</f>
        <v>1.1532600000000001E-3</v>
      </c>
      <c r="M5" s="17">
        <f>0.0000015*C5*298</f>
        <v>1.15326E-2</v>
      </c>
      <c r="N5" s="14"/>
      <c r="O5" s="14"/>
      <c r="P5" s="14">
        <v>0.67</v>
      </c>
      <c r="Q5" s="14"/>
      <c r="R5" s="14"/>
      <c r="T5" s="14"/>
      <c r="U5" s="14"/>
    </row>
    <row r="6" spans="1:21" s="14" customFormat="1" x14ac:dyDescent="0.2">
      <c r="A6" s="14" t="s">
        <v>100</v>
      </c>
      <c r="C6" s="14">
        <v>15.6</v>
      </c>
      <c r="D6" s="14">
        <v>0</v>
      </c>
      <c r="E6" s="14">
        <f>0.112*C6</f>
        <v>1.7472000000000001</v>
      </c>
      <c r="G6" s="14">
        <f>E6+H6</f>
        <v>1.7472000000000001</v>
      </c>
      <c r="I6" s="16">
        <f t="shared" ref="I6" si="1">E6/SUM(D6:E6)</f>
        <v>1</v>
      </c>
      <c r="K6" s="17">
        <f t="shared" ref="K6" si="2">0.000011*C6*25</f>
        <v>4.2899999999999995E-3</v>
      </c>
      <c r="L6" s="14">
        <f t="shared" si="0"/>
        <v>3.2541599999999999E-3</v>
      </c>
      <c r="M6" s="17">
        <f t="shared" ref="M6" si="3">0.000007*C6*298</f>
        <v>3.2541599999999997E-2</v>
      </c>
    </row>
    <row r="7" spans="1:21" s="18" customFormat="1" x14ac:dyDescent="0.2">
      <c r="A7" s="14" t="s">
        <v>22</v>
      </c>
      <c r="B7" s="14"/>
      <c r="C7" s="14">
        <v>29.5</v>
      </c>
      <c r="E7" s="14">
        <f>112*C7/1000</f>
        <v>3.3039999999999998</v>
      </c>
      <c r="G7" s="14">
        <f>E7</f>
        <v>3.3039999999999998</v>
      </c>
      <c r="H7" s="14"/>
      <c r="I7" s="16">
        <f t="shared" ref="I7:I70" si="4">E7/SUM(D7:E7)</f>
        <v>1</v>
      </c>
      <c r="J7" s="17"/>
      <c r="K7" s="17">
        <f>0.0002*C7*25</f>
        <v>0.14749999999999999</v>
      </c>
      <c r="L7" s="14">
        <f t="shared" si="0"/>
        <v>3.5164000000000003E-3</v>
      </c>
      <c r="M7" s="17">
        <f t="shared" ref="M7:M10" si="5">0.000004*C7*298</f>
        <v>3.5164000000000001E-2</v>
      </c>
      <c r="N7" s="17">
        <f>E7*$N$2</f>
        <v>0.99119999999999986</v>
      </c>
      <c r="O7" s="14"/>
      <c r="P7" s="14">
        <v>0.91</v>
      </c>
      <c r="Q7" s="14"/>
      <c r="R7" s="14"/>
      <c r="T7" s="14"/>
      <c r="U7" s="14" t="s">
        <v>20</v>
      </c>
    </row>
    <row r="8" spans="1:21" s="2" customFormat="1" x14ac:dyDescent="0.2">
      <c r="A8" t="s">
        <v>90</v>
      </c>
      <c r="B8">
        <v>26</v>
      </c>
      <c r="C8">
        <v>26</v>
      </c>
      <c r="D8">
        <v>2.4</v>
      </c>
      <c r="E8"/>
      <c r="G8"/>
      <c r="H8"/>
      <c r="I8" s="13"/>
      <c r="J8"/>
      <c r="K8">
        <f>0.00001*C8*25</f>
        <v>6.5000000000000006E-3</v>
      </c>
      <c r="L8" s="14">
        <f t="shared" si="0"/>
        <v>1.1622000000000002E-3</v>
      </c>
      <c r="M8" s="7">
        <f>0.0000015*C8*298</f>
        <v>1.1622E-2</v>
      </c>
      <c r="N8"/>
      <c r="O8"/>
      <c r="P8">
        <v>0.67</v>
      </c>
      <c r="Q8"/>
      <c r="R8"/>
      <c r="T8"/>
      <c r="U8"/>
    </row>
    <row r="9" spans="1:21" x14ac:dyDescent="0.2">
      <c r="A9" t="s">
        <v>17</v>
      </c>
      <c r="B9">
        <v>28.2</v>
      </c>
      <c r="C9">
        <v>28.2</v>
      </c>
      <c r="D9">
        <f>107*C9/1000</f>
        <v>3.0174000000000003</v>
      </c>
      <c r="P9">
        <v>0.83</v>
      </c>
    </row>
    <row r="10" spans="1:21" s="2" customFormat="1" x14ac:dyDescent="0.2">
      <c r="A10" t="s">
        <v>62</v>
      </c>
      <c r="B10"/>
      <c r="C10">
        <v>31.5</v>
      </c>
      <c r="E10">
        <f>112*C10/1000</f>
        <v>3.528</v>
      </c>
      <c r="G10">
        <f>E10</f>
        <v>3.528</v>
      </c>
      <c r="H10"/>
      <c r="I10" s="13">
        <f t="shared" si="4"/>
        <v>1</v>
      </c>
      <c r="J10" s="7"/>
      <c r="K10" s="7">
        <v>0</v>
      </c>
      <c r="L10" s="14">
        <f t="shared" ref="L10:L14" si="6">M10*0.1</f>
        <v>3.7548E-3</v>
      </c>
      <c r="M10" s="7">
        <f t="shared" si="5"/>
        <v>3.7547999999999998E-2</v>
      </c>
      <c r="N10" s="7"/>
      <c r="O10"/>
      <c r="P10">
        <v>0.92</v>
      </c>
      <c r="Q10"/>
      <c r="R10"/>
      <c r="T10"/>
      <c r="U10"/>
    </row>
    <row r="11" spans="1:21" s="2" customFormat="1" x14ac:dyDescent="0.2">
      <c r="A11" t="s">
        <v>26</v>
      </c>
      <c r="B11"/>
      <c r="C11">
        <v>26.7</v>
      </c>
      <c r="D11">
        <f>98.3*C11/1000</f>
        <v>2.6246099999999997</v>
      </c>
      <c r="E11"/>
      <c r="G11"/>
      <c r="H11"/>
      <c r="I11" s="13"/>
      <c r="J11"/>
      <c r="K11">
        <f>0.00001*C11*25</f>
        <v>6.6750000000000012E-3</v>
      </c>
      <c r="L11" s="14">
        <f t="shared" si="6"/>
        <v>1.1934900000000002E-3</v>
      </c>
      <c r="M11" s="7">
        <f>0.0000015*C11*298</f>
        <v>1.19349E-2</v>
      </c>
      <c r="N11"/>
      <c r="O11"/>
      <c r="P11">
        <v>0.67</v>
      </c>
      <c r="Q11"/>
      <c r="R11"/>
      <c r="T11"/>
      <c r="U11"/>
    </row>
    <row r="12" spans="1:21" s="2" customFormat="1" x14ac:dyDescent="0.2">
      <c r="A12" t="s">
        <v>38</v>
      </c>
      <c r="B12">
        <v>27.15</v>
      </c>
      <c r="C12">
        <v>27.15</v>
      </c>
      <c r="D12">
        <f>P12*44/12</f>
        <v>2.5299999999999998</v>
      </c>
      <c r="E12"/>
      <c r="G12"/>
      <c r="H12"/>
      <c r="I12" s="13"/>
      <c r="J12"/>
      <c r="K12" s="7">
        <v>0</v>
      </c>
      <c r="L12" s="14">
        <f t="shared" si="6"/>
        <v>1.2136050000000002E-3</v>
      </c>
      <c r="M12" s="7">
        <f t="shared" ref="M12:M13" si="7">0.0000015*C12*298</f>
        <v>1.2136050000000001E-2</v>
      </c>
      <c r="N12"/>
      <c r="O12"/>
      <c r="P12">
        <v>0.69</v>
      </c>
      <c r="Q12"/>
      <c r="R12"/>
      <c r="T12">
        <f>D12/C12</f>
        <v>9.3186003683241245E-2</v>
      </c>
      <c r="U12"/>
    </row>
    <row r="13" spans="1:21" x14ac:dyDescent="0.2">
      <c r="A13" t="s">
        <v>18</v>
      </c>
      <c r="B13">
        <v>28.2</v>
      </c>
      <c r="C13">
        <v>28.2</v>
      </c>
      <c r="D13">
        <f>94.6*C13/1000</f>
        <v>2.6677199999999996</v>
      </c>
      <c r="K13">
        <f t="shared" ref="K13" si="8">0.00001*C13*25</f>
        <v>7.0500000000000007E-3</v>
      </c>
      <c r="L13" s="14">
        <f t="shared" si="6"/>
        <v>1.2605400000000001E-3</v>
      </c>
      <c r="M13" s="7">
        <f t="shared" si="7"/>
        <v>1.2605399999999999E-2</v>
      </c>
      <c r="P13">
        <v>0.73</v>
      </c>
      <c r="U13" t="s">
        <v>16</v>
      </c>
    </row>
    <row r="14" spans="1:21" x14ac:dyDescent="0.2">
      <c r="A14" t="s">
        <v>88</v>
      </c>
      <c r="B14">
        <v>48</v>
      </c>
      <c r="C14">
        <v>48</v>
      </c>
      <c r="D14">
        <f>0.0561*C14</f>
        <v>2.6928000000000001</v>
      </c>
      <c r="E14" s="5"/>
      <c r="K14" s="7">
        <v>0</v>
      </c>
      <c r="L14" s="14">
        <f t="shared" si="6"/>
        <v>1.4303999999999999E-4</v>
      </c>
      <c r="M14" s="7">
        <f>0.0000001*C14*298</f>
        <v>1.4303999999999999E-3</v>
      </c>
      <c r="T14">
        <f>D14/C14</f>
        <v>5.6100000000000004E-2</v>
      </c>
    </row>
    <row r="15" spans="1:21" x14ac:dyDescent="0.2">
      <c r="A15" t="s">
        <v>28</v>
      </c>
      <c r="B15">
        <v>1</v>
      </c>
      <c r="C15">
        <v>1</v>
      </c>
      <c r="D15" s="5">
        <v>0</v>
      </c>
      <c r="E15" s="5"/>
      <c r="G15" s="5"/>
      <c r="H15" s="5"/>
      <c r="U15" t="s">
        <v>21</v>
      </c>
    </row>
    <row r="16" spans="1:21" x14ac:dyDescent="0.2">
      <c r="A16" t="s">
        <v>30</v>
      </c>
      <c r="B16">
        <v>1</v>
      </c>
      <c r="C16">
        <v>1</v>
      </c>
      <c r="D16" s="5">
        <v>0</v>
      </c>
      <c r="E16" s="5"/>
      <c r="G16" s="5"/>
      <c r="H16" s="5"/>
    </row>
    <row r="17" spans="1:21" x14ac:dyDescent="0.2">
      <c r="A17" t="s">
        <v>29</v>
      </c>
      <c r="B17">
        <v>1</v>
      </c>
      <c r="C17">
        <v>1</v>
      </c>
      <c r="D17">
        <v>0</v>
      </c>
    </row>
    <row r="18" spans="1:21" x14ac:dyDescent="0.2">
      <c r="A18" t="s">
        <v>23</v>
      </c>
      <c r="C18" s="4">
        <v>14.4</v>
      </c>
      <c r="E18">
        <f>100*C18/1000</f>
        <v>1.44</v>
      </c>
      <c r="F18">
        <f>E18</f>
        <v>1.44</v>
      </c>
      <c r="I18" s="13">
        <f t="shared" si="4"/>
        <v>1</v>
      </c>
      <c r="N18" s="7">
        <f t="shared" ref="N18:N27" si="9">E18*$N$2</f>
        <v>0.432</v>
      </c>
      <c r="S18" s="4"/>
      <c r="U18" s="6"/>
    </row>
    <row r="19" spans="1:21" x14ac:dyDescent="0.2">
      <c r="A19" t="s">
        <v>24</v>
      </c>
      <c r="B19">
        <v>20</v>
      </c>
      <c r="C19">
        <v>20</v>
      </c>
      <c r="E19">
        <f t="shared" ref="E19:E20" si="10">0.112*C19</f>
        <v>2.2400000000000002</v>
      </c>
      <c r="G19">
        <f>E19</f>
        <v>2.2400000000000002</v>
      </c>
      <c r="I19" s="13">
        <f t="shared" si="4"/>
        <v>1</v>
      </c>
      <c r="K19" s="7">
        <f>0.00003*C19*25</f>
        <v>1.5000000000000001E-2</v>
      </c>
      <c r="L19" s="14">
        <f t="shared" ref="L19:L20" si="11">M19*0.1</f>
        <v>2.3839999999999998E-3</v>
      </c>
      <c r="M19" s="7">
        <f t="shared" ref="M19:M20" si="12">0.000004*C19*298</f>
        <v>2.3839999999999997E-2</v>
      </c>
      <c r="N19" s="7">
        <f t="shared" si="9"/>
        <v>0.67200000000000004</v>
      </c>
    </row>
    <row r="20" spans="1:21" x14ac:dyDescent="0.2">
      <c r="A20" t="s">
        <v>25</v>
      </c>
      <c r="C20">
        <v>16.600000000000001</v>
      </c>
      <c r="E20">
        <f t="shared" si="10"/>
        <v>1.8592000000000002</v>
      </c>
      <c r="G20">
        <f>E20</f>
        <v>1.8592000000000002</v>
      </c>
      <c r="K20" s="7">
        <f>0.00003*C20*25</f>
        <v>1.2450000000000001E-2</v>
      </c>
      <c r="L20" s="14">
        <f t="shared" si="11"/>
        <v>1.9787200000000002E-3</v>
      </c>
      <c r="M20" s="7">
        <f t="shared" si="12"/>
        <v>1.9787200000000001E-2</v>
      </c>
      <c r="N20" s="7">
        <f t="shared" si="9"/>
        <v>0.55776000000000003</v>
      </c>
      <c r="S20">
        <f>22*C20/1000</f>
        <v>0.36520000000000002</v>
      </c>
    </row>
    <row r="21" spans="1:21" x14ac:dyDescent="0.2">
      <c r="A21" t="s">
        <v>40</v>
      </c>
      <c r="B21">
        <v>21.5</v>
      </c>
      <c r="C21">
        <v>21.5</v>
      </c>
      <c r="E21">
        <v>1.3</v>
      </c>
      <c r="G21">
        <f>E21</f>
        <v>1.3</v>
      </c>
      <c r="I21" s="13">
        <f t="shared" si="4"/>
        <v>1</v>
      </c>
      <c r="N21" s="7">
        <f t="shared" si="9"/>
        <v>0.39</v>
      </c>
    </row>
    <row r="22" spans="1:21" x14ac:dyDescent="0.2">
      <c r="A22" t="s">
        <v>39</v>
      </c>
      <c r="B22">
        <v>21.5</v>
      </c>
      <c r="C22">
        <v>21.5</v>
      </c>
      <c r="E22">
        <v>1.3</v>
      </c>
      <c r="F22">
        <f>E22</f>
        <v>1.3</v>
      </c>
      <c r="I22" s="13">
        <f t="shared" si="4"/>
        <v>1</v>
      </c>
      <c r="N22" s="7">
        <f t="shared" si="9"/>
        <v>0.39</v>
      </c>
    </row>
    <row r="23" spans="1:21" x14ac:dyDescent="0.2">
      <c r="A23" t="s">
        <v>31</v>
      </c>
      <c r="B23">
        <f>5.4/1.15</f>
        <v>4.6956521739130439</v>
      </c>
      <c r="C23">
        <f>5.4/1.15</f>
        <v>4.6956521739130439</v>
      </c>
      <c r="E23">
        <v>0.92700000000000005</v>
      </c>
      <c r="F23">
        <f>E23</f>
        <v>0.92700000000000005</v>
      </c>
      <c r="G23">
        <f>F23</f>
        <v>0.92700000000000005</v>
      </c>
      <c r="I23" s="13">
        <f t="shared" si="4"/>
        <v>1</v>
      </c>
      <c r="N23" s="7">
        <f t="shared" si="9"/>
        <v>0.27810000000000001</v>
      </c>
    </row>
    <row r="24" spans="1:21" x14ac:dyDescent="0.2">
      <c r="A24" t="s">
        <v>32</v>
      </c>
      <c r="B24">
        <v>27.662990000000001</v>
      </c>
      <c r="C24">
        <v>27.662990000000001</v>
      </c>
      <c r="E24">
        <v>1.392744</v>
      </c>
      <c r="G24">
        <f>F24</f>
        <v>0</v>
      </c>
      <c r="I24" s="13">
        <f t="shared" si="4"/>
        <v>1</v>
      </c>
      <c r="N24" s="7">
        <f t="shared" si="9"/>
        <v>0.41782320000000001</v>
      </c>
    </row>
    <row r="25" spans="1:21" x14ac:dyDescent="0.2">
      <c r="A25" t="s">
        <v>33</v>
      </c>
      <c r="C25">
        <v>20.399999999999999</v>
      </c>
      <c r="E25">
        <f>0.112*C25</f>
        <v>2.2847999999999997</v>
      </c>
      <c r="G25">
        <f>E25</f>
        <v>2.2847999999999997</v>
      </c>
      <c r="I25" s="13">
        <f t="shared" si="4"/>
        <v>1</v>
      </c>
      <c r="K25" s="7">
        <v>0</v>
      </c>
      <c r="L25" s="14">
        <f t="shared" ref="L25:L27" si="13">M25*0.1</f>
        <v>4.2554399999999992E-3</v>
      </c>
      <c r="M25" s="7">
        <f>0.000007*C25*298</f>
        <v>4.2554399999999992E-2</v>
      </c>
      <c r="N25" s="7">
        <f t="shared" si="9"/>
        <v>0.68543999999999994</v>
      </c>
    </row>
    <row r="26" spans="1:21" x14ac:dyDescent="0.2">
      <c r="A26" t="s">
        <v>34</v>
      </c>
      <c r="C26">
        <v>29.5</v>
      </c>
      <c r="E26">
        <f>112*C26/1000</f>
        <v>3.3039999999999998</v>
      </c>
      <c r="G26">
        <f>E26</f>
        <v>3.3039999999999998</v>
      </c>
      <c r="I26" s="13">
        <f t="shared" si="4"/>
        <v>1</v>
      </c>
      <c r="K26" s="7">
        <v>0</v>
      </c>
      <c r="L26" s="14">
        <f t="shared" si="13"/>
        <v>3.5164000000000003E-3</v>
      </c>
      <c r="M26" s="7">
        <f t="shared" ref="M26:M27" si="14">0.000004*C26*298</f>
        <v>3.5164000000000001E-2</v>
      </c>
      <c r="N26" s="7">
        <f t="shared" si="9"/>
        <v>0.99119999999999986</v>
      </c>
      <c r="P26">
        <v>0.91</v>
      </c>
    </row>
    <row r="27" spans="1:21" x14ac:dyDescent="0.2">
      <c r="A27" t="s">
        <v>35</v>
      </c>
      <c r="C27">
        <v>29.5</v>
      </c>
      <c r="E27">
        <f>112*C27/1000</f>
        <v>3.3039999999999998</v>
      </c>
      <c r="G27">
        <f>E27</f>
        <v>3.3039999999999998</v>
      </c>
      <c r="I27" s="13">
        <f t="shared" si="4"/>
        <v>1</v>
      </c>
      <c r="K27" s="7">
        <v>0</v>
      </c>
      <c r="L27" s="14">
        <f t="shared" si="13"/>
        <v>3.5164000000000003E-3</v>
      </c>
      <c r="M27" s="7">
        <f t="shared" si="14"/>
        <v>3.5164000000000001E-2</v>
      </c>
      <c r="N27" s="7">
        <f t="shared" si="9"/>
        <v>0.99119999999999986</v>
      </c>
      <c r="P27">
        <v>0.91</v>
      </c>
    </row>
    <row r="28" spans="1:21" x14ac:dyDescent="0.2">
      <c r="A28" t="s">
        <v>36</v>
      </c>
      <c r="B28">
        <v>45.6</v>
      </c>
      <c r="C28">
        <v>28.434999999999999</v>
      </c>
      <c r="D28">
        <f>P28*(44/12)</f>
        <v>3.1533333333333333</v>
      </c>
      <c r="N28" s="7"/>
      <c r="P28">
        <v>0.86</v>
      </c>
      <c r="T28" t="s">
        <v>72</v>
      </c>
    </row>
    <row r="29" spans="1:21" x14ac:dyDescent="0.2">
      <c r="A29" s="19" t="s">
        <v>81</v>
      </c>
      <c r="B29">
        <v>1</v>
      </c>
      <c r="C29">
        <v>1</v>
      </c>
      <c r="D29" s="5">
        <v>0</v>
      </c>
      <c r="E29" s="5"/>
      <c r="G29" s="5"/>
      <c r="H29" s="5"/>
      <c r="T29" t="s">
        <v>72</v>
      </c>
    </row>
    <row r="30" spans="1:21" x14ac:dyDescent="0.2">
      <c r="A30" t="s">
        <v>101</v>
      </c>
      <c r="B30">
        <v>1</v>
      </c>
      <c r="C30">
        <v>1</v>
      </c>
      <c r="D30" s="5">
        <v>0</v>
      </c>
      <c r="E30" s="5"/>
      <c r="G30" s="5"/>
      <c r="H30" s="5"/>
      <c r="T30" t="s">
        <v>72</v>
      </c>
    </row>
    <row r="31" spans="1:21" x14ac:dyDescent="0.2">
      <c r="A31" t="s">
        <v>82</v>
      </c>
      <c r="B31">
        <v>1</v>
      </c>
      <c r="C31">
        <v>1</v>
      </c>
      <c r="D31">
        <f>277.8*0.1/1000</f>
        <v>2.7780000000000003E-2</v>
      </c>
      <c r="E31" s="5"/>
      <c r="F31" t="s">
        <v>71</v>
      </c>
      <c r="G31" s="5"/>
      <c r="H31" s="5"/>
      <c r="T31" t="s">
        <v>72</v>
      </c>
    </row>
    <row r="32" spans="1:21" x14ac:dyDescent="0.2">
      <c r="A32" t="s">
        <v>83</v>
      </c>
      <c r="B32">
        <v>1</v>
      </c>
      <c r="C32">
        <v>1</v>
      </c>
      <c r="D32">
        <f>277.8*0.2/1000</f>
        <v>5.5560000000000005E-2</v>
      </c>
      <c r="E32" s="5"/>
      <c r="T32" t="s">
        <v>72</v>
      </c>
    </row>
    <row r="33" spans="1:20" x14ac:dyDescent="0.2">
      <c r="A33" t="s">
        <v>89</v>
      </c>
      <c r="B33">
        <v>1</v>
      </c>
      <c r="C33">
        <v>1</v>
      </c>
      <c r="D33">
        <f>277.8*0.262/1000</f>
        <v>7.2783600000000004E-2</v>
      </c>
      <c r="E33" s="5"/>
      <c r="T33" t="s">
        <v>72</v>
      </c>
    </row>
    <row r="34" spans="1:20" x14ac:dyDescent="0.2">
      <c r="A34" t="s">
        <v>65</v>
      </c>
      <c r="B34">
        <v>1</v>
      </c>
      <c r="C34">
        <v>1</v>
      </c>
      <c r="D34">
        <f>277.8*0.269/1000</f>
        <v>7.4728199999999995E-2</v>
      </c>
      <c r="T34" t="s">
        <v>72</v>
      </c>
    </row>
    <row r="35" spans="1:20" x14ac:dyDescent="0.2">
      <c r="A35" s="19" t="s">
        <v>105</v>
      </c>
      <c r="B35">
        <v>1</v>
      </c>
      <c r="C35">
        <v>1</v>
      </c>
      <c r="D35">
        <f>277.8*0.054/1000</f>
        <v>1.5001200000000001E-2</v>
      </c>
    </row>
    <row r="36" spans="1:20" x14ac:dyDescent="0.2">
      <c r="A36" t="s">
        <v>66</v>
      </c>
      <c r="B36">
        <v>1</v>
      </c>
      <c r="C36">
        <v>1</v>
      </c>
      <c r="D36">
        <f>277.8*0.054/1000</f>
        <v>1.5001200000000001E-2</v>
      </c>
      <c r="T36" t="s">
        <v>72</v>
      </c>
    </row>
    <row r="37" spans="1:20" x14ac:dyDescent="0.2">
      <c r="A37" t="s">
        <v>74</v>
      </c>
      <c r="B37">
        <v>1</v>
      </c>
      <c r="C37">
        <v>1</v>
      </c>
      <c r="D37">
        <v>0</v>
      </c>
    </row>
    <row r="38" spans="1:20" ht="15" customHeight="1" x14ac:dyDescent="0.2">
      <c r="A38" t="s">
        <v>84</v>
      </c>
      <c r="B38">
        <v>1</v>
      </c>
      <c r="C38">
        <v>1</v>
      </c>
      <c r="D38">
        <f>277.8*0.36/1000</f>
        <v>0.100008</v>
      </c>
    </row>
    <row r="39" spans="1:20" ht="15" customHeight="1" x14ac:dyDescent="0.2">
      <c r="A39" t="s">
        <v>93</v>
      </c>
      <c r="B39">
        <v>1</v>
      </c>
      <c r="C39">
        <v>1</v>
      </c>
      <c r="D39">
        <f>277.8*0.39/1000</f>
        <v>0.10834200000000001</v>
      </c>
    </row>
    <row r="40" spans="1:20" x14ac:dyDescent="0.2">
      <c r="A40" t="s">
        <v>85</v>
      </c>
      <c r="B40">
        <v>1</v>
      </c>
      <c r="C40">
        <v>1</v>
      </c>
      <c r="D40">
        <f>277.8*0.4/1000</f>
        <v>0.11112000000000001</v>
      </c>
      <c r="T40" t="s">
        <v>72</v>
      </c>
    </row>
    <row r="41" spans="1:20" x14ac:dyDescent="0.2">
      <c r="A41" t="s">
        <v>103</v>
      </c>
      <c r="B41">
        <v>1</v>
      </c>
      <c r="C41">
        <v>1</v>
      </c>
      <c r="D41">
        <f>277.8*0.4/1000</f>
        <v>0.11112000000000001</v>
      </c>
      <c r="T41" t="s">
        <v>72</v>
      </c>
    </row>
    <row r="42" spans="1:20" x14ac:dyDescent="0.2">
      <c r="A42" t="s">
        <v>87</v>
      </c>
      <c r="B42">
        <v>1</v>
      </c>
      <c r="C42">
        <v>1</v>
      </c>
      <c r="D42">
        <f>277.8*0.6/1000</f>
        <v>0.16667999999999999</v>
      </c>
      <c r="T42" t="s">
        <v>72</v>
      </c>
    </row>
    <row r="43" spans="1:20" x14ac:dyDescent="0.2">
      <c r="A43" s="8" t="s">
        <v>86</v>
      </c>
      <c r="B43">
        <v>1</v>
      </c>
      <c r="C43">
        <v>1</v>
      </c>
      <c r="D43">
        <f>277.8*0.8/1000</f>
        <v>0.22224000000000002</v>
      </c>
      <c r="T43" t="s">
        <v>72</v>
      </c>
    </row>
    <row r="44" spans="1:20" x14ac:dyDescent="0.2">
      <c r="A44" s="8" t="s">
        <v>102</v>
      </c>
      <c r="B44">
        <v>1</v>
      </c>
      <c r="C44">
        <v>1</v>
      </c>
      <c r="D44">
        <f>277.8*0.8/1000</f>
        <v>0.22224000000000002</v>
      </c>
      <c r="T44" t="s">
        <v>72</v>
      </c>
    </row>
    <row r="45" spans="1:20" x14ac:dyDescent="0.2">
      <c r="A45" s="8" t="s">
        <v>80</v>
      </c>
      <c r="B45">
        <v>1</v>
      </c>
      <c r="C45">
        <v>1</v>
      </c>
      <c r="D45">
        <f>277.8*1/1000</f>
        <v>0.27779999999999999</v>
      </c>
      <c r="T45" t="s">
        <v>72</v>
      </c>
    </row>
    <row r="46" spans="1:20" x14ac:dyDescent="0.2">
      <c r="A46" t="s">
        <v>41</v>
      </c>
      <c r="B46">
        <f t="shared" ref="B46:C47" si="15">B$19</f>
        <v>20</v>
      </c>
      <c r="C46">
        <f t="shared" si="15"/>
        <v>20</v>
      </c>
      <c r="E46">
        <f t="shared" ref="E46:E47" si="16">0.112*C46</f>
        <v>2.2400000000000002</v>
      </c>
      <c r="G46">
        <f t="shared" ref="G46:G51" si="17">E46</f>
        <v>2.2400000000000002</v>
      </c>
      <c r="I46" s="13">
        <f t="shared" si="4"/>
        <v>1</v>
      </c>
      <c r="J46" s="7"/>
      <c r="K46" s="7">
        <v>0</v>
      </c>
      <c r="L46" s="14">
        <f t="shared" ref="L46:L47" si="18">M46*0.1</f>
        <v>4.1719999999999995E-3</v>
      </c>
      <c r="M46" s="7">
        <f t="shared" ref="M46:M47" si="19">0.000007*C46*298</f>
        <v>4.1719999999999993E-2</v>
      </c>
    </row>
    <row r="47" spans="1:20" x14ac:dyDescent="0.2">
      <c r="A47" t="s">
        <v>42</v>
      </c>
      <c r="B47">
        <f t="shared" si="15"/>
        <v>20</v>
      </c>
      <c r="C47">
        <f t="shared" si="15"/>
        <v>20</v>
      </c>
      <c r="E47">
        <f t="shared" si="16"/>
        <v>2.2400000000000002</v>
      </c>
      <c r="G47">
        <f t="shared" si="17"/>
        <v>2.2400000000000002</v>
      </c>
      <c r="I47" s="13">
        <f t="shared" si="4"/>
        <v>1</v>
      </c>
      <c r="K47" s="7">
        <v>0</v>
      </c>
      <c r="L47" s="14">
        <f t="shared" si="18"/>
        <v>4.1719999999999995E-3</v>
      </c>
      <c r="M47" s="7">
        <f t="shared" si="19"/>
        <v>4.1719999999999993E-2</v>
      </c>
    </row>
    <row r="48" spans="1:20" x14ac:dyDescent="0.2">
      <c r="A48" t="s">
        <v>52</v>
      </c>
      <c r="B48">
        <v>20.5</v>
      </c>
      <c r="C48">
        <v>20.5</v>
      </c>
      <c r="E48">
        <f>P48*(44/12)</f>
        <v>1.8296666666666666</v>
      </c>
      <c r="G48">
        <f t="shared" si="17"/>
        <v>1.8296666666666666</v>
      </c>
      <c r="I48" s="13">
        <f t="shared" si="4"/>
        <v>1</v>
      </c>
      <c r="P48">
        <v>0.499</v>
      </c>
    </row>
    <row r="49" spans="1:21" x14ac:dyDescent="0.2">
      <c r="A49" t="s">
        <v>51</v>
      </c>
      <c r="B49">
        <f>B48*(1-$O49)</f>
        <v>10.25</v>
      </c>
      <c r="C49">
        <f>C48*(1-$O49)</f>
        <v>10.25</v>
      </c>
      <c r="E49">
        <f>E48*(1-$O49)</f>
        <v>0.91483333333333328</v>
      </c>
      <c r="G49">
        <f t="shared" si="17"/>
        <v>0.91483333333333328</v>
      </c>
      <c r="I49" s="13">
        <f t="shared" si="4"/>
        <v>1</v>
      </c>
      <c r="J49">
        <f>O49</f>
        <v>0.5</v>
      </c>
      <c r="O49">
        <v>0.5</v>
      </c>
    </row>
    <row r="50" spans="1:21" x14ac:dyDescent="0.2">
      <c r="A50" t="s">
        <v>43</v>
      </c>
      <c r="B50">
        <v>13.7</v>
      </c>
      <c r="C50">
        <v>13.7</v>
      </c>
      <c r="E50">
        <f>P50*(44/12)</f>
        <v>1.1366666666666667</v>
      </c>
      <c r="G50">
        <f t="shared" si="17"/>
        <v>1.1366666666666667</v>
      </c>
      <c r="I50" s="13">
        <f t="shared" si="4"/>
        <v>1</v>
      </c>
      <c r="P50">
        <v>0.31</v>
      </c>
    </row>
    <row r="51" spans="1:21" x14ac:dyDescent="0.2">
      <c r="A51" t="s">
        <v>48</v>
      </c>
      <c r="B51">
        <f>B50*(1-$O51)</f>
        <v>10.96</v>
      </c>
      <c r="C51">
        <f>C50*(1-$O51)</f>
        <v>10.96</v>
      </c>
      <c r="E51">
        <f>E50*(1-$O51)</f>
        <v>0.90933333333333344</v>
      </c>
      <c r="G51">
        <f t="shared" si="17"/>
        <v>0.90933333333333344</v>
      </c>
      <c r="I51" s="13">
        <f t="shared" si="4"/>
        <v>1</v>
      </c>
      <c r="J51">
        <f>O51</f>
        <v>0.2</v>
      </c>
      <c r="O51">
        <v>0.2</v>
      </c>
    </row>
    <row r="52" spans="1:21" x14ac:dyDescent="0.2">
      <c r="A52" t="s">
        <v>49</v>
      </c>
      <c r="B52">
        <v>20</v>
      </c>
      <c r="C52">
        <v>20</v>
      </c>
      <c r="E52">
        <f>P53*(44/12)</f>
        <v>1.8333333333333333</v>
      </c>
      <c r="F52">
        <f>E52</f>
        <v>1.8333333333333333</v>
      </c>
      <c r="I52" s="13">
        <f t="shared" si="4"/>
        <v>1</v>
      </c>
      <c r="J52" s="9"/>
      <c r="K52" s="9"/>
      <c r="L52" s="9"/>
      <c r="M52" s="9"/>
    </row>
    <row r="53" spans="1:21" x14ac:dyDescent="0.2">
      <c r="A53" t="s">
        <v>50</v>
      </c>
      <c r="B53">
        <f>B52*(1-$O53)</f>
        <v>8</v>
      </c>
      <c r="C53">
        <f>C52*(1-$O53)</f>
        <v>8</v>
      </c>
      <c r="E53">
        <f>E52*(1-$O53)</f>
        <v>0.73333333333333339</v>
      </c>
      <c r="F53">
        <f>E53</f>
        <v>0.73333333333333339</v>
      </c>
      <c r="I53" s="13">
        <f t="shared" si="4"/>
        <v>1</v>
      </c>
      <c r="J53" s="10">
        <f>O53</f>
        <v>0.6</v>
      </c>
      <c r="K53" s="10"/>
      <c r="L53" s="10"/>
      <c r="M53" s="10"/>
      <c r="O53" s="10">
        <v>0.6</v>
      </c>
      <c r="P53">
        <v>0.5</v>
      </c>
    </row>
    <row r="54" spans="1:21" x14ac:dyDescent="0.2">
      <c r="A54" t="s">
        <v>45</v>
      </c>
      <c r="B54">
        <v>41</v>
      </c>
      <c r="C54">
        <v>41</v>
      </c>
      <c r="D54">
        <f>D28</f>
        <v>3.1533333333333333</v>
      </c>
    </row>
    <row r="55" spans="1:21" x14ac:dyDescent="0.2">
      <c r="A55" t="s">
        <v>46</v>
      </c>
      <c r="B55">
        <v>1</v>
      </c>
      <c r="C55">
        <v>1</v>
      </c>
      <c r="D55">
        <v>0</v>
      </c>
    </row>
    <row r="56" spans="1:21" x14ac:dyDescent="0.2">
      <c r="A56" t="s">
        <v>47</v>
      </c>
      <c r="B56">
        <v>40.4</v>
      </c>
      <c r="C56">
        <v>40.4</v>
      </c>
      <c r="D56">
        <f>77.4*C56/1000</f>
        <v>3.12696</v>
      </c>
    </row>
    <row r="57" spans="1:21" x14ac:dyDescent="0.2">
      <c r="A57" t="s">
        <v>55</v>
      </c>
      <c r="C57">
        <v>29.5</v>
      </c>
      <c r="D57" s="2"/>
      <c r="E57">
        <f>112*C57/1000</f>
        <v>3.3039999999999998</v>
      </c>
      <c r="G57">
        <f>E57</f>
        <v>3.3039999999999998</v>
      </c>
      <c r="I57" s="13">
        <f t="shared" si="4"/>
        <v>1</v>
      </c>
      <c r="J57" s="7"/>
      <c r="K57" s="7"/>
      <c r="L57" s="7"/>
      <c r="M57" s="7"/>
      <c r="N57" s="7">
        <f>E57*$N$2</f>
        <v>0.99119999999999986</v>
      </c>
      <c r="P57">
        <v>0.91</v>
      </c>
    </row>
    <row r="58" spans="1:21" s="2" customFormat="1" x14ac:dyDescent="0.2">
      <c r="A58" t="s">
        <v>56</v>
      </c>
      <c r="B58">
        <v>25.8</v>
      </c>
      <c r="C58">
        <v>25.8</v>
      </c>
      <c r="D58">
        <f>96.1*C58/1000</f>
        <v>2.4793799999999999</v>
      </c>
      <c r="E58"/>
      <c r="F58"/>
      <c r="G58"/>
      <c r="H58"/>
      <c r="I58" s="13"/>
      <c r="J58"/>
      <c r="K58" s="7">
        <v>0</v>
      </c>
      <c r="L58" s="14">
        <f t="shared" ref="L58:L59" si="20">M58*0.1</f>
        <v>1.1532600000000001E-3</v>
      </c>
      <c r="M58" s="7">
        <f>0.0000015*C58*298</f>
        <v>1.15326E-2</v>
      </c>
      <c r="N58"/>
      <c r="O58"/>
      <c r="P58">
        <v>0.67</v>
      </c>
      <c r="Q58"/>
      <c r="R58"/>
      <c r="T58"/>
      <c r="U58"/>
    </row>
    <row r="59" spans="1:21" x14ac:dyDescent="0.2">
      <c r="A59" t="s">
        <v>57</v>
      </c>
      <c r="B59">
        <v>48</v>
      </c>
      <c r="C59">
        <v>48</v>
      </c>
      <c r="D59">
        <f>56.1*C59/1000</f>
        <v>2.6928000000000001</v>
      </c>
      <c r="K59" s="7">
        <v>0</v>
      </c>
      <c r="L59" s="14">
        <f t="shared" si="20"/>
        <v>1.4303999999999999E-4</v>
      </c>
      <c r="M59" s="7">
        <f>0.0000001*C59*298</f>
        <v>1.4303999999999999E-3</v>
      </c>
      <c r="P59">
        <v>0.73</v>
      </c>
    </row>
    <row r="60" spans="1:21" x14ac:dyDescent="0.2">
      <c r="A60" t="s">
        <v>58</v>
      </c>
      <c r="C60">
        <v>2</v>
      </c>
      <c r="J60">
        <v>1</v>
      </c>
    </row>
    <row r="61" spans="1:21" x14ac:dyDescent="0.2">
      <c r="A61" t="s">
        <v>59</v>
      </c>
      <c r="C61">
        <v>20.54</v>
      </c>
      <c r="E61">
        <f>P61*(44/12)</f>
        <v>2.1999999999999997</v>
      </c>
      <c r="F61">
        <f>E61</f>
        <v>2.1999999999999997</v>
      </c>
      <c r="I61" s="13">
        <f t="shared" si="4"/>
        <v>1</v>
      </c>
      <c r="P61">
        <v>0.6</v>
      </c>
    </row>
    <row r="62" spans="1:21" x14ac:dyDescent="0.2">
      <c r="A62" t="s">
        <v>60</v>
      </c>
      <c r="C62">
        <v>24.6</v>
      </c>
      <c r="E62">
        <v>2.5</v>
      </c>
      <c r="F62">
        <f>E62</f>
        <v>2.5</v>
      </c>
      <c r="I62" s="13">
        <f t="shared" si="4"/>
        <v>1</v>
      </c>
    </row>
    <row r="63" spans="1:21" x14ac:dyDescent="0.2">
      <c r="A63" t="s">
        <v>61</v>
      </c>
      <c r="C63">
        <f>C61</f>
        <v>20.54</v>
      </c>
      <c r="E63">
        <f>E61</f>
        <v>2.1999999999999997</v>
      </c>
      <c r="F63">
        <f>E63</f>
        <v>2.1999999999999997</v>
      </c>
      <c r="I63" s="13">
        <f t="shared" si="4"/>
        <v>1</v>
      </c>
    </row>
    <row r="64" spans="1:21" x14ac:dyDescent="0.2">
      <c r="A64" t="s">
        <v>67</v>
      </c>
      <c r="C64">
        <v>15</v>
      </c>
      <c r="D64">
        <f>$P$64*44/12*0.84</f>
        <v>1.5399999999999998</v>
      </c>
      <c r="E64">
        <f>$P$64*44/12*0.16</f>
        <v>0.29333333333333333</v>
      </c>
      <c r="F64">
        <f>$P$64*44/12*0.1</f>
        <v>0.18333333333333335</v>
      </c>
      <c r="G64">
        <f>$P$64*44/12*0.1</f>
        <v>0.18333333333333335</v>
      </c>
      <c r="I64" s="13">
        <f t="shared" si="4"/>
        <v>0.16000000000000003</v>
      </c>
      <c r="P64">
        <v>0.5</v>
      </c>
    </row>
    <row r="65" spans="1:21" x14ac:dyDescent="0.2">
      <c r="A65" t="s">
        <v>68</v>
      </c>
      <c r="C65">
        <v>15</v>
      </c>
      <c r="D65">
        <f>$P$64*44/12*0.6</f>
        <v>1.0999999999999999</v>
      </c>
      <c r="E65">
        <f>$P$64*44/12*0.4</f>
        <v>0.73333333333333339</v>
      </c>
      <c r="F65">
        <f>$P$64*44/12*0.2</f>
        <v>0.3666666666666667</v>
      </c>
      <c r="G65">
        <f>$P$64*44/12*0.2</f>
        <v>0.3666666666666667</v>
      </c>
      <c r="I65" s="13">
        <f t="shared" si="4"/>
        <v>0.4</v>
      </c>
      <c r="P65">
        <v>0.5</v>
      </c>
    </row>
    <row r="66" spans="1:21" x14ac:dyDescent="0.2">
      <c r="A66" t="s">
        <v>69</v>
      </c>
      <c r="C66">
        <v>15</v>
      </c>
      <c r="D66">
        <f>$P$64*44/12*0.5</f>
        <v>0.91666666666666663</v>
      </c>
      <c r="E66">
        <f>$P$64*44/12*0.5</f>
        <v>0.91666666666666663</v>
      </c>
      <c r="F66">
        <f>$P$64*44/12*0.25</f>
        <v>0.45833333333333331</v>
      </c>
      <c r="G66">
        <f>$P$64*44/12*0.25</f>
        <v>0.45833333333333331</v>
      </c>
      <c r="I66" s="13">
        <f t="shared" si="4"/>
        <v>0.5</v>
      </c>
      <c r="P66">
        <v>0.5</v>
      </c>
    </row>
    <row r="67" spans="1:21" x14ac:dyDescent="0.2">
      <c r="A67" t="s">
        <v>70</v>
      </c>
      <c r="C67">
        <v>42.2</v>
      </c>
      <c r="E67">
        <v>2.75</v>
      </c>
      <c r="F67">
        <v>2.75</v>
      </c>
      <c r="I67" s="13">
        <f t="shared" si="4"/>
        <v>1</v>
      </c>
    </row>
    <row r="68" spans="1:21" x14ac:dyDescent="0.2">
      <c r="A68" t="s">
        <v>76</v>
      </c>
      <c r="C68">
        <v>18</v>
      </c>
      <c r="D68">
        <v>1.5</v>
      </c>
      <c r="E68" s="4">
        <v>0.2</v>
      </c>
      <c r="F68">
        <f>E68</f>
        <v>0.2</v>
      </c>
      <c r="I68" s="13">
        <f t="shared" si="4"/>
        <v>0.11764705882352942</v>
      </c>
      <c r="S68">
        <f>0.194*1.669+0.117*2.9+0.12*0.508+0.596*1.601</f>
        <v>1.678242</v>
      </c>
      <c r="T68" t="s">
        <v>79</v>
      </c>
      <c r="U68" t="s">
        <v>77</v>
      </c>
    </row>
    <row r="69" spans="1:21" x14ac:dyDescent="0.2">
      <c r="A69" t="s">
        <v>75</v>
      </c>
      <c r="C69">
        <f>0.5*18+0.5*4</f>
        <v>11</v>
      </c>
      <c r="E69">
        <f>0.5*1.471+0.5*0.798</f>
        <v>1.1345000000000001</v>
      </c>
      <c r="I69" s="13">
        <f t="shared" si="4"/>
        <v>1</v>
      </c>
      <c r="T69" t="s">
        <v>78</v>
      </c>
      <c r="U69" t="s">
        <v>77</v>
      </c>
    </row>
    <row r="70" spans="1:21" x14ac:dyDescent="0.2">
      <c r="A70" t="s">
        <v>91</v>
      </c>
      <c r="C70">
        <v>19.100000000000001</v>
      </c>
      <c r="D70">
        <v>0</v>
      </c>
      <c r="E70">
        <f>0.112*C70</f>
        <v>2.1392000000000002</v>
      </c>
      <c r="G70">
        <f>E70+H70</f>
        <v>2.6882000000000001</v>
      </c>
      <c r="H70">
        <v>0.54900000000000004</v>
      </c>
      <c r="I70" s="13">
        <f t="shared" si="4"/>
        <v>1</v>
      </c>
      <c r="K70" s="7">
        <v>0</v>
      </c>
      <c r="L70" s="14">
        <f t="shared" ref="L70:L72" si="21">M70*0.1</f>
        <v>3.9842599999999999E-3</v>
      </c>
      <c r="M70" s="7">
        <f>0.000007*C70*298</f>
        <v>3.9842599999999999E-2</v>
      </c>
      <c r="P70">
        <v>0.5</v>
      </c>
    </row>
    <row r="71" spans="1:21" x14ac:dyDescent="0.2">
      <c r="A71" t="s">
        <v>92</v>
      </c>
      <c r="C71">
        <f>19.1*(1-O71)</f>
        <v>17.190000000000001</v>
      </c>
      <c r="E71">
        <f>0.112*C71</f>
        <v>1.9252800000000001</v>
      </c>
      <c r="G71">
        <f>E71+H71</f>
        <v>2.4193800000000003</v>
      </c>
      <c r="H71">
        <f>0.549*0.9</f>
        <v>0.49410000000000004</v>
      </c>
      <c r="I71" s="13">
        <f>E71/SUM(D71:E71)</f>
        <v>1</v>
      </c>
      <c r="K71" s="7">
        <v>0</v>
      </c>
      <c r="L71" s="14">
        <f t="shared" si="21"/>
        <v>3.5858340000000004E-3</v>
      </c>
      <c r="M71" s="7">
        <f t="shared" ref="M71:M72" si="22">0.000007*C71*298</f>
        <v>3.5858340000000002E-2</v>
      </c>
      <c r="O71">
        <v>0.1</v>
      </c>
      <c r="P71">
        <v>0.5</v>
      </c>
    </row>
    <row r="72" spans="1:21" x14ac:dyDescent="0.2">
      <c r="A72" t="s">
        <v>95</v>
      </c>
      <c r="C72">
        <v>19.100000000000001</v>
      </c>
      <c r="D72">
        <v>0</v>
      </c>
      <c r="E72">
        <f>0.112*C72</f>
        <v>2.1392000000000002</v>
      </c>
      <c r="G72">
        <f>E72+H72</f>
        <v>2.6882000000000001</v>
      </c>
      <c r="H72">
        <v>0.54900000000000004</v>
      </c>
      <c r="I72" s="13">
        <f t="shared" ref="I72" si="23">E72/SUM(D72:E72)</f>
        <v>1</v>
      </c>
      <c r="K72" s="7">
        <v>0</v>
      </c>
      <c r="L72" s="14">
        <f t="shared" si="21"/>
        <v>3.9842599999999999E-3</v>
      </c>
      <c r="M72" s="7">
        <f t="shared" si="22"/>
        <v>3.9842599999999999E-2</v>
      </c>
      <c r="P72">
        <v>0.5</v>
      </c>
    </row>
    <row r="73" spans="1:21" x14ac:dyDescent="0.2">
      <c r="A73" t="s">
        <v>107</v>
      </c>
      <c r="B73">
        <v>1</v>
      </c>
      <c r="C73">
        <v>1</v>
      </c>
      <c r="D73" s="5">
        <v>0</v>
      </c>
    </row>
    <row r="74" spans="1:21" x14ac:dyDescent="0.2">
      <c r="A74" t="s">
        <v>108</v>
      </c>
      <c r="B74">
        <v>1</v>
      </c>
      <c r="C74">
        <v>1</v>
      </c>
      <c r="D74" s="5">
        <v>0</v>
      </c>
    </row>
    <row r="75" spans="1:21" x14ac:dyDescent="0.2">
      <c r="A75" t="s">
        <v>109</v>
      </c>
      <c r="B75">
        <v>1</v>
      </c>
      <c r="C75">
        <v>1</v>
      </c>
      <c r="D75" s="5">
        <v>0</v>
      </c>
    </row>
    <row r="76" spans="1:21" x14ac:dyDescent="0.2">
      <c r="A76" t="s">
        <v>110</v>
      </c>
      <c r="B76">
        <v>1</v>
      </c>
      <c r="C76">
        <v>1</v>
      </c>
      <c r="D76" s="5">
        <v>0</v>
      </c>
    </row>
    <row r="77" spans="1:21" x14ac:dyDescent="0.2">
      <c r="A77" s="8" t="s">
        <v>111</v>
      </c>
      <c r="B77">
        <v>1</v>
      </c>
      <c r="C77">
        <v>1</v>
      </c>
      <c r="D77" s="5">
        <v>0</v>
      </c>
    </row>
    <row r="78" spans="1:21" x14ac:dyDescent="0.2">
      <c r="A78" s="8" t="s">
        <v>112</v>
      </c>
      <c r="B78">
        <v>1</v>
      </c>
      <c r="C78">
        <v>1</v>
      </c>
      <c r="D78" s="5">
        <v>0</v>
      </c>
    </row>
  </sheetData>
  <sortState xmlns:xlrd2="http://schemas.microsoft.com/office/spreadsheetml/2017/richdata2" ref="A2:U15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2021-12-05T20:09:52Z</dcterms:modified>
</cp:coreProperties>
</file>