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Tanzer/GitHub/Acc-Carb-Paper/data/shared/"/>
    </mc:Choice>
  </mc:AlternateContent>
  <xr:revisionPtr revIDLastSave="0" documentId="13_ncr:1_{5EE9CE4F-FAA8-8145-B74B-BDA761AADC4B}" xr6:coauthVersionLast="47" xr6:coauthVersionMax="47" xr10:uidLastSave="{00000000-0000-0000-0000-000000000000}"/>
  <bookViews>
    <workbookView xWindow="5160" yWindow="22260" windowWidth="28800" windowHeight="17540" xr2:uid="{00000000-000D-0000-FFFF-FFFF00000000}"/>
  </bookViews>
  <sheets>
    <sheet name="up-emissions" sheetId="3" r:id="rId1"/>
    <sheet name="up-removals" sheetId="9" r:id="rId2"/>
    <sheet name="down-emissions" sheetId="10" r:id="rId3"/>
    <sheet name="down-removals" sheetId="11" r:id="rId4"/>
    <sheet name="raw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W37" i="3" l="1"/>
  <c r="V37" i="3"/>
  <c r="U37" i="3"/>
  <c r="T37" i="3"/>
  <c r="N37" i="3"/>
  <c r="I37" i="3"/>
  <c r="G37" i="3"/>
  <c r="F37" i="3"/>
  <c r="E37" i="3"/>
  <c r="W34" i="3"/>
  <c r="V34" i="3"/>
  <c r="U34" i="3"/>
  <c r="T34" i="3"/>
  <c r="N34" i="3"/>
  <c r="I34" i="3"/>
  <c r="G34" i="3"/>
  <c r="F34" i="3"/>
  <c r="E34" i="3"/>
  <c r="W30" i="3"/>
  <c r="V30" i="3"/>
  <c r="U30" i="3"/>
  <c r="T30" i="3"/>
  <c r="N30" i="3"/>
  <c r="I30" i="3"/>
  <c r="G30" i="3"/>
  <c r="F30" i="3"/>
  <c r="E30" i="3"/>
  <c r="D86" i="3"/>
  <c r="M86" i="3" s="1"/>
  <c r="O86" i="3" s="1"/>
  <c r="S86" i="3"/>
  <c r="D22" i="8"/>
  <c r="I61" i="3"/>
  <c r="N41" i="3"/>
  <c r="N40" i="3"/>
  <c r="N39" i="3"/>
  <c r="N38" i="3"/>
  <c r="N36" i="3"/>
  <c r="N35" i="3"/>
  <c r="N33" i="3"/>
  <c r="N32" i="3"/>
  <c r="N31" i="3"/>
  <c r="N28" i="3"/>
  <c r="W41" i="3"/>
  <c r="V41" i="3"/>
  <c r="U41" i="3"/>
  <c r="T41" i="3"/>
  <c r="W40" i="3"/>
  <c r="V40" i="3"/>
  <c r="U40" i="3"/>
  <c r="T40" i="3"/>
  <c r="W39" i="3"/>
  <c r="V39" i="3"/>
  <c r="U39" i="3"/>
  <c r="T39" i="3"/>
  <c r="I41" i="3"/>
  <c r="I40" i="3"/>
  <c r="I39" i="3"/>
  <c r="I69" i="3"/>
  <c r="C69" i="3"/>
  <c r="I85" i="3"/>
  <c r="C85" i="3"/>
  <c r="S14" i="3"/>
  <c r="D14" i="3"/>
  <c r="M14" i="3" s="1"/>
  <c r="O6" i="3"/>
  <c r="I13" i="3"/>
  <c r="C13" i="3"/>
  <c r="C61" i="3"/>
  <c r="S71" i="3"/>
  <c r="D71" i="3"/>
  <c r="M71" i="3" s="1"/>
  <c r="S70" i="3"/>
  <c r="D70" i="3"/>
  <c r="M70" i="3" s="1"/>
  <c r="S68" i="3"/>
  <c r="D68" i="3"/>
  <c r="M68" i="3" s="1"/>
  <c r="U81" i="3"/>
  <c r="S81" i="3" s="1"/>
  <c r="U80" i="3"/>
  <c r="S80" i="3" s="1"/>
  <c r="E80" i="3"/>
  <c r="E81" i="3"/>
  <c r="S79" i="3"/>
  <c r="D79" i="3"/>
  <c r="M79" i="3" s="1"/>
  <c r="S84" i="3"/>
  <c r="S85" i="3" s="1"/>
  <c r="D84" i="3"/>
  <c r="M84" i="3" s="1"/>
  <c r="S78" i="3"/>
  <c r="D78" i="3"/>
  <c r="M78" i="3" s="1"/>
  <c r="S67" i="3"/>
  <c r="D67" i="3"/>
  <c r="M67" i="3" s="1"/>
  <c r="S45" i="3"/>
  <c r="M45" i="3"/>
  <c r="H45" i="3"/>
  <c r="S49" i="3"/>
  <c r="M49" i="3"/>
  <c r="H49" i="3"/>
  <c r="S48" i="3"/>
  <c r="M48" i="3"/>
  <c r="H48" i="3"/>
  <c r="S54" i="3"/>
  <c r="M54" i="3"/>
  <c r="H54" i="3"/>
  <c r="S51" i="3"/>
  <c r="M51" i="3"/>
  <c r="H51" i="3"/>
  <c r="S77" i="3"/>
  <c r="D77" i="3"/>
  <c r="M77" i="3" s="1"/>
  <c r="S76" i="3"/>
  <c r="D76" i="3"/>
  <c r="M76" i="3" s="1"/>
  <c r="S63" i="3"/>
  <c r="D63" i="3"/>
  <c r="M63" i="3" s="1"/>
  <c r="S62" i="3"/>
  <c r="D62" i="3"/>
  <c r="M62" i="3" s="1"/>
  <c r="P20" i="8"/>
  <c r="P19" i="8"/>
  <c r="P18" i="8"/>
  <c r="P17" i="8"/>
  <c r="S7" i="8"/>
  <c r="S6" i="8"/>
  <c r="S5" i="8"/>
  <c r="D7" i="8"/>
  <c r="M7" i="8" s="1"/>
  <c r="O7" i="8" s="1"/>
  <c r="D6" i="8"/>
  <c r="M6" i="8" s="1"/>
  <c r="O6" i="8" s="1"/>
  <c r="D5" i="8"/>
  <c r="M5" i="8" s="1"/>
  <c r="O5" i="8" s="1"/>
  <c r="Q86" i="3" l="1"/>
  <c r="P86" i="3"/>
  <c r="P6" i="8"/>
  <c r="P5" i="8"/>
  <c r="P7" i="8"/>
  <c r="Q6" i="8"/>
  <c r="Q7" i="8"/>
  <c r="Q5" i="8"/>
  <c r="Q14" i="3"/>
  <c r="D85" i="3"/>
  <c r="P14" i="3"/>
  <c r="O14" i="3"/>
  <c r="Q70" i="3"/>
  <c r="P71" i="3"/>
  <c r="O71" i="3"/>
  <c r="Q71" i="3"/>
  <c r="Q68" i="3"/>
  <c r="O70" i="3"/>
  <c r="P70" i="3"/>
  <c r="P68" i="3"/>
  <c r="O68" i="3"/>
  <c r="Q79" i="3"/>
  <c r="Q84" i="3"/>
  <c r="P79" i="3"/>
  <c r="O79" i="3"/>
  <c r="Q78" i="3"/>
  <c r="P84" i="3"/>
  <c r="P85" i="3" s="1"/>
  <c r="O84" i="3"/>
  <c r="P45" i="3"/>
  <c r="P78" i="3"/>
  <c r="O78" i="3"/>
  <c r="Q67" i="3"/>
  <c r="O67" i="3"/>
  <c r="P67" i="3"/>
  <c r="O45" i="3"/>
  <c r="P49" i="3"/>
  <c r="Q45" i="3"/>
  <c r="Q48" i="3"/>
  <c r="O48" i="3"/>
  <c r="O49" i="3"/>
  <c r="P48" i="3"/>
  <c r="Q49" i="3"/>
  <c r="P54" i="3"/>
  <c r="O54" i="3"/>
  <c r="P51" i="3"/>
  <c r="Q54" i="3"/>
  <c r="Q62" i="3"/>
  <c r="Q76" i="3"/>
  <c r="O51" i="3"/>
  <c r="Q77" i="3"/>
  <c r="Q51" i="3"/>
  <c r="P77" i="3"/>
  <c r="O77" i="3"/>
  <c r="O76" i="3"/>
  <c r="P76" i="3"/>
  <c r="O63" i="3"/>
  <c r="P63" i="3"/>
  <c r="Q63" i="3"/>
  <c r="P62" i="3"/>
  <c r="O62" i="3"/>
  <c r="S9" i="8" l="1"/>
  <c r="S10" i="8"/>
  <c r="S11" i="8"/>
  <c r="S12" i="8"/>
  <c r="S13" i="8"/>
  <c r="S14" i="8"/>
  <c r="S15" i="8"/>
  <c r="S24" i="8"/>
  <c r="S25" i="8"/>
  <c r="S26" i="8"/>
  <c r="S27" i="8"/>
  <c r="S28" i="8"/>
  <c r="S29" i="8"/>
  <c r="S31" i="8"/>
  <c r="S32" i="8"/>
  <c r="S33" i="8"/>
  <c r="S34" i="8"/>
  <c r="S35" i="8"/>
  <c r="S36" i="8"/>
  <c r="D9" i="8"/>
  <c r="M9" i="8" s="1"/>
  <c r="D10" i="8"/>
  <c r="M10" i="8" s="1"/>
  <c r="O10" i="8" s="1"/>
  <c r="D11" i="8"/>
  <c r="M11" i="8" s="1"/>
  <c r="O11" i="8" s="1"/>
  <c r="D12" i="8"/>
  <c r="M12" i="8" s="1"/>
  <c r="O12" i="8" s="1"/>
  <c r="D13" i="8"/>
  <c r="M13" i="8" s="1"/>
  <c r="D14" i="8"/>
  <c r="M14" i="8" s="1"/>
  <c r="O14" i="8" s="1"/>
  <c r="D15" i="8"/>
  <c r="M15" i="8" s="1"/>
  <c r="O15" i="8" s="1"/>
  <c r="D24" i="8"/>
  <c r="D25" i="8"/>
  <c r="M25" i="8" s="1"/>
  <c r="O25" i="8" s="1"/>
  <c r="D26" i="8"/>
  <c r="M26" i="8" s="1"/>
  <c r="O26" i="8" s="1"/>
  <c r="D27" i="8"/>
  <c r="M27" i="8" s="1"/>
  <c r="O27" i="8" s="1"/>
  <c r="D28" i="8"/>
  <c r="D29" i="8"/>
  <c r="M29" i="8" s="1"/>
  <c r="O29" i="8" s="1"/>
  <c r="D31" i="8"/>
  <c r="M31" i="8" s="1"/>
  <c r="O31" i="8" s="1"/>
  <c r="D32" i="8"/>
  <c r="M32" i="8" s="1"/>
  <c r="O32" i="8" s="1"/>
  <c r="D33" i="8"/>
  <c r="D34" i="8"/>
  <c r="M34" i="8" s="1"/>
  <c r="O34" i="8" s="1"/>
  <c r="D35" i="8"/>
  <c r="M35" i="8" s="1"/>
  <c r="O35" i="8" s="1"/>
  <c r="D36" i="8"/>
  <c r="M36" i="8" s="1"/>
  <c r="O36" i="8" s="1"/>
  <c r="P25" i="8" l="1"/>
  <c r="P12" i="8"/>
  <c r="P15" i="8"/>
  <c r="P11" i="8"/>
  <c r="P14" i="8"/>
  <c r="P10" i="8"/>
  <c r="P13" i="8"/>
  <c r="P9" i="8"/>
  <c r="Q24" i="8"/>
  <c r="Q28" i="8"/>
  <c r="Q33" i="8"/>
  <c r="Q11" i="8"/>
  <c r="M33" i="8"/>
  <c r="O33" i="8" s="1"/>
  <c r="P35" i="8"/>
  <c r="P31" i="8"/>
  <c r="P26" i="8"/>
  <c r="Q14" i="8"/>
  <c r="Q13" i="8"/>
  <c r="Q9" i="8"/>
  <c r="O9" i="8"/>
  <c r="P36" i="8"/>
  <c r="P32" i="8"/>
  <c r="P27" i="8"/>
  <c r="O13" i="8"/>
  <c r="P34" i="8"/>
  <c r="P29" i="8"/>
  <c r="M28" i="8"/>
  <c r="M24" i="8"/>
  <c r="P24" i="8" s="1"/>
  <c r="Q35" i="8"/>
  <c r="Q31" i="8"/>
  <c r="Q26" i="8"/>
  <c r="Q15" i="8"/>
  <c r="Q12" i="8"/>
  <c r="Q10" i="8"/>
  <c r="Q36" i="8"/>
  <c r="Q34" i="8"/>
  <c r="Q32" i="8"/>
  <c r="Q29" i="8"/>
  <c r="Q27" i="8"/>
  <c r="Q25" i="8"/>
  <c r="M42" i="3"/>
  <c r="S75" i="3"/>
  <c r="S74" i="3"/>
  <c r="S73" i="3"/>
  <c r="S72" i="3"/>
  <c r="S69" i="3"/>
  <c r="D75" i="3"/>
  <c r="M75" i="3" s="1"/>
  <c r="O75" i="3" s="1"/>
  <c r="D74" i="3"/>
  <c r="D73" i="3"/>
  <c r="M73" i="3" s="1"/>
  <c r="O73" i="3" s="1"/>
  <c r="D72" i="3"/>
  <c r="M72" i="3" s="1"/>
  <c r="O72" i="3" s="1"/>
  <c r="D80" i="3"/>
  <c r="Q80" i="3" s="1"/>
  <c r="I80" i="3"/>
  <c r="D83" i="3"/>
  <c r="O83" i="3" s="1"/>
  <c r="S83" i="3"/>
  <c r="P83" i="3" s="1"/>
  <c r="N22" i="3"/>
  <c r="L22" i="3"/>
  <c r="K22" i="3"/>
  <c r="J22" i="3"/>
  <c r="I22" i="3"/>
  <c r="C22" i="3"/>
  <c r="B22" i="3"/>
  <c r="B18" i="3"/>
  <c r="W19" i="3"/>
  <c r="V19" i="3"/>
  <c r="U19" i="3"/>
  <c r="T19" i="3"/>
  <c r="R19" i="3"/>
  <c r="N19" i="3"/>
  <c r="L19" i="3"/>
  <c r="K19" i="3"/>
  <c r="J19" i="3"/>
  <c r="I19" i="3"/>
  <c r="G19" i="3"/>
  <c r="F19" i="3"/>
  <c r="E19" i="3"/>
  <c r="C19" i="3"/>
  <c r="I38" i="3"/>
  <c r="W38" i="3"/>
  <c r="V38" i="3"/>
  <c r="U38" i="3"/>
  <c r="T38" i="3"/>
  <c r="W36" i="3"/>
  <c r="V36" i="3"/>
  <c r="U36" i="3"/>
  <c r="T36" i="3"/>
  <c r="W35" i="3"/>
  <c r="V35" i="3"/>
  <c r="U35" i="3"/>
  <c r="T35" i="3"/>
  <c r="W33" i="3"/>
  <c r="V33" i="3"/>
  <c r="U33" i="3"/>
  <c r="T33" i="3"/>
  <c r="W32" i="3"/>
  <c r="V32" i="3"/>
  <c r="U32" i="3"/>
  <c r="T32" i="3"/>
  <c r="W31" i="3"/>
  <c r="V31" i="3"/>
  <c r="U31" i="3"/>
  <c r="T31" i="3"/>
  <c r="W28" i="3"/>
  <c r="V28" i="3"/>
  <c r="U28" i="3"/>
  <c r="T28" i="3"/>
  <c r="I36" i="3"/>
  <c r="I35" i="3"/>
  <c r="I33" i="3"/>
  <c r="I32" i="3"/>
  <c r="I31" i="3"/>
  <c r="I28" i="3"/>
  <c r="G38" i="3"/>
  <c r="F38" i="3"/>
  <c r="E38" i="3"/>
  <c r="G36" i="3"/>
  <c r="F36" i="3"/>
  <c r="E36" i="3"/>
  <c r="G35" i="3"/>
  <c r="F35" i="3"/>
  <c r="E35" i="3"/>
  <c r="G33" i="3"/>
  <c r="F33" i="3"/>
  <c r="E33" i="3"/>
  <c r="G32" i="3"/>
  <c r="F32" i="3"/>
  <c r="E32" i="3"/>
  <c r="G31" i="3"/>
  <c r="F31" i="3"/>
  <c r="E31" i="3"/>
  <c r="G28" i="3"/>
  <c r="F28" i="3"/>
  <c r="E28" i="3"/>
  <c r="D39" i="3"/>
  <c r="S27" i="3"/>
  <c r="S25" i="3"/>
  <c r="S26" i="3" s="1"/>
  <c r="S37" i="3" s="1"/>
  <c r="S21" i="3"/>
  <c r="S20" i="3"/>
  <c r="R26" i="3"/>
  <c r="R37" i="3" s="1"/>
  <c r="S30" i="3" l="1"/>
  <c r="S34" i="3"/>
  <c r="R30" i="3"/>
  <c r="R34" i="3"/>
  <c r="S41" i="3"/>
  <c r="S40" i="3"/>
  <c r="S39" i="3"/>
  <c r="R36" i="3"/>
  <c r="R39" i="3"/>
  <c r="R41" i="3"/>
  <c r="R40" i="3"/>
  <c r="P33" i="8"/>
  <c r="M80" i="3"/>
  <c r="O80" i="3" s="1"/>
  <c r="O24" i="8"/>
  <c r="O28" i="8"/>
  <c r="P28" i="8"/>
  <c r="Q72" i="3"/>
  <c r="P73" i="3"/>
  <c r="Q73" i="3"/>
  <c r="S19" i="3"/>
  <c r="S22" i="3"/>
  <c r="P22" i="3" s="1"/>
  <c r="Q74" i="3"/>
  <c r="P75" i="3"/>
  <c r="M74" i="3"/>
  <c r="O74" i="3" s="1"/>
  <c r="Q83" i="3"/>
  <c r="Q75" i="3"/>
  <c r="P72" i="3"/>
  <c r="S38" i="3"/>
  <c r="S33" i="3"/>
  <c r="S36" i="3"/>
  <c r="S31" i="3"/>
  <c r="R32" i="3"/>
  <c r="R38" i="3"/>
  <c r="R28" i="3"/>
  <c r="R35" i="3"/>
  <c r="S28" i="3"/>
  <c r="S32" i="3"/>
  <c r="S35" i="3"/>
  <c r="R31" i="3"/>
  <c r="R33" i="3"/>
  <c r="S66" i="3"/>
  <c r="S82" i="3"/>
  <c r="M82" i="3"/>
  <c r="D82" i="3"/>
  <c r="D11" i="3"/>
  <c r="M11" i="3" s="1"/>
  <c r="S11" i="3"/>
  <c r="D10" i="3"/>
  <c r="M10" i="3" s="1"/>
  <c r="S10" i="3"/>
  <c r="O5" i="3"/>
  <c r="O4" i="3"/>
  <c r="S8" i="3"/>
  <c r="D25" i="3"/>
  <c r="D26" i="3" s="1"/>
  <c r="D37" i="3" s="1"/>
  <c r="D20" i="3"/>
  <c r="D21" i="3"/>
  <c r="D18" i="3"/>
  <c r="M18" i="3" s="1"/>
  <c r="D16" i="3"/>
  <c r="M16" i="3" s="1"/>
  <c r="O16" i="3" s="1"/>
  <c r="D15" i="3"/>
  <c r="M15" i="3" s="1"/>
  <c r="S18" i="3"/>
  <c r="S17" i="3"/>
  <c r="S16" i="3"/>
  <c r="S15" i="3"/>
  <c r="D60" i="3"/>
  <c r="D59" i="3"/>
  <c r="M59" i="3" s="1"/>
  <c r="O59" i="3" s="1"/>
  <c r="S60" i="3"/>
  <c r="S61" i="3" s="1"/>
  <c r="S59" i="3"/>
  <c r="S58" i="3"/>
  <c r="D9" i="3"/>
  <c r="M9" i="3" s="1"/>
  <c r="O9" i="3" s="1"/>
  <c r="S9" i="3"/>
  <c r="F57" i="3"/>
  <c r="E57" i="3"/>
  <c r="S12" i="3"/>
  <c r="S13" i="3" s="1"/>
  <c r="W57" i="3"/>
  <c r="V57" i="3"/>
  <c r="U57" i="3"/>
  <c r="T57" i="3"/>
  <c r="R57" i="3"/>
  <c r="I57" i="3"/>
  <c r="G57" i="3"/>
  <c r="S56" i="3"/>
  <c r="S55" i="3"/>
  <c r="D56" i="3"/>
  <c r="M56" i="3" s="1"/>
  <c r="O56" i="3" s="1"/>
  <c r="S64" i="3"/>
  <c r="S65" i="3"/>
  <c r="D65" i="3"/>
  <c r="M65" i="3" s="1"/>
  <c r="O65" i="3" s="1"/>
  <c r="S42" i="3"/>
  <c r="S4" i="3"/>
  <c r="S7" i="3"/>
  <c r="S6" i="3"/>
  <c r="S5" i="3"/>
  <c r="D4" i="3"/>
  <c r="M4" i="3" s="1"/>
  <c r="D5" i="3"/>
  <c r="M5" i="3" s="1"/>
  <c r="I23" i="3"/>
  <c r="J24" i="3"/>
  <c r="I24" i="3" s="1"/>
  <c r="J27" i="3"/>
  <c r="D30" i="3" l="1"/>
  <c r="D34" i="3"/>
  <c r="P80" i="3"/>
  <c r="D22" i="3"/>
  <c r="M21" i="3"/>
  <c r="P21" i="3" s="1"/>
  <c r="Q20" i="3"/>
  <c r="M20" i="3"/>
  <c r="M60" i="3"/>
  <c r="P60" i="3" s="1"/>
  <c r="P61" i="3" s="1"/>
  <c r="D61" i="3"/>
  <c r="Q15" i="3"/>
  <c r="Q25" i="3"/>
  <c r="Q26" i="3"/>
  <c r="Q37" i="3" s="1"/>
  <c r="Q9" i="3"/>
  <c r="Q11" i="3"/>
  <c r="Q10" i="3"/>
  <c r="Q60" i="3"/>
  <c r="Q82" i="3"/>
  <c r="Q56" i="3"/>
  <c r="Q65" i="3"/>
  <c r="Q18" i="3"/>
  <c r="Q16" i="3"/>
  <c r="Q21" i="3"/>
  <c r="Q4" i="3"/>
  <c r="Q5" i="3"/>
  <c r="P42" i="3"/>
  <c r="Q59" i="3"/>
  <c r="P74" i="3"/>
  <c r="M19" i="3"/>
  <c r="D19" i="3"/>
  <c r="Q19" i="3" s="1"/>
  <c r="P15" i="3"/>
  <c r="M25" i="3"/>
  <c r="P59" i="3"/>
  <c r="P82" i="3"/>
  <c r="P65" i="3"/>
  <c r="P9" i="3"/>
  <c r="P5" i="3"/>
  <c r="O82" i="3"/>
  <c r="O11" i="3"/>
  <c r="P11" i="3"/>
  <c r="O10" i="3"/>
  <c r="P10" i="3"/>
  <c r="P16" i="3"/>
  <c r="O15" i="3"/>
  <c r="P4" i="3"/>
  <c r="P56" i="3"/>
  <c r="S57" i="3"/>
  <c r="Q30" i="3" l="1"/>
  <c r="Q34" i="3"/>
  <c r="Q41" i="3"/>
  <c r="Q36" i="3"/>
  <c r="Q31" i="3"/>
  <c r="Q40" i="3"/>
  <c r="Q35" i="3"/>
  <c r="Q28" i="3"/>
  <c r="Q39" i="3"/>
  <c r="Q33" i="3"/>
  <c r="Q38" i="3"/>
  <c r="Q32" i="3"/>
  <c r="O60" i="3"/>
  <c r="P18" i="3"/>
  <c r="O19" i="3"/>
  <c r="P19" i="3"/>
  <c r="O18" i="3"/>
  <c r="M26" i="3"/>
  <c r="M37" i="3" s="1"/>
  <c r="D36" i="3"/>
  <c r="D31" i="3"/>
  <c r="D33" i="3"/>
  <c r="D32" i="3"/>
  <c r="D35" i="3"/>
  <c r="D28" i="3"/>
  <c r="D38" i="3"/>
  <c r="P25" i="3"/>
  <c r="O25" i="3"/>
  <c r="I81" i="3"/>
  <c r="D81" i="3"/>
  <c r="Q81" i="3" s="1"/>
  <c r="M30" i="3" l="1"/>
  <c r="M34" i="3"/>
  <c r="P26" i="3"/>
  <c r="M41" i="3"/>
  <c r="M36" i="3"/>
  <c r="M31" i="3"/>
  <c r="M38" i="3"/>
  <c r="M32" i="3"/>
  <c r="M39" i="3"/>
  <c r="M33" i="3"/>
  <c r="M40" i="3"/>
  <c r="M35" i="3"/>
  <c r="M28" i="3"/>
  <c r="M81" i="3"/>
  <c r="O20" i="3"/>
  <c r="P20" i="3"/>
  <c r="O26" i="3"/>
  <c r="O37" i="3" s="1"/>
  <c r="P31" i="3"/>
  <c r="P33" i="3"/>
  <c r="P28" i="3"/>
  <c r="P32" i="3"/>
  <c r="J73" i="3"/>
  <c r="P34" i="3" l="1"/>
  <c r="P37" i="3"/>
  <c r="P38" i="3"/>
  <c r="P36" i="3"/>
  <c r="O30" i="3"/>
  <c r="O34" i="3"/>
  <c r="P35" i="3"/>
  <c r="P30" i="3"/>
  <c r="O39" i="3"/>
  <c r="O33" i="3"/>
  <c r="O40" i="3"/>
  <c r="O35" i="3"/>
  <c r="O28" i="3"/>
  <c r="O41" i="3"/>
  <c r="O36" i="3"/>
  <c r="O31" i="3"/>
  <c r="O38" i="3"/>
  <c r="O32" i="3"/>
  <c r="P41" i="3"/>
  <c r="P40" i="3"/>
  <c r="P39" i="3"/>
  <c r="O81" i="3"/>
  <c r="P81" i="3"/>
  <c r="D6" i="3"/>
  <c r="D7" i="3"/>
  <c r="D8" i="3"/>
  <c r="D12" i="3"/>
  <c r="D13" i="3" s="1"/>
  <c r="D17" i="3"/>
  <c r="M17" i="3" s="1"/>
  <c r="O21" i="3"/>
  <c r="M6" i="3" l="1"/>
  <c r="P6" i="3" s="1"/>
  <c r="Q6" i="3"/>
  <c r="M12" i="3"/>
  <c r="O12" i="3" s="1"/>
  <c r="Q12" i="3"/>
  <c r="M8" i="3"/>
  <c r="P8" i="3" s="1"/>
  <c r="Q8" i="3"/>
  <c r="O17" i="3"/>
  <c r="Q17" i="3"/>
  <c r="M7" i="3"/>
  <c r="P7" i="3" s="1"/>
  <c r="Q7" i="3"/>
  <c r="D40" i="3"/>
  <c r="P17" i="3" l="1"/>
  <c r="P12" i="3"/>
  <c r="P13" i="3" s="1"/>
  <c r="O8" i="3"/>
  <c r="K53" i="3"/>
  <c r="J53" i="3"/>
  <c r="H53" i="3"/>
  <c r="H52" i="3" l="1"/>
  <c r="K52" i="3" l="1"/>
  <c r="J52" i="3"/>
  <c r="J55" i="3"/>
  <c r="K55" i="3"/>
  <c r="J74" i="3"/>
  <c r="H43" i="3"/>
  <c r="H46" i="3"/>
  <c r="D69" i="3" l="1"/>
  <c r="D64" i="3"/>
  <c r="D42" i="3"/>
  <c r="D24" i="3"/>
  <c r="D27" i="3"/>
  <c r="D58" i="3"/>
  <c r="Q58" i="3" s="1"/>
  <c r="H44" i="3"/>
  <c r="H47" i="3"/>
  <c r="N47" i="3"/>
  <c r="H50" i="3"/>
  <c r="N50" i="3"/>
  <c r="M27" i="3" l="1"/>
  <c r="Q27" i="3"/>
  <c r="O42" i="3"/>
  <c r="Q42" i="3"/>
  <c r="M64" i="3"/>
  <c r="Q64" i="3"/>
  <c r="P69" i="3"/>
  <c r="M58" i="3"/>
  <c r="P58" i="3" s="1"/>
  <c r="D55" i="3"/>
  <c r="D66" i="3"/>
  <c r="O27" i="3" l="1"/>
  <c r="P27" i="3"/>
  <c r="O58" i="3"/>
  <c r="M66" i="3"/>
  <c r="Q66" i="3"/>
  <c r="D57" i="3"/>
  <c r="Q57" i="3" s="1"/>
  <c r="Q55" i="3"/>
  <c r="P64" i="3"/>
  <c r="O64" i="3"/>
  <c r="M55" i="3"/>
  <c r="O55" i="3" s="1"/>
  <c r="O7" i="3"/>
  <c r="P66" i="3" l="1"/>
  <c r="O66" i="3"/>
  <c r="P55" i="3"/>
  <c r="P57" i="3" s="1"/>
  <c r="M57" i="3"/>
  <c r="O57" i="3" s="1"/>
</calcChain>
</file>

<file path=xl/sharedStrings.xml><?xml version="1.0" encoding="utf-8"?>
<sst xmlns="http://schemas.openxmlformats.org/spreadsheetml/2006/main" count="531" uniqueCount="240">
  <si>
    <t>meta-notes</t>
  </si>
  <si>
    <t>meta-units</t>
  </si>
  <si>
    <t>charcoal - IPCC</t>
  </si>
  <si>
    <t>coal bituminous - IPCC</t>
  </si>
  <si>
    <t>natural gas - IPCC</t>
  </si>
  <si>
    <t>electricity PROXY - EU 2016</t>
  </si>
  <si>
    <t>substance</t>
  </si>
  <si>
    <t>meta-source</t>
  </si>
  <si>
    <t>CaCO3</t>
  </si>
  <si>
    <t>iron ore</t>
  </si>
  <si>
    <t>CO2 fossil</t>
  </si>
  <si>
    <t>CO2 biogenic</t>
  </si>
  <si>
    <t>CH4 fossil</t>
  </si>
  <si>
    <t>CH4 biogenic</t>
  </si>
  <si>
    <t>CO2</t>
  </si>
  <si>
    <t>WEO</t>
  </si>
  <si>
    <t>ecoinvent 3.4</t>
  </si>
  <si>
    <t>meta-source notes</t>
  </si>
  <si>
    <t>Limestone (CH)</t>
  </si>
  <si>
    <t>RER</t>
  </si>
  <si>
    <t>EU, excluding switzerland</t>
  </si>
  <si>
    <t>CH</t>
  </si>
  <si>
    <t>GLO</t>
  </si>
  <si>
    <t>including disposal</t>
  </si>
  <si>
    <t>charcoal (GLO)</t>
  </si>
  <si>
    <t>CO2+CH4</t>
  </si>
  <si>
    <t>relative to CO2 only</t>
  </si>
  <si>
    <t>CH4 land transform</t>
  </si>
  <si>
    <t>CO2 land transform</t>
  </si>
  <si>
    <t>electricity, RER, GJ</t>
  </si>
  <si>
    <t>electricity, CN, GJ</t>
  </si>
  <si>
    <t>CH4 (CO2eq)</t>
  </si>
  <si>
    <t>factory CH4</t>
  </si>
  <si>
    <t>includes methane emissions from nat gas use</t>
  </si>
  <si>
    <t>dry cleft timber</t>
  </si>
  <si>
    <t>meta-type</t>
  </si>
  <si>
    <t>mineral</t>
  </si>
  <si>
    <t>energy-fuel</t>
  </si>
  <si>
    <t>energy-electric</t>
  </si>
  <si>
    <t>biomass</t>
  </si>
  <si>
    <t>chemical</t>
  </si>
  <si>
    <t>transport</t>
  </si>
  <si>
    <t>factory</t>
  </si>
  <si>
    <t>dry wood chips (EU no swiss)</t>
  </si>
  <si>
    <t>dry wood chips (EU no swiss) also</t>
  </si>
  <si>
    <t>Clinker - EU</t>
  </si>
  <si>
    <t>clay</t>
  </si>
  <si>
    <t>gypsum</t>
  </si>
  <si>
    <t>t CO2 / t product</t>
  </si>
  <si>
    <t>t CO2eq/t product</t>
  </si>
  <si>
    <t>sand</t>
  </si>
  <si>
    <t>bauxite</t>
  </si>
  <si>
    <t>ecoinvent - clinker EU wo CH (cement factory use + refactory bricks)</t>
  </si>
  <si>
    <t>ecoinvent - clinker EU wo CH (waste disposal)</t>
  </si>
  <si>
    <t>clinker waste disposal</t>
  </si>
  <si>
    <t>meta-alt name</t>
  </si>
  <si>
    <t>water</t>
  </si>
  <si>
    <t>aggregate</t>
  </si>
  <si>
    <t>aggregate-ROW</t>
  </si>
  <si>
    <t>tkm lorry transport  &gt;32t EURO6</t>
  </si>
  <si>
    <t>calcerous marl</t>
  </si>
  <si>
    <t>transport - pipeline onshore  (tkm)</t>
  </si>
  <si>
    <t>transport - pipeline offshore  (tkm)</t>
  </si>
  <si>
    <t>transport - lorry (tkm)</t>
  </si>
  <si>
    <t>Infrastructure Use - charcoal kiln</t>
  </si>
  <si>
    <t>Infrastructure Use - heat generation (GJ)</t>
  </si>
  <si>
    <t>CO2 infrastructure</t>
  </si>
  <si>
    <t>Infrastructure Use - Cement Mixing</t>
  </si>
  <si>
    <t>Infrastructure Use - CO2 Capture</t>
  </si>
  <si>
    <t>Infrastructure Use - Concrete (m3)</t>
  </si>
  <si>
    <t>transport - rail (tkm)</t>
  </si>
  <si>
    <t>per tonne of machinery - Industrial Heavy Machinery unspecified RER</t>
  </si>
  <si>
    <t>Cleft timber, measured as dry mass {Europe without Switzerland}| market for | APOS, U includes transport</t>
  </si>
  <si>
    <t>1.06383E-8 p per t of CO2</t>
  </si>
  <si>
    <t>Shackel thesis/Koornneef 2008</t>
  </si>
  <si>
    <t>ammonia</t>
  </si>
  <si>
    <t>concrete disposal</t>
  </si>
  <si>
    <t>concrete admixture</t>
  </si>
  <si>
    <t>MEA</t>
  </si>
  <si>
    <t>Infrastructure Use - deSNOx</t>
  </si>
  <si>
    <t>assumption</t>
  </si>
  <si>
    <t>EU 2018 - 269g/kWh</t>
  </si>
  <si>
    <t>EU 2050 - 54g/kWh</t>
  </si>
  <si>
    <t xml:space="preserve">market group for electricity, medium voltage RER minus CO2 intensity of </t>
  </si>
  <si>
    <t>EU 2050 - 0g/kWh</t>
  </si>
  <si>
    <t>market for iron ore, crude ore, 46% Fe GLO</t>
  </si>
  <si>
    <t>NH3</t>
  </si>
  <si>
    <t>coal - CEMCAP</t>
  </si>
  <si>
    <t>natural gas - CEMCAP</t>
  </si>
  <si>
    <t>H2O</t>
  </si>
  <si>
    <t>grid electricity 262g/kWh</t>
  </si>
  <si>
    <t>NL electricity 390g/kWh</t>
  </si>
  <si>
    <t>dry timber for charcoal</t>
  </si>
  <si>
    <t>wood pellets (dry)</t>
  </si>
  <si>
    <t>biogenic co2 of production is included elsewhere to account for the rotation period</t>
  </si>
  <si>
    <t>grid electricity 0g/kWh</t>
  </si>
  <si>
    <t>grid electricity 200g/kWh</t>
  </si>
  <si>
    <t>grid electricity 400g/kWh</t>
  </si>
  <si>
    <t>grid electricity 600g/kWh</t>
  </si>
  <si>
    <t>grid electricity 800g/kWh</t>
  </si>
  <si>
    <t>grid electricity 1000g/kWh</t>
  </si>
  <si>
    <t>ecoinvent 3.6</t>
  </si>
  <si>
    <t>Unit</t>
  </si>
  <si>
    <t>Bauxite {GLO}| market for bauxite | APOS, S</t>
  </si>
  <si>
    <t>Clay {CH}| market for clay | APOS, S</t>
  </si>
  <si>
    <t>Gravel, round {CH}| market for gravel, round | APOS, S</t>
  </si>
  <si>
    <t>Gravel, round {RoW}| market for gravel, round | APOS, S</t>
  </si>
  <si>
    <t>Gypsum, mineral {RER}| market for gypsum, mineral | APOS, S</t>
  </si>
  <si>
    <t>Iron ore, crude ore, 63% Fe {GLO}| market for iron ore, crude ore, 63% Fe | APOS, S</t>
  </si>
  <si>
    <t>Limestone, crushed, washed {CH}| market for limestone, crushed, washed | APOS, S</t>
  </si>
  <si>
    <t>Sand {CH}| market for sand | APOS, S</t>
  </si>
  <si>
    <t>Sand {RoW}| market for sand | APOS, S</t>
  </si>
  <si>
    <t>Climate change - fossil</t>
  </si>
  <si>
    <t>kg CO2 eq</t>
  </si>
  <si>
    <t>Climate change - biogenic</t>
  </si>
  <si>
    <t>Climate change - CO2 uptake</t>
  </si>
  <si>
    <t>Climate change - land use and transf</t>
  </si>
  <si>
    <t>GWP100 Fossil</t>
  </si>
  <si>
    <t>GWP100 Biogenic</t>
  </si>
  <si>
    <t>GWP100 Land Change</t>
  </si>
  <si>
    <t>GWP100 Uptake</t>
  </si>
  <si>
    <t>sand CH</t>
  </si>
  <si>
    <t>GWP100 CC</t>
  </si>
  <si>
    <t>ecoinvent 3.7.1</t>
  </si>
  <si>
    <t>GWP100 Sum, emission only</t>
  </si>
  <si>
    <t>iron ore 63%</t>
  </si>
  <si>
    <t>average of 43% and 65% FE</t>
  </si>
  <si>
    <t>iron ore 46%</t>
  </si>
  <si>
    <t>Charcoal {GLO}| market for | APOS, S</t>
  </si>
  <si>
    <t>Hard coal {Europe, without Russia and Turkey}| market for hard coal | APOS, S</t>
  </si>
  <si>
    <t>(density: 0.81kg/m3)</t>
  </si>
  <si>
    <t>Natural gas, high pressure {Europe without Switzerland}| market group for | APOS, S</t>
  </si>
  <si>
    <t>Natural gas, high pressure {GLO}| market group for | APOS, S</t>
  </si>
  <si>
    <t>Natural gas, high pressure {NL}| market for | APOS, S</t>
  </si>
  <si>
    <t>natural gas - GLO</t>
  </si>
  <si>
    <t>natural gas - NL</t>
  </si>
  <si>
    <t>Bundle, energy wood, measured as dry mass {RoW}| market for bundle, energy wood, measured as dry mass | APOS, S</t>
  </si>
  <si>
    <t>Bundle, energy wood, measured as dry mass {SE}| market for bundle, energy wood, measured as dry mass | APOS, S</t>
  </si>
  <si>
    <t>Cleft timber, measured as dry mass {Europe without Switzerland}| market for | APOS, S</t>
  </si>
  <si>
    <t>Cleft timber, measured as dry mass {RoW}| market for | APOS, S</t>
  </si>
  <si>
    <t>dry cleft timber ROW</t>
  </si>
  <si>
    <t>energy wood bundle ROW</t>
  </si>
  <si>
    <t>energy wood bundle SE</t>
  </si>
  <si>
    <t>Wood chips, dry, measured as dry mass {RER}| market for | APOS, S</t>
  </si>
  <si>
    <t>Wood chips, wet, measured as dry mass {Europe without Switzerland}| market for | APOS, S</t>
  </si>
  <si>
    <t>electricity, NL, GJ</t>
  </si>
  <si>
    <t>Electricity, medium voltage {NL}| market for | APOS, S</t>
  </si>
  <si>
    <t>Electricity, medium voltage {RER}| market group for | APOS, S</t>
  </si>
  <si>
    <t>Calcareous marl {RER}| market for calcareous marl | APOS, S</t>
  </si>
  <si>
    <t>Clinker {Europe without Switzerland}| market for clinker | APOS, S</t>
  </si>
  <si>
    <t>Sodium hydroxide, without water, in 50% solution state {GLO}| market for | APOS, S</t>
  </si>
  <si>
    <t>Damage category</t>
  </si>
  <si>
    <t>Climate change</t>
  </si>
  <si>
    <t>Carbon dioxide, biogenic</t>
  </si>
  <si>
    <t>Carbon dioxide, fossil</t>
  </si>
  <si>
    <t>Carbon dioxide, land transformation</t>
  </si>
  <si>
    <t>Methane</t>
  </si>
  <si>
    <t>Monoethanolamine {GLO}| market for | APOS, S</t>
  </si>
  <si>
    <t>Ammonia, anhydrous, liquid {RER}| market for ammonia, anhydrous, liquid | APOS, S</t>
  </si>
  <si>
    <t>Municipal waste collection service by 21 metric ton lorry {GLO}| market for | APOS, S</t>
  </si>
  <si>
    <t>Transport, pipeline, long distance, natural gas {RER}| market for transport, pipeline, long distance, natural gas | APOS, S</t>
  </si>
  <si>
    <t>Transport, pipeline, offshore, long distance, natural gas {RER}| market for transport, pipeline, offshore, long distance, natural gas | APOS, S</t>
  </si>
  <si>
    <t>Transport, pipeline, onshore, long distance, natural gas {RER}| market for transport, pipeline, onshore, long distance, natural gas | APOS, S</t>
  </si>
  <si>
    <t>Transport, freight train {Europe without Switzerland}| market for | APOS, S</t>
  </si>
  <si>
    <t>NaOH</t>
  </si>
  <si>
    <t>-</t>
  </si>
  <si>
    <t>dried wood chips (EU no swiss)</t>
  </si>
  <si>
    <t>waste transport (tkm)</t>
  </si>
  <si>
    <t>tkm lorry transport 16-32t EURO6</t>
  </si>
  <si>
    <t>tkm lorry transport light commercial EURO6</t>
  </si>
  <si>
    <t>transport - pipeline  (tkm)</t>
  </si>
  <si>
    <t>Other GHGs (CO2eq)</t>
  </si>
  <si>
    <t>Wood pellet, measured as dry mass {RER}| wood pellet production | APOS, S</t>
  </si>
  <si>
    <t>Tap water {RER}| market group for | APOS, S</t>
  </si>
  <si>
    <t>Spent solvent mixture {Europe without Switzerland}| treatment of spent solvent mixture, hazardous waste incineration | APOS, S</t>
  </si>
  <si>
    <t>Waste concrete {Europe without Switzerland}| market for waste concrete | APOS, S</t>
  </si>
  <si>
    <t>Inert waste {Europe without Switzerland}| treatment of inert waste, sanitary landfill | APOS, S</t>
  </si>
  <si>
    <t>Cement, alternative constituents 21-35% {Europe without Switzerland}| production | APOS, S</t>
  </si>
  <si>
    <t>Cement, blast furnace slag 18-30% and 18-30% other alternative constituents {Europe without Switzerland}| production | APOS, S</t>
  </si>
  <si>
    <t>Cement, blast furnace slag 6-34% {RoW}| cement production, blast furnace slag 6-34% | APOS, S</t>
  </si>
  <si>
    <t>Cement, Portland {Europe without Switzerland}| production | APOS, S</t>
  </si>
  <si>
    <t>Cement, pozzolana and fly ash 11-35% {Europe without Switzerland}| cement production, pozzolana and fly ash 11-35% | APOS, S</t>
  </si>
  <si>
    <t>Cement, alternative constituents 21-35% {CH}| market for | APOS, S</t>
  </si>
  <si>
    <t>Cement, alternative constituents 6-20% {CH}| market for | APOS, S</t>
  </si>
  <si>
    <t>Chemical, organic {GLO}| market for | APOS, S</t>
  </si>
  <si>
    <t>INFRA Cement, alternative constituents 6-20% {Europe without Switzerland}| production | APOS, U</t>
  </si>
  <si>
    <t>INFRA Wood pellet, measured as dry mass {RER}| wood pellet production | APOS, U</t>
  </si>
  <si>
    <t>m3 Concrete, high exacting requirements {CH}| concrete production, for building construction, with cement CEM II/A | APOS, S</t>
  </si>
  <si>
    <t>m3 Concrete, high exacting requirements {CH}| concrete production, for building construction, with cement CEM II/B | APOS, S</t>
  </si>
  <si>
    <t>m3 Concrete, normal {CH}| unreinforced concrete production, with cement CEM II/A | APOS, S</t>
  </si>
  <si>
    <t>m3 Concrete, normal {CH}| unreinforced concrete production, with cement CEM II/B | APOS, S</t>
  </si>
  <si>
    <t>tkm Transport, freight, light commercial vehicle {RER}| market group for transport, freight, light commercial vehicle | APOS, S</t>
  </si>
  <si>
    <t>tkm Transport, freight, lorry &gt;32 metric ton, euro6 {RER}| market for transport, freight, lorry &gt;32 metric ton, EURO6 | APOS, S</t>
  </si>
  <si>
    <t>tkm Transport, freight, lorry 16-32 metric ton, euro6 {RER}| market for transport, freight, lorry 16-32 metric ton, EURO6 | APOS, S</t>
  </si>
  <si>
    <t>m3 Wastewater from ceramic production {CH}| market for wastewater from ceramic production | APOS, S</t>
  </si>
  <si>
    <t>m3 Wastewater from concrete production {CH}| market for wastewater from concrete production | APOS, S</t>
  </si>
  <si>
    <t>m3 Wastewater from ground granulated blast furnace slag production {GLO}| market for | APOS, S</t>
  </si>
  <si>
    <t>m3 INFRA concrete, 25MPa {RoW}| concrete production, 25MPa, ready-mix, with cement blast furnace slag 6-34% | APOS, U</t>
  </si>
  <si>
    <t>GJ INFRA Heat, central or small-scale, natural gas {Europe without Switzerland}| heat production, natural gas, at boiler atm. low-NOx condensing non-modulating &lt;100kW | APOS, U</t>
  </si>
  <si>
    <t>GJ INFRA Heat, district or industrial, other than natural gas {CH}| heat production, softwood chips from forest, at furnace 1000kW | APOS, U</t>
  </si>
  <si>
    <t>GJ Heat, central or small-scale, natural gas {Europe without Switzerland}| heat production, natural gas, at boiler atm. low-NOx condensing non-modulating &lt;100kW | APOS, S</t>
  </si>
  <si>
    <t>GJ Heat, central or small-scale, natural gas {Europe without Switzerland}| heat production, natural gas, at boiler atmospheric non-modulating &lt;100kW | APOS, S</t>
  </si>
  <si>
    <t>GJ Heat, central or small-scale, natural gas {Europe without Switzerland}| heat production, natural gas, at boiler fan burner low-NOx non-modulating &lt;100kW | APOS, S</t>
  </si>
  <si>
    <t>GJ Heat, district or industrial, natural gas {Europe without Switzerland}| heat production, natural gas, at boiler condensing modulating &gt;100kW | APOS, S</t>
  </si>
  <si>
    <t>GJ Heat, district or industrial, natural gas {Europe without Switzerland}| heat production, natural gas, at boiler modulating &gt;100kW | APOS, S</t>
  </si>
  <si>
    <t>GJ Heat, district or industrial, natural gas {Europe without Switzerland}| heat production, natural gas, at industrial furnace &gt;100kW | APOS, S</t>
  </si>
  <si>
    <t>GJ Heat, district or industrial, other than natural gas {CH}| heat production, hardwood chips from forest, at furnace 1000kW, state-of-the-art 2014 | APOS, S</t>
  </si>
  <si>
    <t>GJ Heat, district or industrial, other than natural gas {CH}| heat production, hardwood chips from forest, at furnace 300kW, state-of-the-art 2014 | APOS, S</t>
  </si>
  <si>
    <t>GJ Heat, district or industrial, other than natural gas {CH}| heat production, hardwood chips from forest, at furnace 5000kW, state-of-the-art 2014 | APOS, S</t>
  </si>
  <si>
    <t>GJ Heat, district or industrial, other than natural gas {CH}| heat production, softwood chips from forest, at furnace 1000kW, state-of-the-art 2014 | APOS, S</t>
  </si>
  <si>
    <t>GJ Heat, district or industrial, other than natural gas {CH}| heat production, softwood chips from forest, at furnace 300kW, state-of-the-art 2014 | APOS, S</t>
  </si>
  <si>
    <t>GJ Heat, district or industrial, other than natural gas {CH}| heat production, softwood chips from forest, at furnace 5000kW, state-of-the-art 2014 | APOS, S</t>
  </si>
  <si>
    <t>market group for electricity, medium voltage RER minus direct CO2 intensity of NL 2017 (from OWID)</t>
  </si>
  <si>
    <t>Infrastructure Use - heat generation (GJ) - wood furance</t>
  </si>
  <si>
    <t>Infrastructure Use - wood pellet</t>
  </si>
  <si>
    <t>get data for lime kiln</t>
  </si>
  <si>
    <t>wood pellets, dry</t>
  </si>
  <si>
    <t>wood pellets, inc production bio CO2</t>
  </si>
  <si>
    <t>unused: Infrastructure Use - lime kiln</t>
  </si>
  <si>
    <t>unused Infrastructure Use - Clinker Kiln</t>
  </si>
  <si>
    <t>embodied in cement mixing</t>
  </si>
  <si>
    <t>unused Infrastructure Use - electricity generation (GJ)</t>
  </si>
  <si>
    <t>embodied in grid electricity upstream co2</t>
  </si>
  <si>
    <t>unused Heavy Machinery</t>
  </si>
  <si>
    <t>50/50 43%/63% Fe crude ore</t>
  </si>
  <si>
    <t>CO2 removed - ignored</t>
  </si>
  <si>
    <t>CO2 removed</t>
  </si>
  <si>
    <t>factory CO2 removed</t>
  </si>
  <si>
    <t>t CO2 / t fuel</t>
  </si>
  <si>
    <t>factory CO2</t>
  </si>
  <si>
    <t xml:space="preserve">t CO2eq/t </t>
  </si>
  <si>
    <t>calcination CO2</t>
  </si>
  <si>
    <t>m3 Concrete, normal {CH}| unreinforced concrete production, with cement CEM II/B MINUS 200kg of Cement, alternative constituents 21-35% {CH}</t>
  </si>
  <si>
    <t>DISPOSAL - spent solvent</t>
  </si>
  <si>
    <t>DISPOSAL - water</t>
  </si>
  <si>
    <t>DISPOSAL - solids</t>
  </si>
  <si>
    <t>grid electricity 0g-kWh</t>
  </si>
  <si>
    <t>grid electricity 800g-kWh</t>
  </si>
  <si>
    <t>grid electricity 400g-kWh</t>
  </si>
  <si>
    <t>grid electricity 54g/kWh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</si>
</sst>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000"/>
    <numFmt numFmtId="165" formatCode="0.00000"/>
    <numFmt numFmtId="166" formatCode="0.000000"/>
    <numFmt numFmtId="167" formatCode="_ * #,##0.000_ ;_ * \-#,##0.000_ ;_ * &quot;-&quot;??_ ;_ @_ "/>
    <numFmt numFmtId="168" formatCode="0.00000000"/>
    <numFmt numFmtId="169" formatCode="0.0000E+00"/>
  </numFmts>
  <fonts count="18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11" fontId="2" fillId="0" borderId="0" xfId="0" applyNumberFormat="1" applyFont="1"/>
    <xf numFmtId="11" fontId="0" fillId="0" borderId="0" xfId="0" applyNumberFormat="1"/>
    <xf numFmtId="9" fontId="2" fillId="0" borderId="0" xfId="1" applyFont="1"/>
    <xf numFmtId="9" fontId="5" fillId="0" borderId="0" xfId="1" applyFont="1"/>
    <xf numFmtId="0" fontId="0" fillId="0" borderId="0" xfId="0" applyFont="1"/>
    <xf numFmtId="0" fontId="0" fillId="0" borderId="0" xfId="0" applyFont="1" applyAlignment="1">
      <alignment wrapText="1"/>
    </xf>
    <xf numFmtId="0" fontId="6" fillId="0" borderId="0" xfId="0" applyFont="1" applyBorder="1" applyAlignment="1">
      <alignment horizontal="left" vertical="top"/>
    </xf>
    <xf numFmtId="0" fontId="7" fillId="0" borderId="0" xfId="0" applyFont="1" applyAlignment="1">
      <alignment wrapText="1"/>
    </xf>
    <xf numFmtId="0" fontId="8" fillId="0" borderId="0" xfId="0" applyFont="1" applyBorder="1" applyAlignment="1">
      <alignment horizontal="left" vertical="top"/>
    </xf>
    <xf numFmtId="0" fontId="7" fillId="0" borderId="0" xfId="0" applyFont="1"/>
    <xf numFmtId="165" fontId="0" fillId="0" borderId="0" xfId="0" applyNumberFormat="1"/>
    <xf numFmtId="165" fontId="0" fillId="0" borderId="0" xfId="0" applyNumberFormat="1" applyAlignment="1">
      <alignment wrapText="1"/>
    </xf>
    <xf numFmtId="165" fontId="1" fillId="0" borderId="0" xfId="0" applyNumberFormat="1" applyFont="1"/>
    <xf numFmtId="165" fontId="3" fillId="0" borderId="0" xfId="0" applyNumberFormat="1" applyFont="1"/>
    <xf numFmtId="0" fontId="9" fillId="0" borderId="0" xfId="0" applyFont="1"/>
    <xf numFmtId="0" fontId="10" fillId="2" borderId="0" xfId="0" applyFont="1" applyFill="1"/>
    <xf numFmtId="0" fontId="10" fillId="0" borderId="0" xfId="0" applyFont="1"/>
    <xf numFmtId="165" fontId="9" fillId="0" borderId="0" xfId="0" applyNumberFormat="1" applyFont="1"/>
    <xf numFmtId="11" fontId="9" fillId="0" borderId="0" xfId="0" applyNumberFormat="1" applyFont="1"/>
    <xf numFmtId="0" fontId="10" fillId="0" borderId="0" xfId="0" applyFont="1" applyAlignment="1">
      <alignment wrapText="1"/>
    </xf>
    <xf numFmtId="0" fontId="11" fillId="0" borderId="0" xfId="0" applyFont="1"/>
    <xf numFmtId="165" fontId="5" fillId="0" borderId="0" xfId="0" applyNumberFormat="1" applyFont="1"/>
    <xf numFmtId="165" fontId="2" fillId="0" borderId="0" xfId="0" applyNumberFormat="1" applyFont="1"/>
    <xf numFmtId="0" fontId="7" fillId="2" borderId="0" xfId="0" applyFont="1" applyFill="1"/>
    <xf numFmtId="0" fontId="2" fillId="2" borderId="0" xfId="0" applyFont="1" applyFill="1"/>
    <xf numFmtId="0" fontId="0" fillId="2" borderId="0" xfId="0" applyFont="1" applyFill="1"/>
    <xf numFmtId="165" fontId="0" fillId="2" borderId="0" xfId="0" applyNumberFormat="1" applyFont="1" applyFill="1"/>
    <xf numFmtId="164" fontId="0" fillId="2" borderId="0" xfId="0" applyNumberFormat="1" applyFont="1" applyFill="1"/>
    <xf numFmtId="0" fontId="7" fillId="0" borderId="0" xfId="0" applyFont="1" applyFill="1"/>
    <xf numFmtId="165" fontId="7" fillId="0" borderId="0" xfId="0" applyNumberFormat="1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164" fontId="7" fillId="0" borderId="0" xfId="0" applyNumberFormat="1" applyFont="1"/>
    <xf numFmtId="165" fontId="2" fillId="0" borderId="0" xfId="0" applyNumberFormat="1" applyFont="1" applyFill="1"/>
    <xf numFmtId="0" fontId="0" fillId="0" borderId="1" xfId="0" applyFont="1" applyBorder="1" applyAlignment="1">
      <alignment wrapText="1"/>
    </xf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0" fillId="2" borderId="1" xfId="0" applyFont="1" applyFill="1" applyBorder="1"/>
    <xf numFmtId="0" fontId="8" fillId="0" borderId="1" xfId="0" applyFont="1" applyBorder="1" applyAlignment="1">
      <alignment horizontal="left" vertical="top"/>
    </xf>
    <xf numFmtId="0" fontId="7" fillId="0" borderId="1" xfId="0" applyFont="1" applyBorder="1"/>
    <xf numFmtId="0" fontId="0" fillId="0" borderId="1" xfId="0" applyFont="1" applyBorder="1"/>
    <xf numFmtId="165" fontId="7" fillId="0" borderId="1" xfId="0" applyNumberFormat="1" applyFont="1" applyFill="1" applyBorder="1"/>
    <xf numFmtId="165" fontId="0" fillId="2" borderId="1" xfId="0" applyNumberFormat="1" applyFont="1" applyFill="1" applyBorder="1"/>
    <xf numFmtId="165" fontId="9" fillId="0" borderId="1" xfId="0" applyNumberFormat="1" applyFont="1" applyBorder="1"/>
    <xf numFmtId="0" fontId="0" fillId="0" borderId="1" xfId="0" applyBorder="1"/>
    <xf numFmtId="0" fontId="2" fillId="0" borderId="1" xfId="0" applyFont="1" applyBorder="1" applyAlignment="1">
      <alignment wrapText="1"/>
    </xf>
    <xf numFmtId="9" fontId="2" fillId="0" borderId="1" xfId="1" applyFont="1" applyBorder="1"/>
    <xf numFmtId="0" fontId="2" fillId="2" borderId="1" xfId="0" applyFont="1" applyFill="1" applyBorder="1"/>
    <xf numFmtId="0" fontId="7" fillId="0" borderId="1" xfId="0" applyFont="1" applyFill="1" applyBorder="1"/>
    <xf numFmtId="165" fontId="0" fillId="0" borderId="0" xfId="0" applyNumberFormat="1" applyFont="1"/>
    <xf numFmtId="9" fontId="2" fillId="0" borderId="0" xfId="1" applyFont="1" applyFill="1"/>
    <xf numFmtId="11" fontId="7" fillId="0" borderId="0" xfId="0" applyNumberFormat="1" applyFont="1" applyFill="1"/>
    <xf numFmtId="0" fontId="2" fillId="0" borderId="0" xfId="0" applyFont="1" applyFill="1"/>
    <xf numFmtId="11" fontId="2" fillId="0" borderId="0" xfId="0" applyNumberFormat="1" applyFont="1" applyFill="1"/>
    <xf numFmtId="164" fontId="0" fillId="0" borderId="0" xfId="0" applyNumberFormat="1" applyFont="1" applyFill="1"/>
    <xf numFmtId="0" fontId="0" fillId="0" borderId="1" xfId="0" applyFont="1" applyFill="1" applyBorder="1"/>
    <xf numFmtId="0" fontId="10" fillId="0" borderId="0" xfId="0" applyFont="1" applyFill="1"/>
    <xf numFmtId="11" fontId="10" fillId="0" borderId="0" xfId="0" applyNumberFormat="1" applyFont="1" applyFill="1"/>
    <xf numFmtId="0" fontId="0" fillId="0" borderId="0" xfId="0" applyFont="1" applyFill="1"/>
    <xf numFmtId="0" fontId="2" fillId="0" borderId="1" xfId="0" applyFont="1" applyFill="1" applyBorder="1"/>
    <xf numFmtId="0" fontId="12" fillId="0" borderId="0" xfId="0" applyFont="1" applyFill="1"/>
    <xf numFmtId="11" fontId="12" fillId="0" borderId="0" xfId="0" applyNumberFormat="1" applyFont="1" applyFill="1"/>
    <xf numFmtId="9" fontId="13" fillId="0" borderId="0" xfId="1" applyFont="1" applyFill="1"/>
    <xf numFmtId="0" fontId="13" fillId="0" borderId="0" xfId="0" applyFont="1" applyFill="1"/>
    <xf numFmtId="11" fontId="13" fillId="0" borderId="0" xfId="0" applyNumberFormat="1" applyFont="1" applyFill="1"/>
    <xf numFmtId="164" fontId="7" fillId="0" borderId="0" xfId="0" applyNumberFormat="1" applyFont="1" applyFill="1"/>
    <xf numFmtId="164" fontId="2" fillId="0" borderId="0" xfId="0" applyNumberFormat="1" applyFont="1" applyFill="1"/>
    <xf numFmtId="0" fontId="16" fillId="0" borderId="0" xfId="0" applyFont="1" applyFill="1"/>
    <xf numFmtId="165" fontId="0" fillId="0" borderId="0" xfId="0" applyNumberFormat="1" applyFont="1" applyFill="1"/>
    <xf numFmtId="11" fontId="0" fillId="0" borderId="0" xfId="0" applyNumberFormat="1" applyFont="1" applyFill="1"/>
    <xf numFmtId="11" fontId="0" fillId="0" borderId="0" xfId="0" applyNumberFormat="1" applyFont="1"/>
    <xf numFmtId="165" fontId="0" fillId="0" borderId="1" xfId="0" applyNumberFormat="1" applyFont="1" applyBorder="1"/>
    <xf numFmtId="11" fontId="10" fillId="0" borderId="0" xfId="0" applyNumberFormat="1" applyFont="1"/>
    <xf numFmtId="164" fontId="0" fillId="0" borderId="0" xfId="0" applyNumberFormat="1" applyFont="1"/>
    <xf numFmtId="11" fontId="0" fillId="0" borderId="1" xfId="0" applyNumberFormat="1" applyFont="1" applyBorder="1"/>
    <xf numFmtId="11" fontId="0" fillId="0" borderId="0" xfId="0" applyNumberFormat="1" applyFont="1" applyAlignment="1">
      <alignment wrapText="1"/>
    </xf>
    <xf numFmtId="168" fontId="0" fillId="0" borderId="0" xfId="0" applyNumberFormat="1" applyFont="1"/>
    <xf numFmtId="168" fontId="0" fillId="0" borderId="0" xfId="0" applyNumberFormat="1" applyFont="1" applyAlignment="1">
      <alignment wrapText="1"/>
    </xf>
    <xf numFmtId="11" fontId="0" fillId="0" borderId="1" xfId="0" applyNumberFormat="1" applyFont="1" applyBorder="1" applyAlignment="1">
      <alignment wrapText="1"/>
    </xf>
    <xf numFmtId="165" fontId="0" fillId="0" borderId="1" xfId="0" applyNumberFormat="1" applyFont="1" applyFill="1" applyBorder="1"/>
    <xf numFmtId="164" fontId="0" fillId="0" borderId="0" xfId="0" applyNumberFormat="1" applyFont="1" applyAlignment="1"/>
    <xf numFmtId="11" fontId="7" fillId="0" borderId="0" xfId="0" applyNumberFormat="1" applyFont="1"/>
    <xf numFmtId="167" fontId="4" fillId="0" borderId="1" xfId="3" applyNumberFormat="1" applyFont="1" applyBorder="1"/>
    <xf numFmtId="0" fontId="0" fillId="0" borderId="0" xfId="0" applyFont="1" applyAlignment="1"/>
    <xf numFmtId="0" fontId="17" fillId="0" borderId="1" xfId="0" applyFont="1" applyBorder="1"/>
    <xf numFmtId="11" fontId="0" fillId="0" borderId="0" xfId="0" applyNumberFormat="1" applyFont="1" applyAlignment="1"/>
    <xf numFmtId="165" fontId="7" fillId="0" borderId="0" xfId="0" applyNumberFormat="1" applyFont="1"/>
    <xf numFmtId="165" fontId="7" fillId="0" borderId="1" xfId="0" applyNumberFormat="1" applyFont="1" applyBorder="1"/>
    <xf numFmtId="166" fontId="0" fillId="0" borderId="1" xfId="0" applyNumberFormat="1" applyFont="1" applyFill="1" applyBorder="1"/>
    <xf numFmtId="166" fontId="0" fillId="0" borderId="1" xfId="0" applyNumberFormat="1" applyFont="1" applyBorder="1"/>
    <xf numFmtId="165" fontId="13" fillId="0" borderId="0" xfId="0" applyNumberFormat="1" applyFont="1" applyFill="1"/>
    <xf numFmtId="169" fontId="0" fillId="0" borderId="0" xfId="0" applyNumberFormat="1" applyFont="1" applyFill="1"/>
    <xf numFmtId="168" fontId="0" fillId="0" borderId="0" xfId="0" applyNumberFormat="1" applyFont="1" applyFill="1"/>
    <xf numFmtId="168" fontId="0" fillId="0" borderId="0" xfId="0" applyNumberFormat="1" applyFont="1" applyFill="1" applyAlignment="1">
      <alignment wrapText="1"/>
    </xf>
    <xf numFmtId="164" fontId="0" fillId="0" borderId="0" xfId="0" applyNumberFormat="1"/>
    <xf numFmtId="11" fontId="12" fillId="0" borderId="0" xfId="0" applyNumberFormat="1" applyFont="1"/>
    <xf numFmtId="9" fontId="13" fillId="0" borderId="0" xfId="1" applyFont="1"/>
    <xf numFmtId="164" fontId="7" fillId="0" borderId="1" xfId="0" applyNumberFormat="1" applyFont="1" applyFill="1" applyBorder="1"/>
    <xf numFmtId="1" fontId="2" fillId="0" borderId="0" xfId="0" applyNumberFormat="1" applyFont="1" applyFill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0" fontId="4" fillId="0" borderId="0" xfId="2"/>
    <xf numFmtId="0" fontId="9" fillId="0" borderId="2" xfId="0" applyFont="1" applyBorder="1" applyAlignment="1">
      <alignment horizontal="center" vertical="top"/>
    </xf>
    <xf numFmtId="0" fontId="0" fillId="0" borderId="2" xfId="0" applyFont="1" applyBorder="1" applyAlignment="1">
      <alignment horizontal="left" vertical="top"/>
    </xf>
    <xf numFmtId="168" fontId="0" fillId="0" borderId="1" xfId="0" applyNumberFormat="1" applyFont="1" applyFill="1" applyBorder="1"/>
  </cellXfs>
  <cellStyles count="4">
    <cellStyle name="Comma" xfId="3" builtinId="3"/>
    <cellStyle name="Normal" xfId="0" builtinId="0"/>
    <cellStyle name="Normal 2" xfId="2" xr:uid="{00000000-0005-0000-0000-000002000000}"/>
    <cellStyle name="Per cent" xfId="1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6"/>
  <sheetViews>
    <sheetView tabSelected="1" zoomScale="110" zoomScaleNormal="110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H51" sqref="H51"/>
    </sheetView>
  </sheetViews>
  <sheetFormatPr baseColWidth="10" defaultColWidth="11.5" defaultRowHeight="15" x14ac:dyDescent="0.2"/>
  <cols>
    <col min="1" max="1" width="30.5" customWidth="1"/>
    <col min="2" max="2" width="13.1640625" customWidth="1"/>
    <col min="3" max="3" width="24.1640625" style="15" customWidth="1"/>
    <col min="4" max="4" width="10.1640625" style="16" customWidth="1"/>
    <col min="7" max="7" width="12.1640625" bestFit="1" customWidth="1"/>
    <col min="8" max="8" width="11.5" style="10"/>
    <col min="9" max="9" width="11.5" style="52"/>
    <col min="10" max="10" width="11.83203125" style="22" hidden="1" customWidth="1"/>
    <col min="11" max="12" width="11.5" style="22" hidden="1" customWidth="1"/>
    <col min="14" max="14" width="0" hidden="1" customWidth="1"/>
    <col min="16" max="16" width="11.5" style="52"/>
    <col min="17" max="17" width="11.5" style="5"/>
    <col min="18" max="18" width="11.5" style="52"/>
    <col min="20" max="21" width="11.6640625" bestFit="1" customWidth="1"/>
    <col min="22" max="22" width="12.1640625" bestFit="1" customWidth="1"/>
    <col min="23" max="23" width="11.6640625" bestFit="1" customWidth="1"/>
    <col min="24" max="24" width="21" style="52" customWidth="1"/>
  </cols>
  <sheetData>
    <row r="1" spans="1:25" ht="48" x14ac:dyDescent="0.2">
      <c r="A1" s="1" t="s">
        <v>6</v>
      </c>
      <c r="B1" s="3" t="s">
        <v>7</v>
      </c>
      <c r="C1" s="13" t="s">
        <v>55</v>
      </c>
      <c r="D1" s="17" t="s">
        <v>14</v>
      </c>
      <c r="E1" s="3" t="s">
        <v>11</v>
      </c>
      <c r="F1" s="3" t="s">
        <v>10</v>
      </c>
      <c r="G1" s="3" t="s">
        <v>28</v>
      </c>
      <c r="H1" s="11" t="s">
        <v>66</v>
      </c>
      <c r="I1" s="41" t="s">
        <v>31</v>
      </c>
      <c r="J1" s="25" t="s">
        <v>12</v>
      </c>
      <c r="K1" s="25" t="s">
        <v>13</v>
      </c>
      <c r="L1" s="25" t="s">
        <v>27</v>
      </c>
      <c r="M1" s="3" t="s">
        <v>25</v>
      </c>
      <c r="N1" s="3" t="s">
        <v>32</v>
      </c>
      <c r="O1" s="3" t="s">
        <v>26</v>
      </c>
      <c r="P1" s="53" t="s">
        <v>171</v>
      </c>
      <c r="Q1" s="3" t="s">
        <v>26</v>
      </c>
      <c r="R1" s="53" t="s">
        <v>122</v>
      </c>
      <c r="S1" s="3" t="s">
        <v>124</v>
      </c>
      <c r="T1" s="3" t="s">
        <v>117</v>
      </c>
      <c r="U1" s="3" t="s">
        <v>118</v>
      </c>
      <c r="V1" s="3" t="s">
        <v>120</v>
      </c>
      <c r="W1" s="3" t="s">
        <v>119</v>
      </c>
      <c r="X1" s="53" t="s">
        <v>17</v>
      </c>
      <c r="Y1" t="s">
        <v>35</v>
      </c>
    </row>
    <row r="2" spans="1:25" ht="17" customHeight="1" x14ac:dyDescent="0.2">
      <c r="A2" s="2" t="s">
        <v>0</v>
      </c>
      <c r="B2" s="4"/>
      <c r="C2" s="2"/>
      <c r="D2" s="18"/>
      <c r="E2" s="4"/>
      <c r="F2" s="4"/>
      <c r="G2" s="4"/>
      <c r="H2" s="2"/>
      <c r="I2" s="42"/>
      <c r="J2" s="26"/>
      <c r="K2" s="26"/>
      <c r="M2" s="5"/>
      <c r="N2" s="5"/>
      <c r="O2" s="5"/>
      <c r="P2" s="44"/>
      <c r="R2" s="44"/>
      <c r="S2" s="5"/>
      <c r="T2" s="5"/>
      <c r="U2" s="5"/>
      <c r="V2" s="5"/>
      <c r="W2" s="5"/>
    </row>
    <row r="3" spans="1:25" ht="16" x14ac:dyDescent="0.2">
      <c r="A3" s="2" t="s">
        <v>1</v>
      </c>
      <c r="B3" s="4"/>
      <c r="C3" s="2"/>
      <c r="D3" s="19" t="s">
        <v>48</v>
      </c>
      <c r="E3" s="4" t="s">
        <v>48</v>
      </c>
      <c r="F3" s="4" t="s">
        <v>48</v>
      </c>
      <c r="G3" s="4" t="s">
        <v>48</v>
      </c>
      <c r="H3" s="2"/>
      <c r="I3" s="43" t="s">
        <v>49</v>
      </c>
      <c r="J3" s="26" t="s">
        <v>49</v>
      </c>
      <c r="K3" s="26" t="s">
        <v>49</v>
      </c>
      <c r="L3" s="26" t="s">
        <v>49</v>
      </c>
      <c r="M3" s="4" t="s">
        <v>49</v>
      </c>
      <c r="N3" s="4"/>
      <c r="O3" s="5"/>
      <c r="P3" s="44"/>
      <c r="R3" s="44"/>
      <c r="S3" s="5"/>
      <c r="T3" s="5"/>
      <c r="U3" s="5"/>
      <c r="V3" s="5"/>
      <c r="W3" s="5"/>
    </row>
    <row r="4" spans="1:25" s="10" customFormat="1" x14ac:dyDescent="0.2">
      <c r="A4" s="10" t="s">
        <v>57</v>
      </c>
      <c r="B4" s="10" t="s">
        <v>123</v>
      </c>
      <c r="C4" s="10" t="s">
        <v>105</v>
      </c>
      <c r="D4" s="57">
        <f>SUM(E4:G4)</f>
        <v>5.0614320196999997E-3</v>
      </c>
      <c r="E4" s="10">
        <v>3.4797601999999998E-4</v>
      </c>
      <c r="F4" s="10">
        <v>4.7102508999999999E-3</v>
      </c>
      <c r="G4" s="78">
        <v>3.2050997000000002E-6</v>
      </c>
      <c r="I4" s="48">
        <v>1.2499115468166301E-4</v>
      </c>
      <c r="J4" s="22">
        <v>1.3200000000000001E-4</v>
      </c>
      <c r="K4" s="22"/>
      <c r="L4" s="22"/>
      <c r="M4" s="28">
        <f t="shared" ref="M4:M12" si="0">I4+D4</f>
        <v>5.1864231743816627E-3</v>
      </c>
      <c r="O4" s="28">
        <f>K4+F4</f>
        <v>4.7102508999999999E-3</v>
      </c>
      <c r="P4" s="79">
        <f t="shared" ref="P4:P12" si="1">S4-M4</f>
        <v>4.7612244818337306E-5</v>
      </c>
      <c r="Q4" s="8">
        <f t="shared" ref="Q4:Q12" si="2">S4/D4</f>
        <v>1.0341016927281048</v>
      </c>
      <c r="R4" s="48">
        <v>4.9667312000000003E-3</v>
      </c>
      <c r="S4" s="78">
        <f>T4+U4+W4</f>
        <v>5.2340354192E-3</v>
      </c>
      <c r="T4" s="10">
        <v>4.8780843999999997E-3</v>
      </c>
      <c r="U4" s="10">
        <v>3.5272626999999999E-4</v>
      </c>
      <c r="V4" s="10">
        <v>-2.6730421999999999E-4</v>
      </c>
      <c r="W4" s="78">
        <v>3.2247492E-6</v>
      </c>
      <c r="X4" s="48"/>
    </row>
    <row r="5" spans="1:25" s="10" customFormat="1" x14ac:dyDescent="0.2">
      <c r="A5" s="10" t="s">
        <v>58</v>
      </c>
      <c r="B5" s="10" t="s">
        <v>123</v>
      </c>
      <c r="C5" s="10" t="s">
        <v>106</v>
      </c>
      <c r="D5" s="57">
        <f>SUM(E5:G5)</f>
        <v>1.1017378176999999E-2</v>
      </c>
      <c r="E5" s="10">
        <v>1.5483747999999999E-4</v>
      </c>
      <c r="F5" s="10">
        <v>1.0852535999999999E-2</v>
      </c>
      <c r="G5" s="78">
        <v>1.0004696999999999E-5</v>
      </c>
      <c r="I5" s="48">
        <v>4.4611327121990769E-4</v>
      </c>
      <c r="J5" s="22">
        <v>4.5399999999999998E-4</v>
      </c>
      <c r="K5" s="22"/>
      <c r="L5" s="22"/>
      <c r="M5" s="28">
        <f t="shared" si="0"/>
        <v>1.1463491448219907E-2</v>
      </c>
      <c r="O5" s="28">
        <f>K5+F5</f>
        <v>1.0852535999999999E-2</v>
      </c>
      <c r="P5" s="79">
        <f t="shared" si="1"/>
        <v>1.0417870478009184E-4</v>
      </c>
      <c r="Q5" s="8">
        <f t="shared" si="2"/>
        <v>1.049947634288237</v>
      </c>
      <c r="R5" s="48">
        <v>1.1432640000000001E-2</v>
      </c>
      <c r="S5" s="78">
        <f>T5+U5+W5</f>
        <v>1.1567670152999998E-2</v>
      </c>
      <c r="T5" s="10">
        <v>1.1391063E-2</v>
      </c>
      <c r="U5" s="10">
        <v>1.6655985000000001E-4</v>
      </c>
      <c r="V5" s="10">
        <v>-1.3503106000000001E-4</v>
      </c>
      <c r="W5" s="78">
        <v>1.0047302999999999E-5</v>
      </c>
      <c r="X5" s="48"/>
    </row>
    <row r="6" spans="1:25" s="10" customFormat="1" x14ac:dyDescent="0.2">
      <c r="A6" s="10" t="s">
        <v>51</v>
      </c>
      <c r="B6" s="10" t="s">
        <v>123</v>
      </c>
      <c r="C6" s="10" t="s">
        <v>103</v>
      </c>
      <c r="D6" s="57">
        <f t="shared" ref="D6:D12" si="3">SUM(E6:G6)</f>
        <v>2.5705506619999999E-2</v>
      </c>
      <c r="E6" s="10">
        <v>1.3544056999999999E-4</v>
      </c>
      <c r="F6" s="10">
        <v>2.5552631999999999E-2</v>
      </c>
      <c r="G6" s="78">
        <v>1.743405E-5</v>
      </c>
      <c r="I6" s="48">
        <v>5.4034683758049892E-4</v>
      </c>
      <c r="J6" s="22"/>
      <c r="K6" s="22"/>
      <c r="L6" s="22"/>
      <c r="M6" s="28">
        <f t="shared" si="0"/>
        <v>2.6245853457580497E-2</v>
      </c>
      <c r="O6" s="28">
        <f>K6+F6</f>
        <v>2.5552631999999999E-2</v>
      </c>
      <c r="P6" s="79">
        <f t="shared" si="1"/>
        <v>4.3809335941950162E-4</v>
      </c>
      <c r="Q6" s="8">
        <f t="shared" si="2"/>
        <v>1.0380634473174992</v>
      </c>
      <c r="R6" s="48">
        <v>2.6516087000000001E-2</v>
      </c>
      <c r="S6" s="78">
        <f t="shared" ref="S6:S8" si="4">T6+U6+W6</f>
        <v>2.6683946816999999E-2</v>
      </c>
      <c r="T6" s="10">
        <v>2.6518626E-2</v>
      </c>
      <c r="U6" s="10">
        <v>1.4775159E-4</v>
      </c>
      <c r="V6" s="10">
        <v>-1.6786042000000001E-4</v>
      </c>
      <c r="W6" s="78">
        <v>1.7569227000000002E-5</v>
      </c>
      <c r="X6" s="48"/>
    </row>
    <row r="7" spans="1:25" s="10" customFormat="1" x14ac:dyDescent="0.2">
      <c r="A7" s="10" t="s">
        <v>8</v>
      </c>
      <c r="B7" s="10" t="s">
        <v>123</v>
      </c>
      <c r="C7" s="10" t="s">
        <v>109</v>
      </c>
      <c r="D7" s="57">
        <f t="shared" si="3"/>
        <v>4.8192447873999997E-3</v>
      </c>
      <c r="E7" s="10">
        <v>1.9214412999999999E-4</v>
      </c>
      <c r="F7" s="10">
        <v>4.6249524999999996E-3</v>
      </c>
      <c r="G7" s="78">
        <v>2.1481574000000001E-6</v>
      </c>
      <c r="I7" s="48">
        <v>1.1351185083177982E-4</v>
      </c>
      <c r="J7" s="22">
        <v>1.3899999999999999E-4</v>
      </c>
      <c r="K7" s="22">
        <v>2.6000000000000001E-6</v>
      </c>
      <c r="L7" s="80">
        <v>5.2999999999999998E-8</v>
      </c>
      <c r="M7" s="28">
        <f t="shared" si="0"/>
        <v>4.9327566382317799E-3</v>
      </c>
      <c r="N7" s="5"/>
      <c r="O7" s="8">
        <f t="shared" ref="O7:O12" si="5">M7/D7</f>
        <v>1.0235538670143005</v>
      </c>
      <c r="P7" s="79">
        <f t="shared" si="1"/>
        <v>1.1726603626822062E-4</v>
      </c>
      <c r="Q7" s="8">
        <f t="shared" si="2"/>
        <v>1.0478867327311063</v>
      </c>
      <c r="R7" s="48">
        <v>4.8905418000000003E-3</v>
      </c>
      <c r="S7" s="78">
        <f t="shared" si="4"/>
        <v>5.0500226745000005E-3</v>
      </c>
      <c r="T7" s="10">
        <v>4.8527641999999999E-3</v>
      </c>
      <c r="U7" s="10">
        <v>1.9509797000000001E-4</v>
      </c>
      <c r="V7" s="10">
        <v>-1.5948093000000001E-4</v>
      </c>
      <c r="W7" s="78">
        <v>2.1605045000000001E-6</v>
      </c>
      <c r="X7" s="48" t="s">
        <v>18</v>
      </c>
      <c r="Y7" s="10" t="s">
        <v>36</v>
      </c>
    </row>
    <row r="8" spans="1:25" s="10" customFormat="1" x14ac:dyDescent="0.2">
      <c r="A8" s="10" t="s">
        <v>60</v>
      </c>
      <c r="B8" s="10" t="s">
        <v>123</v>
      </c>
      <c r="C8" s="10" t="s">
        <v>148</v>
      </c>
      <c r="D8" s="57">
        <f t="shared" si="3"/>
        <v>6.0030210929000001E-3</v>
      </c>
      <c r="E8" s="10">
        <v>2.127869E-4</v>
      </c>
      <c r="F8" s="10">
        <v>5.7858403000000001E-3</v>
      </c>
      <c r="G8" s="78">
        <v>4.3938928999999996E-6</v>
      </c>
      <c r="I8" s="48">
        <v>1.8102245451261179E-4</v>
      </c>
      <c r="J8" s="22"/>
      <c r="K8" s="22"/>
      <c r="L8" s="22"/>
      <c r="M8" s="28">
        <f t="shared" si="0"/>
        <v>6.1840435474126119E-3</v>
      </c>
      <c r="O8" s="8">
        <f t="shared" si="5"/>
        <v>1.0301552254625115</v>
      </c>
      <c r="P8" s="79">
        <f t="shared" si="1"/>
        <v>1.0781742428738871E-4</v>
      </c>
      <c r="Q8" s="8">
        <f t="shared" si="2"/>
        <v>1.0481157527734863</v>
      </c>
      <c r="R8" s="48">
        <v>6.0964527000000003E-3</v>
      </c>
      <c r="S8" s="78">
        <f t="shared" si="4"/>
        <v>6.2918609717000007E-3</v>
      </c>
      <c r="T8" s="10">
        <v>6.0688258000000002E-3</v>
      </c>
      <c r="U8" s="10">
        <v>2.1861299E-4</v>
      </c>
      <c r="V8" s="10">
        <v>-1.9540827999999999E-4</v>
      </c>
      <c r="W8" s="78">
        <v>4.4221816999999999E-6</v>
      </c>
      <c r="X8" s="48" t="s">
        <v>22</v>
      </c>
      <c r="Y8" s="10" t="s">
        <v>36</v>
      </c>
    </row>
    <row r="9" spans="1:25" s="10" customFormat="1" x14ac:dyDescent="0.2">
      <c r="A9" s="10" t="s">
        <v>2</v>
      </c>
      <c r="B9" s="10" t="s">
        <v>123</v>
      </c>
      <c r="C9" s="10" t="s">
        <v>128</v>
      </c>
      <c r="D9" s="57">
        <f t="shared" si="3"/>
        <v>2.9493126541999999</v>
      </c>
      <c r="E9" s="10">
        <v>2.7080242999999999</v>
      </c>
      <c r="F9" s="10">
        <v>0.23886758</v>
      </c>
      <c r="G9" s="10">
        <v>2.4207742000000002E-3</v>
      </c>
      <c r="H9" s="5"/>
      <c r="I9" s="48">
        <v>1.2502572350581007</v>
      </c>
      <c r="J9" s="22">
        <v>2.5700000000000001E-2</v>
      </c>
      <c r="K9" s="22">
        <v>1.1200000000000001</v>
      </c>
      <c r="L9" s="22">
        <v>3.9199999999999997E-5</v>
      </c>
      <c r="M9" s="28">
        <f t="shared" si="0"/>
        <v>4.1995698892581004</v>
      </c>
      <c r="N9" s="5"/>
      <c r="O9" s="8">
        <f t="shared" si="5"/>
        <v>1.4239147834251003</v>
      </c>
      <c r="P9" s="79">
        <f t="shared" si="1"/>
        <v>0.11737444204189984</v>
      </c>
      <c r="Q9" s="8">
        <f t="shared" si="2"/>
        <v>1.4637120025753831</v>
      </c>
      <c r="R9" s="48">
        <v>0.26264258000000001</v>
      </c>
      <c r="S9" s="78">
        <f>T9+U9+W9</f>
        <v>4.3169443313000002</v>
      </c>
      <c r="T9" s="10">
        <v>0.37588956000000001</v>
      </c>
      <c r="U9" s="10">
        <v>3.9385859999999999</v>
      </c>
      <c r="V9" s="10">
        <v>-4.0543016999999999</v>
      </c>
      <c r="W9" s="10">
        <v>2.4687712999999999E-3</v>
      </c>
      <c r="X9" s="48" t="s">
        <v>24</v>
      </c>
      <c r="Y9" s="10" t="s">
        <v>37</v>
      </c>
    </row>
    <row r="10" spans="1:25" s="10" customFormat="1" x14ac:dyDescent="0.2">
      <c r="A10" s="10" t="s">
        <v>46</v>
      </c>
      <c r="B10" s="10" t="s">
        <v>123</v>
      </c>
      <c r="C10" s="10" t="s">
        <v>104</v>
      </c>
      <c r="D10" s="57">
        <f t="shared" si="3"/>
        <v>9.5543487870000006E-3</v>
      </c>
      <c r="E10" s="10">
        <v>2.7471549000000002E-4</v>
      </c>
      <c r="F10" s="10">
        <v>9.2685022000000006E-3</v>
      </c>
      <c r="G10" s="78">
        <v>1.1131096999999999E-5</v>
      </c>
      <c r="I10" s="48">
        <v>3.8355434945926088E-4</v>
      </c>
      <c r="J10" s="22"/>
      <c r="K10" s="22"/>
      <c r="L10" s="22"/>
      <c r="M10" s="28">
        <f t="shared" si="0"/>
        <v>9.937903136459262E-3</v>
      </c>
      <c r="O10" s="8">
        <f t="shared" si="5"/>
        <v>1.0401444784997946</v>
      </c>
      <c r="P10" s="79">
        <f t="shared" si="1"/>
        <v>7.947140454073881E-5</v>
      </c>
      <c r="Q10" s="8">
        <f t="shared" si="2"/>
        <v>1.0484623038495318</v>
      </c>
      <c r="R10" s="48">
        <v>9.7141837000000002E-3</v>
      </c>
      <c r="S10" s="78">
        <f>T10+U10+W10</f>
        <v>1.0017374541000001E-2</v>
      </c>
      <c r="T10" s="10">
        <v>9.7170090000000004E-3</v>
      </c>
      <c r="U10" s="10">
        <v>2.8915833000000001E-4</v>
      </c>
      <c r="V10" s="10">
        <v>-3.0319081000000002E-4</v>
      </c>
      <c r="W10" s="78">
        <v>1.1207211E-5</v>
      </c>
      <c r="X10" s="48" t="s">
        <v>21</v>
      </c>
      <c r="Y10" s="10" t="s">
        <v>36</v>
      </c>
    </row>
    <row r="11" spans="1:25" s="10" customFormat="1" x14ac:dyDescent="0.2">
      <c r="A11" s="10" t="s">
        <v>45</v>
      </c>
      <c r="B11" s="10" t="s">
        <v>123</v>
      </c>
      <c r="C11" s="10" t="s">
        <v>149</v>
      </c>
      <c r="D11" s="57">
        <f t="shared" si="3"/>
        <v>0.94534718922999994</v>
      </c>
      <c r="E11" s="10">
        <v>2.1841558000000001E-2</v>
      </c>
      <c r="F11" s="10">
        <v>0.92283660000000001</v>
      </c>
      <c r="G11" s="10">
        <v>6.6903123E-4</v>
      </c>
      <c r="I11" s="48">
        <v>1.4363132924689369E-2</v>
      </c>
      <c r="J11" s="22"/>
      <c r="K11" s="22"/>
      <c r="L11" s="22"/>
      <c r="M11" s="28">
        <f t="shared" si="0"/>
        <v>0.95971032215468932</v>
      </c>
      <c r="O11" s="8">
        <f t="shared" si="5"/>
        <v>1.0151935004285446</v>
      </c>
      <c r="P11" s="79">
        <f t="shared" si="1"/>
        <v>1.5284614453107137E-3</v>
      </c>
      <c r="Q11" s="8">
        <f t="shared" si="2"/>
        <v>1.0168103259321519</v>
      </c>
      <c r="R11" s="48">
        <v>0.95456215</v>
      </c>
      <c r="S11" s="78">
        <f>T11+U11+W11</f>
        <v>0.96123878360000004</v>
      </c>
      <c r="T11" s="10">
        <v>0.93762990999999996</v>
      </c>
      <c r="U11" s="10">
        <v>2.2930909999999999E-2</v>
      </c>
      <c r="V11" s="10">
        <v>-6.6766333999999997E-3</v>
      </c>
      <c r="W11" s="10">
        <v>6.7796359999999995E-4</v>
      </c>
      <c r="X11" s="48"/>
    </row>
    <row r="12" spans="1:25" s="10" customFormat="1" x14ac:dyDescent="0.2">
      <c r="A12" s="10" t="s">
        <v>3</v>
      </c>
      <c r="B12" s="10" t="s">
        <v>123</v>
      </c>
      <c r="C12" s="10" t="s">
        <v>129</v>
      </c>
      <c r="D12" s="81">
        <f t="shared" si="3"/>
        <v>0.168332709</v>
      </c>
      <c r="E12" s="10">
        <v>5.4132136999999999E-3</v>
      </c>
      <c r="F12" s="10">
        <v>0.16261856</v>
      </c>
      <c r="G12" s="10">
        <v>3.009353E-4</v>
      </c>
      <c r="H12" s="5"/>
      <c r="I12" s="48">
        <v>0.18561849965100544</v>
      </c>
      <c r="J12" s="22">
        <v>0.187</v>
      </c>
      <c r="K12" s="22">
        <v>1.6800000000000002E-4</v>
      </c>
      <c r="L12" s="22">
        <v>2.21E-6</v>
      </c>
      <c r="M12" s="28">
        <f t="shared" si="0"/>
        <v>0.35395120865100543</v>
      </c>
      <c r="O12" s="8">
        <f t="shared" si="5"/>
        <v>2.102688246115052</v>
      </c>
      <c r="P12" s="79">
        <f t="shared" si="1"/>
        <v>3.6974415389945947E-3</v>
      </c>
      <c r="Q12" s="8">
        <f t="shared" si="2"/>
        <v>2.1246533268231311</v>
      </c>
      <c r="R12" s="48">
        <v>0.34020229000000002</v>
      </c>
      <c r="S12" s="78">
        <f>T12+U12+W12</f>
        <v>0.35764865019000003</v>
      </c>
      <c r="T12" s="10">
        <v>0.35173895999999999</v>
      </c>
      <c r="U12" s="10">
        <v>5.6073803E-3</v>
      </c>
      <c r="V12" s="10">
        <v>-1.7446361000000001E-2</v>
      </c>
      <c r="W12" s="10">
        <v>3.0230988999999998E-4</v>
      </c>
      <c r="X12" s="48"/>
      <c r="Y12" s="10" t="s">
        <v>37</v>
      </c>
    </row>
    <row r="13" spans="1:25" s="34" customFormat="1" x14ac:dyDescent="0.2">
      <c r="A13" s="34" t="s">
        <v>87</v>
      </c>
      <c r="B13" s="34" t="s">
        <v>123</v>
      </c>
      <c r="C13" s="34" t="str">
        <f>C12</f>
        <v>Hard coal {Europe, without Russia and Turkey}| market for hard coal | APOS, S</v>
      </c>
      <c r="D13" s="73">
        <f>D12</f>
        <v>0.168332709</v>
      </c>
      <c r="E13" s="35" t="s">
        <v>165</v>
      </c>
      <c r="F13" s="35" t="s">
        <v>165</v>
      </c>
      <c r="G13" s="35" t="s">
        <v>165</v>
      </c>
      <c r="H13" s="71"/>
      <c r="I13" s="105">
        <f>I12</f>
        <v>0.18561849965100544</v>
      </c>
      <c r="J13" s="68">
        <v>0.187</v>
      </c>
      <c r="K13" s="68">
        <v>1.6800000000000002E-4</v>
      </c>
      <c r="L13" s="68">
        <v>2.21E-6</v>
      </c>
      <c r="M13" s="35" t="s">
        <v>165</v>
      </c>
      <c r="N13" s="35" t="s">
        <v>165</v>
      </c>
      <c r="O13" s="35" t="s">
        <v>165</v>
      </c>
      <c r="P13" s="105">
        <f>P12</f>
        <v>3.6974415389945947E-3</v>
      </c>
      <c r="Q13" s="35" t="s">
        <v>165</v>
      </c>
      <c r="R13" s="35" t="s">
        <v>165</v>
      </c>
      <c r="S13" s="73">
        <f>S12</f>
        <v>0.35764865019000003</v>
      </c>
      <c r="T13" s="35" t="s">
        <v>165</v>
      </c>
      <c r="U13" s="35" t="s">
        <v>165</v>
      </c>
      <c r="V13" s="35" t="s">
        <v>165</v>
      </c>
      <c r="W13" s="35" t="s">
        <v>165</v>
      </c>
      <c r="X13" s="56"/>
      <c r="Y13" s="34" t="s">
        <v>37</v>
      </c>
    </row>
    <row r="14" spans="1:25" s="10" customFormat="1" x14ac:dyDescent="0.2">
      <c r="A14" s="66" t="s">
        <v>77</v>
      </c>
      <c r="B14" s="10" t="s">
        <v>123</v>
      </c>
      <c r="C14" s="10" t="s">
        <v>184</v>
      </c>
      <c r="D14" s="57">
        <f t="shared" ref="D14" si="6">SUM(E14:G14)</f>
        <v>1.6779198590000002</v>
      </c>
      <c r="E14" s="10">
        <v>2.3556437E-2</v>
      </c>
      <c r="F14" s="10">
        <v>1.6533612</v>
      </c>
      <c r="G14" s="10">
        <v>1.0022220000000001E-3</v>
      </c>
      <c r="I14" s="48">
        <v>0.3499479677028875</v>
      </c>
      <c r="M14" s="28">
        <f t="shared" ref="M14" si="7">I14+D14</f>
        <v>2.0278678267028876</v>
      </c>
      <c r="O14" s="8">
        <f t="shared" ref="O14" si="8">M14/D14</f>
        <v>1.2085605971142435</v>
      </c>
      <c r="P14" s="79">
        <f t="shared" ref="P14" si="9">S14-M14</f>
        <v>8.0557318971123948E-3</v>
      </c>
      <c r="Q14" s="8">
        <f t="shared" ref="Q14" si="10">S14/D14</f>
        <v>1.2133616201511324</v>
      </c>
      <c r="R14" s="48">
        <v>2.0126772000000002</v>
      </c>
      <c r="S14" s="78">
        <f t="shared" ref="S14" si="11">T14+U14+W14</f>
        <v>2.0359235586</v>
      </c>
      <c r="T14" s="10">
        <v>2.0088746999999998</v>
      </c>
      <c r="U14" s="10">
        <v>2.6043988000000001E-2</v>
      </c>
      <c r="V14" s="10">
        <v>-2.3246353000000001E-2</v>
      </c>
      <c r="W14" s="10">
        <v>1.0048705999999999E-3</v>
      </c>
      <c r="X14" s="48"/>
    </row>
    <row r="15" spans="1:25" s="10" customFormat="1" ht="80" x14ac:dyDescent="0.2">
      <c r="A15" s="10" t="s">
        <v>141</v>
      </c>
      <c r="B15" s="10" t="s">
        <v>123</v>
      </c>
      <c r="C15" s="11" t="s">
        <v>136</v>
      </c>
      <c r="D15" s="57">
        <f t="shared" ref="D15:D16" si="12">SUM(E15:G15)</f>
        <v>5.1999433339999998E-2</v>
      </c>
      <c r="E15" s="10">
        <v>2.1582939999999998E-3</v>
      </c>
      <c r="F15" s="10">
        <v>4.8937981999999998E-2</v>
      </c>
      <c r="G15" s="10">
        <v>9.0315733999999997E-4</v>
      </c>
      <c r="I15" s="82">
        <v>1.77429172263599E-3</v>
      </c>
      <c r="J15" s="22"/>
      <c r="K15" s="22"/>
      <c r="L15" s="22"/>
      <c r="M15" s="28">
        <f>I15+D15</f>
        <v>5.3773725062635988E-2</v>
      </c>
      <c r="O15" s="8">
        <f t="shared" ref="O15:O21" si="13">M15/D15</f>
        <v>1.0341213664971063</v>
      </c>
      <c r="P15" s="79">
        <f t="shared" ref="P15:P22" si="14">S15-M15</f>
        <v>5.6927711736400738E-4</v>
      </c>
      <c r="Q15" s="8">
        <f t="shared" ref="Q15:Q21" si="15">S15/D15</f>
        <v>1.0450691226705586</v>
      </c>
      <c r="R15" s="48">
        <v>-1.7583219999999999</v>
      </c>
      <c r="S15" s="78">
        <f t="shared" ref="S15:S22" si="16">T15+U15+W15</f>
        <v>5.4343002179999995E-2</v>
      </c>
      <c r="T15" s="10">
        <v>5.1138062999999997E-2</v>
      </c>
      <c r="U15" s="10">
        <v>2.2927505999999999E-3</v>
      </c>
      <c r="V15" s="10">
        <v>-1.812665</v>
      </c>
      <c r="W15" s="10">
        <v>9.1218858000000004E-4</v>
      </c>
      <c r="X15" s="48"/>
    </row>
    <row r="16" spans="1:25" s="10" customFormat="1" ht="80" x14ac:dyDescent="0.2">
      <c r="A16" s="10" t="s">
        <v>142</v>
      </c>
      <c r="B16" s="10" t="s">
        <v>123</v>
      </c>
      <c r="C16" s="83" t="s">
        <v>137</v>
      </c>
      <c r="D16" s="57">
        <f t="shared" si="12"/>
        <v>5.806483087E-2</v>
      </c>
      <c r="E16" s="10">
        <v>8.0438160000000005E-3</v>
      </c>
      <c r="F16" s="10">
        <v>4.9085373000000002E-2</v>
      </c>
      <c r="G16" s="10">
        <v>9.3564186999999996E-4</v>
      </c>
      <c r="I16" s="82">
        <v>1.8758206934954441E-3</v>
      </c>
      <c r="J16" s="22"/>
      <c r="K16" s="22"/>
      <c r="L16" s="22"/>
      <c r="M16" s="28">
        <f>I16+D16</f>
        <v>5.9940651563495442E-2</v>
      </c>
      <c r="O16" s="8">
        <f t="shared" si="13"/>
        <v>1.032305625718521</v>
      </c>
      <c r="P16" s="79">
        <f t="shared" si="14"/>
        <v>8.2417455650455468E-4</v>
      </c>
      <c r="Q16" s="8">
        <f t="shared" si="15"/>
        <v>1.0464996661411958</v>
      </c>
      <c r="R16" s="48">
        <v>-1.7522339</v>
      </c>
      <c r="S16" s="78">
        <f t="shared" si="16"/>
        <v>6.0764826119999997E-2</v>
      </c>
      <c r="T16" s="10">
        <v>5.1604395999999997E-2</v>
      </c>
      <c r="U16" s="10">
        <v>8.2152301E-3</v>
      </c>
      <c r="V16" s="10">
        <v>-1.8129987999999999</v>
      </c>
      <c r="W16" s="10">
        <v>9.4520002000000002E-4</v>
      </c>
      <c r="X16" s="48"/>
    </row>
    <row r="17" spans="1:25" s="10" customFormat="1" ht="64" x14ac:dyDescent="0.2">
      <c r="A17" s="12" t="s">
        <v>34</v>
      </c>
      <c r="B17" s="10" t="s">
        <v>123</v>
      </c>
      <c r="C17" s="83" t="s">
        <v>138</v>
      </c>
      <c r="D17" s="57">
        <f>SUM(E17:G17)</f>
        <v>4.4134032599999998E-2</v>
      </c>
      <c r="E17" s="10">
        <v>1.1757864E-2</v>
      </c>
      <c r="F17" s="10">
        <v>3.0970920999999998E-2</v>
      </c>
      <c r="G17" s="10">
        <v>1.4052476000000001E-3</v>
      </c>
      <c r="H17" s="81"/>
      <c r="I17" s="82">
        <v>1.8305546899250889E-3</v>
      </c>
      <c r="J17" s="22">
        <v>1.7600000000000001E-3</v>
      </c>
      <c r="K17" s="22">
        <v>1.6699999999999999E-5</v>
      </c>
      <c r="L17" s="22">
        <v>2.2200000000000001E-5</v>
      </c>
      <c r="M17" s="28">
        <f>I17+D17</f>
        <v>4.5964587289925085E-2</v>
      </c>
      <c r="O17" s="8">
        <f t="shared" si="13"/>
        <v>1.0414771681191237</v>
      </c>
      <c r="P17" s="79">
        <f t="shared" si="14"/>
        <v>8.1999961007490907E-4</v>
      </c>
      <c r="Q17" s="8">
        <f t="shared" si="15"/>
        <v>1.0600569253216168</v>
      </c>
      <c r="R17" s="48">
        <v>-1.6079169</v>
      </c>
      <c r="S17" s="78">
        <f t="shared" si="16"/>
        <v>4.6784586899999994E-2</v>
      </c>
      <c r="T17" s="10">
        <v>3.3371751999999998E-2</v>
      </c>
      <c r="U17" s="78">
        <v>1.1993027E-2</v>
      </c>
      <c r="V17" s="10">
        <v>-1.6547015</v>
      </c>
      <c r="W17" s="78">
        <v>1.4198079E-3</v>
      </c>
      <c r="X17" s="48" t="s">
        <v>72</v>
      </c>
      <c r="Y17" s="10" t="s">
        <v>39</v>
      </c>
    </row>
    <row r="18" spans="1:25" s="10" customFormat="1" ht="48" x14ac:dyDescent="0.2">
      <c r="A18" s="12" t="s">
        <v>140</v>
      </c>
      <c r="B18" s="12" t="str">
        <f>B17</f>
        <v>ecoinvent 3.7.1</v>
      </c>
      <c r="C18" s="11" t="s">
        <v>139</v>
      </c>
      <c r="D18" s="57">
        <f t="shared" ref="D18" si="17">SUM(E18:G18)</f>
        <v>3.9861937520000001E-2</v>
      </c>
      <c r="E18" s="10">
        <v>1.4393216999999999E-3</v>
      </c>
      <c r="F18" s="10">
        <v>3.7771755999999997E-2</v>
      </c>
      <c r="G18" s="10">
        <v>6.5085982000000003E-4</v>
      </c>
      <c r="H18" s="81"/>
      <c r="I18" s="82">
        <v>1.4900703111372291E-3</v>
      </c>
      <c r="J18" s="22"/>
      <c r="K18" s="22"/>
      <c r="L18" s="22"/>
      <c r="M18" s="28">
        <f>I18+D18</f>
        <v>4.1352007831137232E-2</v>
      </c>
      <c r="O18" s="8">
        <f t="shared" si="13"/>
        <v>1.0373807798577179</v>
      </c>
      <c r="P18" s="79">
        <f t="shared" si="14"/>
        <v>4.6777705788862776E-2</v>
      </c>
      <c r="Q18" s="8">
        <f t="shared" si="15"/>
        <v>2.210873808524298</v>
      </c>
      <c r="R18" s="48">
        <v>-1.5237456</v>
      </c>
      <c r="S18" s="78">
        <f t="shared" si="16"/>
        <v>8.8129713620000008E-2</v>
      </c>
      <c r="T18" s="10">
        <v>8.5945094999999999E-2</v>
      </c>
      <c r="U18" s="78">
        <v>1.5271864E-3</v>
      </c>
      <c r="V18" s="10">
        <v>-1.6118752999999999</v>
      </c>
      <c r="W18" s="78">
        <v>6.5743221999999999E-4</v>
      </c>
      <c r="X18" s="48"/>
    </row>
    <row r="19" spans="1:25" s="15" customFormat="1" x14ac:dyDescent="0.2">
      <c r="A19" s="15" t="s">
        <v>92</v>
      </c>
      <c r="B19" s="15" t="s">
        <v>123</v>
      </c>
      <c r="C19" s="14" t="str">
        <f>C18</f>
        <v>Cleft timber, measured as dry mass {RoW}| market for | APOS, S</v>
      </c>
      <c r="D19" s="14">
        <f t="shared" ref="D19:G19" si="18">D18</f>
        <v>3.9861937520000001E-2</v>
      </c>
      <c r="E19" s="14">
        <f t="shared" si="18"/>
        <v>1.4393216999999999E-3</v>
      </c>
      <c r="F19" s="14">
        <f t="shared" si="18"/>
        <v>3.7771755999999997E-2</v>
      </c>
      <c r="G19" s="14">
        <f t="shared" si="18"/>
        <v>6.5085982000000003E-4</v>
      </c>
      <c r="H19" s="39"/>
      <c r="I19" s="46">
        <f t="shared" ref="I19:N19" si="19">I18</f>
        <v>1.4900703111372291E-3</v>
      </c>
      <c r="J19" s="14">
        <f t="shared" si="19"/>
        <v>0</v>
      </c>
      <c r="K19" s="14">
        <f t="shared" si="19"/>
        <v>0</v>
      </c>
      <c r="L19" s="14">
        <f t="shared" si="19"/>
        <v>0</v>
      </c>
      <c r="M19" s="14">
        <f t="shared" si="19"/>
        <v>4.1352007831137232E-2</v>
      </c>
      <c r="N19" s="14">
        <f t="shared" si="19"/>
        <v>0</v>
      </c>
      <c r="O19" s="8">
        <f t="shared" si="13"/>
        <v>1.0373807798577179</v>
      </c>
      <c r="P19" s="79">
        <f t="shared" si="14"/>
        <v>4.6777705788862776E-2</v>
      </c>
      <c r="Q19" s="8">
        <f t="shared" si="15"/>
        <v>2.210873808524298</v>
      </c>
      <c r="R19" s="46">
        <f t="shared" ref="R19:W19" si="20">R18</f>
        <v>-1.5237456</v>
      </c>
      <c r="S19" s="78">
        <f t="shared" si="16"/>
        <v>8.8129713620000008E-2</v>
      </c>
      <c r="T19" s="14">
        <f t="shared" si="20"/>
        <v>8.5945094999999999E-2</v>
      </c>
      <c r="U19" s="14">
        <f t="shared" si="20"/>
        <v>1.5271864E-3</v>
      </c>
      <c r="V19" s="14">
        <f t="shared" si="20"/>
        <v>-1.6118752999999999</v>
      </c>
      <c r="W19" s="14">
        <f t="shared" si="20"/>
        <v>6.5743221999999999E-4</v>
      </c>
      <c r="X19" s="47" t="s">
        <v>72</v>
      </c>
      <c r="Y19" s="15" t="s">
        <v>39</v>
      </c>
    </row>
    <row r="20" spans="1:25" s="10" customFormat="1" x14ac:dyDescent="0.2">
      <c r="A20" s="10" t="s">
        <v>166</v>
      </c>
      <c r="B20" s="10" t="s">
        <v>123</v>
      </c>
      <c r="C20" s="10" t="s">
        <v>143</v>
      </c>
      <c r="D20" s="57">
        <f>SUM(E20:G20)</f>
        <v>0.16342119499999999</v>
      </c>
      <c r="E20" s="10">
        <v>8.7754018000000003E-2</v>
      </c>
      <c r="F20" s="10">
        <v>7.4152739999999995E-2</v>
      </c>
      <c r="G20" s="10">
        <v>1.514437E-3</v>
      </c>
      <c r="H20" s="81"/>
      <c r="I20" s="48">
        <v>5.7400795611145085E-3</v>
      </c>
      <c r="J20" s="22"/>
      <c r="K20" s="22"/>
      <c r="L20" s="22"/>
      <c r="M20" s="28">
        <f>I20+D20</f>
        <v>0.16916127456111449</v>
      </c>
      <c r="N20" s="81"/>
      <c r="O20" s="8">
        <f t="shared" si="13"/>
        <v>1.0351244498066148</v>
      </c>
      <c r="P20" s="79">
        <f t="shared" si="14"/>
        <v>1.6744276388855062E-3</v>
      </c>
      <c r="Q20" s="8">
        <f t="shared" si="15"/>
        <v>1.0453705359332368</v>
      </c>
      <c r="R20" s="48">
        <v>-0.26546818</v>
      </c>
      <c r="S20" s="78">
        <f t="shared" si="16"/>
        <v>0.17083570219999999</v>
      </c>
      <c r="T20" s="84">
        <v>8.0913271999999994E-2</v>
      </c>
      <c r="U20" s="85">
        <v>8.8393191999999995E-2</v>
      </c>
      <c r="V20" s="84">
        <v>-0.43630387999999998</v>
      </c>
      <c r="W20" s="84">
        <v>1.5292382000000001E-3</v>
      </c>
      <c r="X20" s="48"/>
    </row>
    <row r="21" spans="1:25" s="66" customFormat="1" x14ac:dyDescent="0.2">
      <c r="A21" s="66" t="s">
        <v>43</v>
      </c>
      <c r="B21" s="66" t="s">
        <v>123</v>
      </c>
      <c r="C21" s="77" t="s">
        <v>144</v>
      </c>
      <c r="D21" s="76">
        <f>SUM(E21:G21)</f>
        <v>4.5314576760000003E-2</v>
      </c>
      <c r="E21" s="66">
        <v>5.7410372000000001E-3</v>
      </c>
      <c r="F21" s="66">
        <v>3.8852846000000003E-2</v>
      </c>
      <c r="G21" s="66">
        <v>7.2069356000000005E-4</v>
      </c>
      <c r="I21" s="63">
        <v>1.5423613774086734E-3</v>
      </c>
      <c r="J21" s="64">
        <v>1.47E-3</v>
      </c>
      <c r="K21" s="64">
        <v>1.3699999999999999E-5</v>
      </c>
      <c r="L21" s="64">
        <v>1.3999999999999999E-4</v>
      </c>
      <c r="M21" s="40">
        <f>I21+D21</f>
        <v>4.6856938137408675E-2</v>
      </c>
      <c r="N21" s="60"/>
      <c r="O21" s="58">
        <f t="shared" si="13"/>
        <v>1.0340367600822467</v>
      </c>
      <c r="P21" s="87">
        <f t="shared" si="14"/>
        <v>6.0156356259132016E-4</v>
      </c>
      <c r="Q21" s="58">
        <f t="shared" si="15"/>
        <v>1.0473120371697364</v>
      </c>
      <c r="R21" s="63">
        <v>-1.0187816999999999</v>
      </c>
      <c r="S21" s="99">
        <f t="shared" si="16"/>
        <v>4.7458501699999996E-2</v>
      </c>
      <c r="T21" s="100">
        <v>4.0858935999999998E-2</v>
      </c>
      <c r="U21" s="101">
        <v>5.8715963999999999E-3</v>
      </c>
      <c r="V21" s="100">
        <v>-1.0662402</v>
      </c>
      <c r="W21" s="100">
        <v>7.2796929999999996E-4</v>
      </c>
      <c r="X21" s="63" t="s">
        <v>20</v>
      </c>
      <c r="Y21" s="66" t="s">
        <v>39</v>
      </c>
    </row>
    <row r="22" spans="1:25" s="34" customFormat="1" x14ac:dyDescent="0.2">
      <c r="A22" s="34" t="s">
        <v>44</v>
      </c>
      <c r="B22" s="34" t="str">
        <f>B21</f>
        <v>ecoinvent 3.7.1</v>
      </c>
      <c r="C22" s="34" t="str">
        <f>C21</f>
        <v>Wood chips, wet, measured as dry mass {Europe without Switzerland}| market for | APOS, S</v>
      </c>
      <c r="D22" s="34">
        <f t="shared" ref="D22" si="21">D21</f>
        <v>4.5314576760000003E-2</v>
      </c>
      <c r="E22" s="34" t="s">
        <v>165</v>
      </c>
      <c r="F22" s="34" t="s">
        <v>165</v>
      </c>
      <c r="G22" s="34" t="s">
        <v>165</v>
      </c>
      <c r="I22" s="56">
        <f t="shared" ref="I22:N22" si="22">I21</f>
        <v>1.5423613774086734E-3</v>
      </c>
      <c r="J22" s="34">
        <f t="shared" si="22"/>
        <v>1.47E-3</v>
      </c>
      <c r="K22" s="34">
        <f t="shared" si="22"/>
        <v>1.3699999999999999E-5</v>
      </c>
      <c r="L22" s="34">
        <f t="shared" si="22"/>
        <v>1.3999999999999999E-4</v>
      </c>
      <c r="N22" s="34">
        <f t="shared" si="22"/>
        <v>0</v>
      </c>
      <c r="O22" s="58"/>
      <c r="P22" s="87">
        <f t="shared" si="14"/>
        <v>0</v>
      </c>
      <c r="Q22" s="58"/>
      <c r="R22" s="56"/>
      <c r="S22" s="77">
        <f t="shared" si="16"/>
        <v>0</v>
      </c>
      <c r="X22" s="56"/>
      <c r="Y22" s="34" t="s">
        <v>39</v>
      </c>
    </row>
    <row r="23" spans="1:25" s="5" customFormat="1" x14ac:dyDescent="0.2">
      <c r="A23" s="5" t="s">
        <v>5</v>
      </c>
      <c r="B23" s="5" t="s">
        <v>15</v>
      </c>
      <c r="C23" s="37"/>
      <c r="D23" s="28">
        <v>7.2999999999999995E-2</v>
      </c>
      <c r="E23" s="34" t="s">
        <v>165</v>
      </c>
      <c r="F23" s="34" t="s">
        <v>165</v>
      </c>
      <c r="G23" s="34" t="s">
        <v>165</v>
      </c>
      <c r="I23" s="44">
        <f>SUM(J23:L23)</f>
        <v>0</v>
      </c>
      <c r="O23" s="8"/>
      <c r="P23" s="54"/>
      <c r="Q23" s="8"/>
      <c r="R23" s="54"/>
      <c r="S23" s="8"/>
      <c r="T23" s="8"/>
      <c r="U23" s="8"/>
      <c r="V23" s="8"/>
      <c r="W23" s="8"/>
      <c r="X23" s="44"/>
      <c r="Y23" s="5" t="s">
        <v>38</v>
      </c>
    </row>
    <row r="24" spans="1:25" s="5" customFormat="1" x14ac:dyDescent="0.2">
      <c r="A24" s="5" t="s">
        <v>30</v>
      </c>
      <c r="B24" s="5" t="s">
        <v>16</v>
      </c>
      <c r="C24" s="37"/>
      <c r="D24" s="28">
        <f>SUM(E24:G24)</f>
        <v>0.25928180000000001</v>
      </c>
      <c r="E24" s="5">
        <v>2.4699999999999999E-4</v>
      </c>
      <c r="F24" s="5">
        <v>0.25900000000000001</v>
      </c>
      <c r="G24" s="5">
        <v>3.4799999999999999E-5</v>
      </c>
      <c r="I24" s="44">
        <f>SUM(J24:L24)</f>
        <v>5.5818774028000007E-2</v>
      </c>
      <c r="J24" s="6">
        <f>0.0558+0.000000000328</f>
        <v>5.5800000328000005E-2</v>
      </c>
      <c r="K24" s="5">
        <v>1.8700000000000001E-5</v>
      </c>
      <c r="L24" s="6">
        <v>7.3700000000000005E-8</v>
      </c>
      <c r="P24" s="44"/>
      <c r="R24" s="44"/>
      <c r="X24" s="44"/>
      <c r="Y24" s="5" t="s">
        <v>38</v>
      </c>
    </row>
    <row r="25" spans="1:25" s="10" customFormat="1" x14ac:dyDescent="0.2">
      <c r="A25" s="10" t="s">
        <v>145</v>
      </c>
      <c r="B25" s="10" t="s">
        <v>123</v>
      </c>
      <c r="C25" s="10" t="s">
        <v>146</v>
      </c>
      <c r="D25" s="57">
        <f>SUM(E25:G25)</f>
        <v>0.15319568550800003</v>
      </c>
      <c r="E25" s="10">
        <v>8.6390080999999997E-3</v>
      </c>
      <c r="F25" s="10">
        <v>0.14448726000000001</v>
      </c>
      <c r="G25" s="78">
        <v>6.9417407999999999E-5</v>
      </c>
      <c r="I25" s="48">
        <v>9.4595347992744439E-3</v>
      </c>
      <c r="J25" s="80"/>
      <c r="K25" s="22"/>
      <c r="L25" s="80"/>
      <c r="M25" s="28">
        <f>I25+D25</f>
        <v>0.16265522030727447</v>
      </c>
      <c r="O25" s="8">
        <f>M25/D25</f>
        <v>1.0617480496784648</v>
      </c>
      <c r="P25" s="79">
        <f>S25-M25</f>
        <v>2.5779281707254964E-3</v>
      </c>
      <c r="Q25" s="8">
        <f>S25/D25</f>
        <v>1.0785757309684243</v>
      </c>
      <c r="R25" s="41">
        <v>0.16126499</v>
      </c>
      <c r="S25" s="78">
        <f t="shared" ref="S25:S27" si="23">T25+U25+W25</f>
        <v>0.16523314847799997</v>
      </c>
      <c r="T25" s="11">
        <v>0.15638527999999999</v>
      </c>
      <c r="U25" s="10">
        <v>8.7780637999999994E-3</v>
      </c>
      <c r="V25" s="10">
        <v>-3.9681628999999998E-3</v>
      </c>
      <c r="W25" s="78">
        <v>6.9804677999999999E-5</v>
      </c>
      <c r="X25" s="48"/>
    </row>
    <row r="26" spans="1:25" s="34" customFormat="1" x14ac:dyDescent="0.2">
      <c r="A26" s="34" t="s">
        <v>91</v>
      </c>
      <c r="B26" s="10" t="s">
        <v>123</v>
      </c>
      <c r="C26" s="34" t="s">
        <v>212</v>
      </c>
      <c r="D26" s="35">
        <f>D25-(277.8*0.459/1000)</f>
        <v>2.5685485508000011E-2</v>
      </c>
      <c r="E26" s="34" t="s">
        <v>165</v>
      </c>
      <c r="F26" s="34" t="s">
        <v>165</v>
      </c>
      <c r="G26" s="34" t="s">
        <v>165</v>
      </c>
      <c r="I26" s="48">
        <v>9.4595347992744439E-3</v>
      </c>
      <c r="M26" s="28">
        <f>I26+D26</f>
        <v>3.5145020307274455E-2</v>
      </c>
      <c r="O26" s="8">
        <f>M26/D26</f>
        <v>1.3682832779753442</v>
      </c>
      <c r="P26" s="49">
        <f>S26-M26</f>
        <v>2.1746128170725507E-2</v>
      </c>
      <c r="Q26" s="8">
        <f>S26/D26</f>
        <v>2.2149142736772727</v>
      </c>
      <c r="R26" s="49">
        <f>R25-(277.8*0.39/1000)</f>
        <v>5.2922989999999989E-2</v>
      </c>
      <c r="S26" s="35">
        <f>S25-(277.8*0.39/1000)</f>
        <v>5.6891148477999962E-2</v>
      </c>
      <c r="T26" s="34" t="s">
        <v>165</v>
      </c>
      <c r="U26" s="34" t="s">
        <v>165</v>
      </c>
      <c r="V26" s="34" t="s">
        <v>165</v>
      </c>
      <c r="W26" s="34" t="s">
        <v>165</v>
      </c>
      <c r="X26" s="56"/>
    </row>
    <row r="27" spans="1:25" s="10" customFormat="1" x14ac:dyDescent="0.2">
      <c r="A27" s="10" t="s">
        <v>29</v>
      </c>
      <c r="B27" s="10" t="s">
        <v>123</v>
      </c>
      <c r="C27" s="78" t="s">
        <v>147</v>
      </c>
      <c r="D27" s="57">
        <f>SUM(E27:G27)</f>
        <v>0.11952712233</v>
      </c>
      <c r="E27" s="10">
        <v>1.435487E-2</v>
      </c>
      <c r="F27" s="10">
        <v>0.10488628999999999</v>
      </c>
      <c r="G27" s="10">
        <v>2.8596232999999999E-4</v>
      </c>
      <c r="I27" s="48">
        <v>5.4821588810564032E-3</v>
      </c>
      <c r="J27" s="22">
        <f>0.00883</f>
        <v>8.8299999999999993E-3</v>
      </c>
      <c r="K27" s="22">
        <v>2.33E-4</v>
      </c>
      <c r="L27" s="22">
        <v>1.28E-6</v>
      </c>
      <c r="M27" s="28">
        <f>I27+D27</f>
        <v>0.12500928121105639</v>
      </c>
      <c r="N27" s="34"/>
      <c r="O27" s="8">
        <f>M27/D27</f>
        <v>1.045865396691479</v>
      </c>
      <c r="P27" s="49">
        <f>S27-M27</f>
        <v>1.9631136489436096E-3</v>
      </c>
      <c r="Q27" s="8">
        <f>S27/D27</f>
        <v>1.0622893982960997</v>
      </c>
      <c r="R27" s="86">
        <v>0.12100505</v>
      </c>
      <c r="S27" s="78">
        <f t="shared" si="23"/>
        <v>0.12697239486</v>
      </c>
      <c r="T27" s="83">
        <v>0.11208761</v>
      </c>
      <c r="U27" s="78">
        <v>1.4598074000000001E-2</v>
      </c>
      <c r="V27" s="78">
        <v>-5.9673495E-3</v>
      </c>
      <c r="W27" s="10">
        <v>2.8671086E-4</v>
      </c>
      <c r="X27" s="48"/>
      <c r="Y27" s="10" t="s">
        <v>38</v>
      </c>
    </row>
    <row r="28" spans="1:25" s="15" customFormat="1" x14ac:dyDescent="0.2">
      <c r="A28" s="15" t="s">
        <v>95</v>
      </c>
      <c r="B28" s="15" t="s">
        <v>123</v>
      </c>
      <c r="C28" s="34" t="s">
        <v>83</v>
      </c>
      <c r="D28" s="35">
        <f>D$26</f>
        <v>2.5685485508000011E-2</v>
      </c>
      <c r="E28" s="35" t="str">
        <f t="shared" ref="E28:G38" si="24">E$26</f>
        <v>-</v>
      </c>
      <c r="F28" s="35" t="str">
        <f t="shared" si="24"/>
        <v>-</v>
      </c>
      <c r="G28" s="35" t="str">
        <f t="shared" si="24"/>
        <v>-</v>
      </c>
      <c r="I28" s="49">
        <f t="shared" ref="I28:I41" si="25">I$26</f>
        <v>9.4595347992744439E-3</v>
      </c>
      <c r="J28" s="36"/>
      <c r="K28" s="36"/>
      <c r="L28" s="36"/>
      <c r="M28" s="35">
        <f t="shared" ref="M28:O41" si="26">M$26</f>
        <v>3.5145020307274455E-2</v>
      </c>
      <c r="N28" s="35">
        <f t="shared" si="26"/>
        <v>0</v>
      </c>
      <c r="O28" s="35">
        <f t="shared" si="26"/>
        <v>1.3682832779753442</v>
      </c>
      <c r="P28" s="49">
        <f t="shared" ref="P28:P37" si="27">P$26</f>
        <v>2.1746128170725507E-2</v>
      </c>
      <c r="Q28" s="35">
        <f t="shared" ref="Q28:W41" si="28">Q$26</f>
        <v>2.2149142736772727</v>
      </c>
      <c r="R28" s="49">
        <f t="shared" si="28"/>
        <v>5.2922989999999989E-2</v>
      </c>
      <c r="S28" s="35">
        <f t="shared" si="28"/>
        <v>5.6891148477999962E-2</v>
      </c>
      <c r="T28" s="35" t="str">
        <f t="shared" si="28"/>
        <v>-</v>
      </c>
      <c r="U28" s="35" t="str">
        <f t="shared" si="28"/>
        <v>-</v>
      </c>
      <c r="V28" s="35" t="str">
        <f t="shared" si="28"/>
        <v>-</v>
      </c>
      <c r="W28" s="35" t="str">
        <f t="shared" si="28"/>
        <v>-</v>
      </c>
      <c r="X28" s="47"/>
    </row>
    <row r="29" spans="1:25" s="15" customFormat="1" x14ac:dyDescent="0.2">
      <c r="A29" s="15" t="s">
        <v>239</v>
      </c>
      <c r="B29" s="15" t="s">
        <v>123</v>
      </c>
      <c r="C29" s="34" t="s">
        <v>83</v>
      </c>
      <c r="D29" s="35">
        <f>D$26</f>
        <v>2.5685485508000011E-2</v>
      </c>
      <c r="E29" s="35"/>
      <c r="F29" s="35"/>
      <c r="G29" s="35"/>
      <c r="I29" s="49"/>
      <c r="J29" s="36"/>
      <c r="K29" s="36"/>
      <c r="L29" s="36"/>
      <c r="M29" s="35"/>
      <c r="N29" s="35"/>
      <c r="O29" s="35"/>
      <c r="P29" s="49"/>
      <c r="Q29" s="35"/>
      <c r="R29" s="49"/>
      <c r="S29" s="35"/>
      <c r="T29" s="35"/>
      <c r="U29" s="35"/>
      <c r="V29" s="35"/>
      <c r="W29" s="35"/>
      <c r="X29" s="47"/>
    </row>
    <row r="30" spans="1:25" s="15" customFormat="1" x14ac:dyDescent="0.2">
      <c r="A30" s="15" t="s">
        <v>236</v>
      </c>
      <c r="B30" s="15" t="s">
        <v>123</v>
      </c>
      <c r="C30" s="34" t="s">
        <v>83</v>
      </c>
      <c r="D30" s="35">
        <f>D$26</f>
        <v>2.5685485508000011E-2</v>
      </c>
      <c r="E30" s="35" t="str">
        <f t="shared" si="24"/>
        <v>-</v>
      </c>
      <c r="F30" s="35" t="str">
        <f t="shared" si="24"/>
        <v>-</v>
      </c>
      <c r="G30" s="35" t="str">
        <f t="shared" si="24"/>
        <v>-</v>
      </c>
      <c r="I30" s="49">
        <f t="shared" si="25"/>
        <v>9.4595347992744439E-3</v>
      </c>
      <c r="J30" s="36"/>
      <c r="K30" s="36"/>
      <c r="L30" s="36"/>
      <c r="M30" s="35">
        <f t="shared" si="26"/>
        <v>3.5145020307274455E-2</v>
      </c>
      <c r="N30" s="35">
        <f t="shared" si="26"/>
        <v>0</v>
      </c>
      <c r="O30" s="35">
        <f t="shared" si="26"/>
        <v>1.3682832779753442</v>
      </c>
      <c r="P30" s="49">
        <f t="shared" si="27"/>
        <v>2.1746128170725507E-2</v>
      </c>
      <c r="Q30" s="35">
        <f t="shared" si="28"/>
        <v>2.2149142736772727</v>
      </c>
      <c r="R30" s="49">
        <f t="shared" si="28"/>
        <v>5.2922989999999989E-2</v>
      </c>
      <c r="S30" s="35">
        <f t="shared" si="28"/>
        <v>5.6891148477999962E-2</v>
      </c>
      <c r="T30" s="35" t="str">
        <f t="shared" si="28"/>
        <v>-</v>
      </c>
      <c r="U30" s="35" t="str">
        <f t="shared" si="28"/>
        <v>-</v>
      </c>
      <c r="V30" s="35" t="str">
        <f t="shared" si="28"/>
        <v>-</v>
      </c>
      <c r="W30" s="35" t="str">
        <f t="shared" si="28"/>
        <v>-</v>
      </c>
      <c r="X30" s="47"/>
    </row>
    <row r="31" spans="1:25" s="15" customFormat="1" x14ac:dyDescent="0.2">
      <c r="A31" s="15" t="s">
        <v>96</v>
      </c>
      <c r="B31" s="15" t="s">
        <v>123</v>
      </c>
      <c r="C31" s="34" t="s">
        <v>83</v>
      </c>
      <c r="D31" s="35">
        <f t="shared" ref="D31:D38" si="29">D$26</f>
        <v>2.5685485508000011E-2</v>
      </c>
      <c r="E31" s="35" t="str">
        <f t="shared" si="24"/>
        <v>-</v>
      </c>
      <c r="F31" s="35" t="str">
        <f t="shared" si="24"/>
        <v>-</v>
      </c>
      <c r="G31" s="35" t="str">
        <f t="shared" si="24"/>
        <v>-</v>
      </c>
      <c r="I31" s="49">
        <f t="shared" si="25"/>
        <v>9.4595347992744439E-3</v>
      </c>
      <c r="J31" s="36"/>
      <c r="K31" s="36"/>
      <c r="L31" s="36"/>
      <c r="M31" s="35">
        <f t="shared" si="26"/>
        <v>3.5145020307274455E-2</v>
      </c>
      <c r="N31" s="35">
        <f t="shared" si="26"/>
        <v>0</v>
      </c>
      <c r="O31" s="35">
        <f t="shared" si="26"/>
        <v>1.3682832779753442</v>
      </c>
      <c r="P31" s="49">
        <f t="shared" si="27"/>
        <v>2.1746128170725507E-2</v>
      </c>
      <c r="Q31" s="35">
        <f t="shared" si="28"/>
        <v>2.2149142736772727</v>
      </c>
      <c r="R31" s="49">
        <f t="shared" si="28"/>
        <v>5.2922989999999989E-2</v>
      </c>
      <c r="S31" s="35">
        <f t="shared" si="28"/>
        <v>5.6891148477999962E-2</v>
      </c>
      <c r="T31" s="35" t="str">
        <f t="shared" si="28"/>
        <v>-</v>
      </c>
      <c r="U31" s="35" t="str">
        <f t="shared" si="28"/>
        <v>-</v>
      </c>
      <c r="V31" s="35" t="str">
        <f t="shared" si="28"/>
        <v>-</v>
      </c>
      <c r="W31" s="35" t="str">
        <f t="shared" si="28"/>
        <v>-</v>
      </c>
      <c r="X31" s="47"/>
    </row>
    <row r="32" spans="1:25" s="15" customFormat="1" x14ac:dyDescent="0.2">
      <c r="A32" s="15" t="s">
        <v>90</v>
      </c>
      <c r="B32" s="15" t="s">
        <v>123</v>
      </c>
      <c r="C32" s="34" t="s">
        <v>83</v>
      </c>
      <c r="D32" s="35">
        <f t="shared" si="29"/>
        <v>2.5685485508000011E-2</v>
      </c>
      <c r="E32" s="35" t="str">
        <f t="shared" si="24"/>
        <v>-</v>
      </c>
      <c r="F32" s="35" t="str">
        <f t="shared" si="24"/>
        <v>-</v>
      </c>
      <c r="G32" s="35" t="str">
        <f t="shared" si="24"/>
        <v>-</v>
      </c>
      <c r="I32" s="49">
        <f t="shared" si="25"/>
        <v>9.4595347992744439E-3</v>
      </c>
      <c r="J32" s="36"/>
      <c r="K32" s="36"/>
      <c r="L32" s="36"/>
      <c r="M32" s="35">
        <f t="shared" si="26"/>
        <v>3.5145020307274455E-2</v>
      </c>
      <c r="N32" s="35">
        <f t="shared" si="26"/>
        <v>0</v>
      </c>
      <c r="O32" s="35">
        <f t="shared" si="26"/>
        <v>1.3682832779753442</v>
      </c>
      <c r="P32" s="49">
        <f t="shared" si="27"/>
        <v>2.1746128170725507E-2</v>
      </c>
      <c r="Q32" s="35">
        <f t="shared" si="28"/>
        <v>2.2149142736772727</v>
      </c>
      <c r="R32" s="49">
        <f t="shared" si="28"/>
        <v>5.2922989999999989E-2</v>
      </c>
      <c r="S32" s="35">
        <f t="shared" si="28"/>
        <v>5.6891148477999962E-2</v>
      </c>
      <c r="T32" s="35" t="str">
        <f t="shared" si="28"/>
        <v>-</v>
      </c>
      <c r="U32" s="35" t="str">
        <f t="shared" si="28"/>
        <v>-</v>
      </c>
      <c r="V32" s="35" t="str">
        <f t="shared" si="28"/>
        <v>-</v>
      </c>
      <c r="W32" s="35" t="str">
        <f t="shared" si="28"/>
        <v>-</v>
      </c>
      <c r="X32" s="47"/>
    </row>
    <row r="33" spans="1:25" s="15" customFormat="1" x14ac:dyDescent="0.2">
      <c r="A33" s="15" t="s">
        <v>97</v>
      </c>
      <c r="B33" s="15" t="s">
        <v>123</v>
      </c>
      <c r="C33" s="34" t="s">
        <v>83</v>
      </c>
      <c r="D33" s="35">
        <f t="shared" si="29"/>
        <v>2.5685485508000011E-2</v>
      </c>
      <c r="E33" s="35" t="str">
        <f t="shared" si="24"/>
        <v>-</v>
      </c>
      <c r="F33" s="35" t="str">
        <f t="shared" si="24"/>
        <v>-</v>
      </c>
      <c r="G33" s="35" t="str">
        <f t="shared" si="24"/>
        <v>-</v>
      </c>
      <c r="I33" s="49">
        <f t="shared" si="25"/>
        <v>9.4595347992744439E-3</v>
      </c>
      <c r="J33" s="36"/>
      <c r="K33" s="36"/>
      <c r="L33" s="36"/>
      <c r="M33" s="35">
        <f t="shared" si="26"/>
        <v>3.5145020307274455E-2</v>
      </c>
      <c r="N33" s="35">
        <f t="shared" si="26"/>
        <v>0</v>
      </c>
      <c r="O33" s="35">
        <f t="shared" si="26"/>
        <v>1.3682832779753442</v>
      </c>
      <c r="P33" s="49">
        <f t="shared" si="27"/>
        <v>2.1746128170725507E-2</v>
      </c>
      <c r="Q33" s="35">
        <f t="shared" si="28"/>
        <v>2.2149142736772727</v>
      </c>
      <c r="R33" s="49">
        <f t="shared" si="28"/>
        <v>5.2922989999999989E-2</v>
      </c>
      <c r="S33" s="35">
        <f t="shared" si="28"/>
        <v>5.6891148477999962E-2</v>
      </c>
      <c r="T33" s="35" t="str">
        <f t="shared" si="28"/>
        <v>-</v>
      </c>
      <c r="U33" s="35" t="str">
        <f t="shared" si="28"/>
        <v>-</v>
      </c>
      <c r="V33" s="35" t="str">
        <f t="shared" si="28"/>
        <v>-</v>
      </c>
      <c r="W33" s="35" t="str">
        <f t="shared" si="28"/>
        <v>-</v>
      </c>
      <c r="X33" s="47"/>
    </row>
    <row r="34" spans="1:25" s="15" customFormat="1" x14ac:dyDescent="0.2">
      <c r="A34" s="15" t="s">
        <v>238</v>
      </c>
      <c r="B34" s="15" t="s">
        <v>123</v>
      </c>
      <c r="C34" s="34" t="s">
        <v>83</v>
      </c>
      <c r="D34" s="35">
        <f t="shared" si="29"/>
        <v>2.5685485508000011E-2</v>
      </c>
      <c r="E34" s="35" t="str">
        <f t="shared" si="24"/>
        <v>-</v>
      </c>
      <c r="F34" s="35" t="str">
        <f t="shared" si="24"/>
        <v>-</v>
      </c>
      <c r="G34" s="35" t="str">
        <f t="shared" si="24"/>
        <v>-</v>
      </c>
      <c r="I34" s="49">
        <f t="shared" si="25"/>
        <v>9.4595347992744439E-3</v>
      </c>
      <c r="J34" s="36"/>
      <c r="K34" s="36"/>
      <c r="L34" s="36"/>
      <c r="M34" s="35">
        <f t="shared" si="26"/>
        <v>3.5145020307274455E-2</v>
      </c>
      <c r="N34" s="35">
        <f t="shared" si="26"/>
        <v>0</v>
      </c>
      <c r="O34" s="35">
        <f t="shared" si="26"/>
        <v>1.3682832779753442</v>
      </c>
      <c r="P34" s="49">
        <f t="shared" si="27"/>
        <v>2.1746128170725507E-2</v>
      </c>
      <c r="Q34" s="35">
        <f t="shared" si="28"/>
        <v>2.2149142736772727</v>
      </c>
      <c r="R34" s="49">
        <f t="shared" si="28"/>
        <v>5.2922989999999989E-2</v>
      </c>
      <c r="S34" s="35">
        <f t="shared" si="28"/>
        <v>5.6891148477999962E-2</v>
      </c>
      <c r="T34" s="35" t="str">
        <f t="shared" si="28"/>
        <v>-</v>
      </c>
      <c r="U34" s="35" t="str">
        <f t="shared" si="28"/>
        <v>-</v>
      </c>
      <c r="V34" s="35" t="str">
        <f t="shared" si="28"/>
        <v>-</v>
      </c>
      <c r="W34" s="35" t="str">
        <f t="shared" si="28"/>
        <v>-</v>
      </c>
      <c r="X34" s="47"/>
    </row>
    <row r="35" spans="1:25" s="15" customFormat="1" x14ac:dyDescent="0.2">
      <c r="A35" s="15" t="s">
        <v>98</v>
      </c>
      <c r="B35" s="15" t="s">
        <v>123</v>
      </c>
      <c r="C35" s="34" t="s">
        <v>83</v>
      </c>
      <c r="D35" s="35">
        <f t="shared" si="29"/>
        <v>2.5685485508000011E-2</v>
      </c>
      <c r="E35" s="35" t="str">
        <f t="shared" si="24"/>
        <v>-</v>
      </c>
      <c r="F35" s="35" t="str">
        <f t="shared" si="24"/>
        <v>-</v>
      </c>
      <c r="G35" s="35" t="str">
        <f t="shared" si="24"/>
        <v>-</v>
      </c>
      <c r="I35" s="49">
        <f t="shared" si="25"/>
        <v>9.4595347992744439E-3</v>
      </c>
      <c r="J35" s="36"/>
      <c r="K35" s="36"/>
      <c r="L35" s="36"/>
      <c r="M35" s="35">
        <f t="shared" si="26"/>
        <v>3.5145020307274455E-2</v>
      </c>
      <c r="N35" s="35">
        <f t="shared" si="26"/>
        <v>0</v>
      </c>
      <c r="O35" s="35">
        <f t="shared" si="26"/>
        <v>1.3682832779753442</v>
      </c>
      <c r="P35" s="49">
        <f t="shared" si="27"/>
        <v>2.1746128170725507E-2</v>
      </c>
      <c r="Q35" s="35">
        <f t="shared" si="28"/>
        <v>2.2149142736772727</v>
      </c>
      <c r="R35" s="49">
        <f t="shared" si="28"/>
        <v>5.2922989999999989E-2</v>
      </c>
      <c r="S35" s="35">
        <f t="shared" si="28"/>
        <v>5.6891148477999962E-2</v>
      </c>
      <c r="T35" s="35" t="str">
        <f t="shared" si="28"/>
        <v>-</v>
      </c>
      <c r="U35" s="35" t="str">
        <f t="shared" si="28"/>
        <v>-</v>
      </c>
      <c r="V35" s="35" t="str">
        <f t="shared" si="28"/>
        <v>-</v>
      </c>
      <c r="W35" s="35" t="str">
        <f t="shared" si="28"/>
        <v>-</v>
      </c>
      <c r="X35" s="47"/>
    </row>
    <row r="36" spans="1:25" s="15" customFormat="1" x14ac:dyDescent="0.2">
      <c r="A36" s="38" t="s">
        <v>99</v>
      </c>
      <c r="B36" s="15" t="s">
        <v>123</v>
      </c>
      <c r="C36" s="34" t="s">
        <v>83</v>
      </c>
      <c r="D36" s="35">
        <f t="shared" si="29"/>
        <v>2.5685485508000011E-2</v>
      </c>
      <c r="E36" s="35" t="str">
        <f t="shared" si="24"/>
        <v>-</v>
      </c>
      <c r="F36" s="35" t="str">
        <f t="shared" si="24"/>
        <v>-</v>
      </c>
      <c r="G36" s="35" t="str">
        <f t="shared" si="24"/>
        <v>-</v>
      </c>
      <c r="I36" s="49">
        <f t="shared" si="25"/>
        <v>9.4595347992744439E-3</v>
      </c>
      <c r="J36" s="36"/>
      <c r="K36" s="36"/>
      <c r="L36" s="36"/>
      <c r="M36" s="35">
        <f t="shared" si="26"/>
        <v>3.5145020307274455E-2</v>
      </c>
      <c r="N36" s="35">
        <f t="shared" si="26"/>
        <v>0</v>
      </c>
      <c r="O36" s="35">
        <f t="shared" si="26"/>
        <v>1.3682832779753442</v>
      </c>
      <c r="P36" s="49">
        <f t="shared" si="27"/>
        <v>2.1746128170725507E-2</v>
      </c>
      <c r="Q36" s="35">
        <f t="shared" si="28"/>
        <v>2.2149142736772727</v>
      </c>
      <c r="R36" s="49">
        <f t="shared" si="28"/>
        <v>5.2922989999999989E-2</v>
      </c>
      <c r="S36" s="35">
        <f t="shared" si="28"/>
        <v>5.6891148477999962E-2</v>
      </c>
      <c r="T36" s="35" t="str">
        <f t="shared" si="28"/>
        <v>-</v>
      </c>
      <c r="U36" s="35" t="str">
        <f t="shared" si="28"/>
        <v>-</v>
      </c>
      <c r="V36" s="35" t="str">
        <f t="shared" si="28"/>
        <v>-</v>
      </c>
      <c r="W36" s="35" t="str">
        <f t="shared" si="28"/>
        <v>-</v>
      </c>
      <c r="X36" s="47"/>
    </row>
    <row r="37" spans="1:25" s="15" customFormat="1" x14ac:dyDescent="0.2">
      <c r="A37" s="38" t="s">
        <v>237</v>
      </c>
      <c r="B37" s="15" t="s">
        <v>123</v>
      </c>
      <c r="C37" s="34" t="s">
        <v>83</v>
      </c>
      <c r="D37" s="35">
        <f t="shared" si="29"/>
        <v>2.5685485508000011E-2</v>
      </c>
      <c r="E37" s="35" t="str">
        <f t="shared" si="24"/>
        <v>-</v>
      </c>
      <c r="F37" s="35" t="str">
        <f t="shared" si="24"/>
        <v>-</v>
      </c>
      <c r="G37" s="35" t="str">
        <f t="shared" si="24"/>
        <v>-</v>
      </c>
      <c r="I37" s="49">
        <f t="shared" si="25"/>
        <v>9.4595347992744439E-3</v>
      </c>
      <c r="J37" s="36"/>
      <c r="K37" s="36"/>
      <c r="L37" s="36"/>
      <c r="M37" s="35">
        <f t="shared" si="26"/>
        <v>3.5145020307274455E-2</v>
      </c>
      <c r="N37" s="35">
        <f t="shared" si="26"/>
        <v>0</v>
      </c>
      <c r="O37" s="35">
        <f t="shared" si="26"/>
        <v>1.3682832779753442</v>
      </c>
      <c r="P37" s="49">
        <f t="shared" si="27"/>
        <v>2.1746128170725507E-2</v>
      </c>
      <c r="Q37" s="35">
        <f t="shared" si="28"/>
        <v>2.2149142736772727</v>
      </c>
      <c r="R37" s="49">
        <f t="shared" si="28"/>
        <v>5.2922989999999989E-2</v>
      </c>
      <c r="S37" s="35">
        <f t="shared" si="28"/>
        <v>5.6891148477999962E-2</v>
      </c>
      <c r="T37" s="35" t="str">
        <f t="shared" si="28"/>
        <v>-</v>
      </c>
      <c r="U37" s="35" t="str">
        <f t="shared" si="28"/>
        <v>-</v>
      </c>
      <c r="V37" s="35" t="str">
        <f t="shared" si="28"/>
        <v>-</v>
      </c>
      <c r="W37" s="35" t="str">
        <f t="shared" si="28"/>
        <v>-</v>
      </c>
      <c r="X37" s="47"/>
    </row>
    <row r="38" spans="1:25" s="15" customFormat="1" x14ac:dyDescent="0.2">
      <c r="A38" s="38" t="s">
        <v>100</v>
      </c>
      <c r="B38" s="15" t="s">
        <v>123</v>
      </c>
      <c r="C38" s="34" t="s">
        <v>83</v>
      </c>
      <c r="D38" s="35">
        <f t="shared" si="29"/>
        <v>2.5685485508000011E-2</v>
      </c>
      <c r="E38" s="35" t="str">
        <f t="shared" si="24"/>
        <v>-</v>
      </c>
      <c r="F38" s="35" t="str">
        <f t="shared" si="24"/>
        <v>-</v>
      </c>
      <c r="G38" s="35" t="str">
        <f t="shared" si="24"/>
        <v>-</v>
      </c>
      <c r="I38" s="49">
        <f t="shared" si="25"/>
        <v>9.4595347992744439E-3</v>
      </c>
      <c r="J38" s="36"/>
      <c r="K38" s="36"/>
      <c r="L38" s="36"/>
      <c r="M38" s="35">
        <f t="shared" si="26"/>
        <v>3.5145020307274455E-2</v>
      </c>
      <c r="N38" s="35">
        <f t="shared" si="26"/>
        <v>0</v>
      </c>
      <c r="O38" s="35">
        <f t="shared" si="26"/>
        <v>1.3682832779753442</v>
      </c>
      <c r="P38" s="49">
        <f>P$26</f>
        <v>2.1746128170725507E-2</v>
      </c>
      <c r="Q38" s="35">
        <f t="shared" si="28"/>
        <v>2.2149142736772727</v>
      </c>
      <c r="R38" s="49">
        <f t="shared" si="28"/>
        <v>5.2922989999999989E-2</v>
      </c>
      <c r="S38" s="35">
        <f t="shared" si="28"/>
        <v>5.6891148477999962E-2</v>
      </c>
      <c r="T38" s="35" t="str">
        <f t="shared" si="28"/>
        <v>-</v>
      </c>
      <c r="U38" s="35" t="str">
        <f t="shared" si="28"/>
        <v>-</v>
      </c>
      <c r="V38" s="35" t="str">
        <f t="shared" si="28"/>
        <v>-</v>
      </c>
      <c r="W38" s="35" t="str">
        <f t="shared" si="28"/>
        <v>-</v>
      </c>
      <c r="X38" s="47"/>
    </row>
    <row r="39" spans="1:25" s="5" customFormat="1" x14ac:dyDescent="0.2">
      <c r="A39" s="5" t="s">
        <v>81</v>
      </c>
      <c r="B39" s="5" t="s">
        <v>101</v>
      </c>
      <c r="C39" s="5" t="s">
        <v>83</v>
      </c>
      <c r="D39" s="40">
        <f>277.8*(((385+1.14)-295.8)/1000)/1000</f>
        <v>2.5096451999999995E-2</v>
      </c>
      <c r="E39" s="34" t="s">
        <v>165</v>
      </c>
      <c r="F39" s="34" t="s">
        <v>165</v>
      </c>
      <c r="G39" s="34" t="s">
        <v>165</v>
      </c>
      <c r="I39" s="49">
        <f t="shared" si="25"/>
        <v>9.4595347992744439E-3</v>
      </c>
      <c r="M39" s="35">
        <f t="shared" si="26"/>
        <v>3.5145020307274455E-2</v>
      </c>
      <c r="N39" s="35">
        <f t="shared" si="26"/>
        <v>0</v>
      </c>
      <c r="O39" s="35">
        <f t="shared" si="26"/>
        <v>1.3682832779753442</v>
      </c>
      <c r="P39" s="49">
        <f t="shared" ref="P39:P41" si="30">P$26</f>
        <v>2.1746128170725507E-2</v>
      </c>
      <c r="Q39" s="35">
        <f t="shared" si="28"/>
        <v>2.2149142736772727</v>
      </c>
      <c r="R39" s="35">
        <f t="shared" si="28"/>
        <v>5.2922989999999989E-2</v>
      </c>
      <c r="S39" s="35">
        <f t="shared" si="28"/>
        <v>5.6891148477999962E-2</v>
      </c>
      <c r="T39" s="35" t="str">
        <f t="shared" si="28"/>
        <v>-</v>
      </c>
      <c r="U39" s="35" t="str">
        <f t="shared" si="28"/>
        <v>-</v>
      </c>
      <c r="V39" s="35" t="str">
        <f t="shared" si="28"/>
        <v>-</v>
      </c>
      <c r="W39" s="35" t="str">
        <f t="shared" si="28"/>
        <v>-</v>
      </c>
      <c r="X39" s="44"/>
    </row>
    <row r="40" spans="1:25" s="5" customFormat="1" x14ac:dyDescent="0.2">
      <c r="A40" s="5" t="s">
        <v>82</v>
      </c>
      <c r="B40" s="5" t="s">
        <v>101</v>
      </c>
      <c r="C40" s="5" t="s">
        <v>83</v>
      </c>
      <c r="D40" s="28">
        <f>(277.8*(((385+1.14)-295.8)/1000)/1000)*0.2</f>
        <v>5.0192903999999993E-3</v>
      </c>
      <c r="E40" s="34" t="s">
        <v>165</v>
      </c>
      <c r="F40" s="34" t="s">
        <v>165</v>
      </c>
      <c r="G40" s="34" t="s">
        <v>165</v>
      </c>
      <c r="I40" s="49">
        <f t="shared" si="25"/>
        <v>9.4595347992744439E-3</v>
      </c>
      <c r="M40" s="35">
        <f t="shared" si="26"/>
        <v>3.5145020307274455E-2</v>
      </c>
      <c r="N40" s="35">
        <f t="shared" si="26"/>
        <v>0</v>
      </c>
      <c r="O40" s="35">
        <f t="shared" si="26"/>
        <v>1.3682832779753442</v>
      </c>
      <c r="P40" s="49">
        <f t="shared" si="30"/>
        <v>2.1746128170725507E-2</v>
      </c>
      <c r="Q40" s="35">
        <f t="shared" si="28"/>
        <v>2.2149142736772727</v>
      </c>
      <c r="R40" s="35">
        <f t="shared" si="28"/>
        <v>5.2922989999999989E-2</v>
      </c>
      <c r="S40" s="35">
        <f t="shared" si="28"/>
        <v>5.6891148477999962E-2</v>
      </c>
      <c r="T40" s="35" t="str">
        <f t="shared" si="28"/>
        <v>-</v>
      </c>
      <c r="U40" s="35" t="str">
        <f t="shared" si="28"/>
        <v>-</v>
      </c>
      <c r="V40" s="35" t="str">
        <f t="shared" si="28"/>
        <v>-</v>
      </c>
      <c r="W40" s="35" t="str">
        <f t="shared" si="28"/>
        <v>-</v>
      </c>
      <c r="X40" s="44"/>
    </row>
    <row r="41" spans="1:25" s="5" customFormat="1" x14ac:dyDescent="0.2">
      <c r="A41" s="5" t="s">
        <v>84</v>
      </c>
      <c r="B41" s="5" t="s">
        <v>101</v>
      </c>
      <c r="C41" s="5" t="s">
        <v>83</v>
      </c>
      <c r="D41" s="28">
        <v>0</v>
      </c>
      <c r="E41" s="34" t="s">
        <v>165</v>
      </c>
      <c r="F41" s="34" t="s">
        <v>165</v>
      </c>
      <c r="G41" s="34" t="s">
        <v>165</v>
      </c>
      <c r="I41" s="49">
        <f t="shared" si="25"/>
        <v>9.4595347992744439E-3</v>
      </c>
      <c r="M41" s="35">
        <f t="shared" si="26"/>
        <v>3.5145020307274455E-2</v>
      </c>
      <c r="N41" s="35">
        <f t="shared" si="26"/>
        <v>0</v>
      </c>
      <c r="O41" s="35">
        <f t="shared" si="26"/>
        <v>1.3682832779753442</v>
      </c>
      <c r="P41" s="49">
        <f t="shared" si="30"/>
        <v>2.1746128170725507E-2</v>
      </c>
      <c r="Q41" s="35">
        <f t="shared" si="28"/>
        <v>2.2149142736772727</v>
      </c>
      <c r="R41" s="35">
        <f t="shared" si="28"/>
        <v>5.2922989999999989E-2</v>
      </c>
      <c r="S41" s="35">
        <f t="shared" si="28"/>
        <v>5.6891148477999962E-2</v>
      </c>
      <c r="T41" s="35" t="str">
        <f t="shared" si="28"/>
        <v>-</v>
      </c>
      <c r="U41" s="35" t="str">
        <f t="shared" si="28"/>
        <v>-</v>
      </c>
      <c r="V41" s="35" t="str">
        <f t="shared" si="28"/>
        <v>-</v>
      </c>
      <c r="W41" s="35" t="str">
        <f t="shared" si="28"/>
        <v>-</v>
      </c>
      <c r="X41" s="44"/>
    </row>
    <row r="42" spans="1:25" s="10" customFormat="1" x14ac:dyDescent="0.2">
      <c r="A42" s="10" t="s">
        <v>47</v>
      </c>
      <c r="B42" s="10" t="s">
        <v>123</v>
      </c>
      <c r="C42" s="10" t="s">
        <v>107</v>
      </c>
      <c r="D42" s="57">
        <f>SUM(E42:G42)</f>
        <v>7.2420436975999996E-3</v>
      </c>
      <c r="E42" s="10">
        <v>1.2347368E-4</v>
      </c>
      <c r="F42" s="10">
        <v>7.1143209000000002E-3</v>
      </c>
      <c r="G42" s="78">
        <v>4.2491176E-6</v>
      </c>
      <c r="I42" s="48">
        <v>1.7635554024553204E-4</v>
      </c>
      <c r="J42" s="22"/>
      <c r="K42" s="22"/>
      <c r="L42" s="22"/>
      <c r="M42" s="57">
        <f>(M43+M44)/2</f>
        <v>0</v>
      </c>
      <c r="O42" s="8">
        <f>M42/D42</f>
        <v>0</v>
      </c>
      <c r="P42" s="79">
        <f>S42-M42</f>
        <v>7.5596938259999994E-3</v>
      </c>
      <c r="Q42" s="8">
        <f>S42/D42</f>
        <v>1.043861945835161</v>
      </c>
      <c r="R42" s="48">
        <v>7.4693787000000003E-3</v>
      </c>
      <c r="S42" s="78">
        <f>T42+U42+W42</f>
        <v>7.5596938259999994E-3</v>
      </c>
      <c r="T42" s="10">
        <v>7.4283012999999997E-3</v>
      </c>
      <c r="U42" s="10">
        <v>1.2711739000000001E-4</v>
      </c>
      <c r="V42" s="78">
        <v>-9.0315116000000002E-5</v>
      </c>
      <c r="W42" s="78">
        <v>4.2751360000000001E-6</v>
      </c>
      <c r="X42" s="48" t="s">
        <v>22</v>
      </c>
      <c r="Y42" s="10" t="s">
        <v>36</v>
      </c>
    </row>
    <row r="43" spans="1:25" s="60" customFormat="1" x14ac:dyDescent="0.2">
      <c r="A43" s="60" t="s">
        <v>223</v>
      </c>
      <c r="B43" s="60" t="s">
        <v>101</v>
      </c>
      <c r="C43" s="71" t="s">
        <v>71</v>
      </c>
      <c r="D43" s="40"/>
      <c r="E43" s="60">
        <v>0.44500000000000001</v>
      </c>
      <c r="F43" s="60">
        <v>2.17</v>
      </c>
      <c r="G43" s="61">
        <v>5.4799999999999996E-3</v>
      </c>
      <c r="H43" s="74">
        <f t="shared" ref="H43:H50" si="31">SUM(E43:G43)</f>
        <v>2.6204799999999997</v>
      </c>
      <c r="I43" s="67"/>
      <c r="J43" s="60">
        <v>0.16600000000000001</v>
      </c>
      <c r="K43" s="61">
        <v>2.5300000000000001E-3</v>
      </c>
      <c r="L43" s="61"/>
      <c r="P43" s="67"/>
      <c r="R43" s="67"/>
      <c r="X43" s="67"/>
    </row>
    <row r="44" spans="1:25" s="31" customFormat="1" x14ac:dyDescent="0.2">
      <c r="A44" s="31" t="s">
        <v>64</v>
      </c>
      <c r="B44" s="31" t="s">
        <v>101</v>
      </c>
      <c r="C44" s="29" t="s">
        <v>215</v>
      </c>
      <c r="D44" s="32"/>
      <c r="E44" s="30">
        <v>2.8200000000000002E-4</v>
      </c>
      <c r="F44" s="30">
        <v>4.7699999999999999E-3</v>
      </c>
      <c r="G44" s="30">
        <v>2.0999999999999998E-6</v>
      </c>
      <c r="H44" s="33">
        <f t="shared" si="31"/>
        <v>5.0540999999999997E-3</v>
      </c>
      <c r="I44" s="50"/>
      <c r="J44" s="21"/>
      <c r="K44" s="21"/>
      <c r="L44" s="21"/>
      <c r="M44" s="30"/>
      <c r="N44" s="30"/>
      <c r="O44" s="30"/>
      <c r="P44" s="55"/>
      <c r="Q44" s="30"/>
      <c r="R44" s="55"/>
      <c r="S44" s="30"/>
      <c r="T44" s="30"/>
      <c r="U44" s="30"/>
      <c r="V44" s="30"/>
      <c r="W44" s="30"/>
      <c r="X44" s="45"/>
      <c r="Y44" s="31" t="s">
        <v>42</v>
      </c>
    </row>
    <row r="45" spans="1:25" s="66" customFormat="1" x14ac:dyDescent="0.2">
      <c r="A45" s="66" t="s">
        <v>214</v>
      </c>
      <c r="B45" s="66" t="s">
        <v>123</v>
      </c>
      <c r="C45" s="66" t="s">
        <v>186</v>
      </c>
      <c r="D45" s="66">
        <v>0</v>
      </c>
      <c r="E45" s="66">
        <v>1.9870781E-4</v>
      </c>
      <c r="F45" s="66">
        <v>2.2319206999999999E-3</v>
      </c>
      <c r="G45" s="77">
        <v>8.9108432000000003E-6</v>
      </c>
      <c r="H45" s="76">
        <f>SUM(E45:G45)</f>
        <v>2.4395393531999997E-3</v>
      </c>
      <c r="I45" s="63">
        <v>1.8024980137907608E-4</v>
      </c>
      <c r="M45" s="40">
        <f t="shared" ref="M45" si="32">I45+D45</f>
        <v>1.8024980137907608E-4</v>
      </c>
      <c r="O45" s="58">
        <f t="shared" ref="O45" si="33">M45/H45</f>
        <v>7.3886818485890904E-2</v>
      </c>
      <c r="P45" s="87">
        <f t="shared" ref="P45" si="34">S45-M45</f>
        <v>2.4828475787209243E-3</v>
      </c>
      <c r="Q45" s="58">
        <f>S45/H45</f>
        <v>1.0916394427524829</v>
      </c>
      <c r="R45" s="63">
        <v>2.3064466E-3</v>
      </c>
      <c r="S45" s="77">
        <f t="shared" ref="S45" si="35">T45+U45+W45</f>
        <v>2.6630973801000002E-3</v>
      </c>
      <c r="T45" s="66">
        <v>2.4405209000000001E-3</v>
      </c>
      <c r="U45" s="66">
        <v>2.1359176999999999E-4</v>
      </c>
      <c r="V45" s="66">
        <v>-3.5665083000000001E-4</v>
      </c>
      <c r="W45" s="77">
        <v>8.9847100999999995E-6</v>
      </c>
      <c r="X45" s="63"/>
    </row>
    <row r="46" spans="1:25" s="60" customFormat="1" x14ac:dyDescent="0.2">
      <c r="A46" s="60" t="s">
        <v>219</v>
      </c>
      <c r="B46" s="60" t="s">
        <v>101</v>
      </c>
      <c r="C46" s="60" t="s">
        <v>220</v>
      </c>
      <c r="D46" s="106">
        <v>0</v>
      </c>
      <c r="E46" s="60">
        <v>6.5500000000000006E-5</v>
      </c>
      <c r="F46" s="60">
        <v>1.1900000000000001E-3</v>
      </c>
      <c r="G46" s="61">
        <v>1.44E-6</v>
      </c>
      <c r="H46" s="74">
        <f t="shared" si="31"/>
        <v>1.25694E-3</v>
      </c>
      <c r="I46" s="67"/>
      <c r="K46" s="61"/>
      <c r="L46" s="61"/>
      <c r="M46" s="61"/>
      <c r="P46" s="67"/>
      <c r="R46" s="67"/>
      <c r="X46" s="67" t="s">
        <v>52</v>
      </c>
    </row>
    <row r="47" spans="1:25" s="60" customFormat="1" x14ac:dyDescent="0.2">
      <c r="A47" s="60" t="s">
        <v>221</v>
      </c>
      <c r="B47" s="60" t="s">
        <v>101</v>
      </c>
      <c r="C47" s="60" t="s">
        <v>222</v>
      </c>
      <c r="D47" s="106">
        <v>0</v>
      </c>
      <c r="E47" s="60">
        <v>5.5600000000000001E-6</v>
      </c>
      <c r="F47" s="60">
        <v>1.2400000000000001E-4</v>
      </c>
      <c r="G47" s="60">
        <v>1.2200000000000001E-7</v>
      </c>
      <c r="H47" s="74">
        <f t="shared" si="31"/>
        <v>1.29682E-4</v>
      </c>
      <c r="I47" s="67"/>
      <c r="J47" s="60">
        <v>4.26E-4</v>
      </c>
      <c r="K47" s="60">
        <v>1.67E-7</v>
      </c>
      <c r="L47" s="61">
        <v>1.6999999999999999E-9</v>
      </c>
      <c r="N47" s="60">
        <f>SUM(J47:L47)</f>
        <v>4.2616869999999996E-4</v>
      </c>
      <c r="P47" s="67"/>
      <c r="R47" s="67"/>
      <c r="X47" s="67" t="s">
        <v>33</v>
      </c>
      <c r="Y47" s="60" t="s">
        <v>42</v>
      </c>
    </row>
    <row r="48" spans="1:25" s="66" customFormat="1" x14ac:dyDescent="0.2">
      <c r="A48" s="66" t="s">
        <v>65</v>
      </c>
      <c r="B48" s="66" t="s">
        <v>123</v>
      </c>
      <c r="C48" s="66" t="s">
        <v>198</v>
      </c>
      <c r="D48" s="66">
        <v>0</v>
      </c>
      <c r="E48" s="66">
        <v>1.6396343000000002E-5</v>
      </c>
      <c r="F48" s="66">
        <v>2.7018611999999996E-4</v>
      </c>
      <c r="G48" s="66">
        <v>2.0293906000000002E-6</v>
      </c>
      <c r="H48" s="76">
        <f t="shared" ref="H48:H49" si="36">SUM(E48:G48)</f>
        <v>2.8861185359999996E-4</v>
      </c>
      <c r="I48" s="63">
        <v>2.3567781977861184E-5</v>
      </c>
      <c r="M48" s="40">
        <f t="shared" ref="M48:M49" si="37">I48+D48</f>
        <v>2.3567781977861184E-5</v>
      </c>
      <c r="O48" s="58">
        <f t="shared" ref="O48:O49" si="38">M48/H48</f>
        <v>8.1659092251023149E-2</v>
      </c>
      <c r="P48" s="87">
        <f t="shared" ref="P48:P49" si="39">S48-M48</f>
        <v>2.9205228412213874E-4</v>
      </c>
      <c r="Q48" s="58">
        <f>S48/H48</f>
        <v>1.0935797063187567</v>
      </c>
      <c r="R48" s="112">
        <v>3.0011410000000001E-4</v>
      </c>
      <c r="S48" s="77">
        <f t="shared" ref="S48:S49" si="40">T48+U48+W48</f>
        <v>3.1562006609999995E-4</v>
      </c>
      <c r="T48" s="66">
        <v>2.9608150999999998E-4</v>
      </c>
      <c r="U48" s="66">
        <v>1.7489964000000002E-5</v>
      </c>
      <c r="V48" s="66">
        <v>-1.5505967999999999E-5</v>
      </c>
      <c r="W48" s="66">
        <v>2.0485921000000003E-6</v>
      </c>
      <c r="X48" s="63"/>
    </row>
    <row r="49" spans="1:25" s="66" customFormat="1" x14ac:dyDescent="0.2">
      <c r="A49" s="66" t="s">
        <v>213</v>
      </c>
      <c r="B49" s="66" t="s">
        <v>123</v>
      </c>
      <c r="C49" s="66" t="s">
        <v>199</v>
      </c>
      <c r="D49" s="66">
        <v>0</v>
      </c>
      <c r="E49" s="66">
        <v>1.8221292999999999E-5</v>
      </c>
      <c r="F49" s="66">
        <v>4.3925376000000002E-4</v>
      </c>
      <c r="G49" s="66">
        <v>7.2992406000000002E-7</v>
      </c>
      <c r="H49" s="76">
        <f t="shared" si="36"/>
        <v>4.5820497706E-4</v>
      </c>
      <c r="I49" s="63">
        <v>3.158798931983298E-5</v>
      </c>
      <c r="M49" s="40">
        <f t="shared" si="37"/>
        <v>3.158798931983298E-5</v>
      </c>
      <c r="O49" s="58">
        <f t="shared" si="38"/>
        <v>6.8938555671115426E-2</v>
      </c>
      <c r="P49" s="87">
        <f t="shared" si="39"/>
        <v>4.6220768521016689E-4</v>
      </c>
      <c r="Q49" s="58">
        <f>S49/H49</f>
        <v>1.0776741835026804</v>
      </c>
      <c r="R49" s="63">
        <v>4.7886009999999999E-4</v>
      </c>
      <c r="S49" s="77">
        <f t="shared" si="40"/>
        <v>4.9379567452999989E-4</v>
      </c>
      <c r="T49" s="66">
        <v>4.7350597999999997E-4</v>
      </c>
      <c r="U49" s="66">
        <v>1.9555373000000002E-5</v>
      </c>
      <c r="V49" s="66">
        <v>-1.4935570000000001E-5</v>
      </c>
      <c r="W49" s="66">
        <v>7.3432152999999997E-7</v>
      </c>
      <c r="X49" s="63"/>
    </row>
    <row r="50" spans="1:25" s="60" customFormat="1" ht="16" x14ac:dyDescent="0.2">
      <c r="A50" s="75" t="s">
        <v>218</v>
      </c>
      <c r="B50" s="60" t="s">
        <v>101</v>
      </c>
      <c r="C50" s="72"/>
      <c r="D50" s="106">
        <v>0</v>
      </c>
      <c r="E50" s="60">
        <v>1.9599999999999999E-2</v>
      </c>
      <c r="F50" s="60">
        <v>5.4299999999999999E-3</v>
      </c>
      <c r="G50" s="61">
        <v>4.8099999999999997E-5</v>
      </c>
      <c r="H50" s="74">
        <f t="shared" si="31"/>
        <v>2.5078099999999999E-2</v>
      </c>
      <c r="I50" s="67"/>
      <c r="J50" s="60">
        <v>4.86E-4</v>
      </c>
      <c r="K50" s="61">
        <v>4.3900000000000003E-5</v>
      </c>
      <c r="L50" s="61">
        <v>6.1600000000000001E-7</v>
      </c>
      <c r="N50" s="60">
        <f>SUM(J50:L50)</f>
        <v>5.3051600000000008E-4</v>
      </c>
      <c r="P50" s="67"/>
      <c r="R50" s="67"/>
      <c r="X50" s="67"/>
      <c r="Y50" s="60" t="s">
        <v>42</v>
      </c>
    </row>
    <row r="51" spans="1:25" s="10" customFormat="1" x14ac:dyDescent="0.2">
      <c r="A51" s="66" t="s">
        <v>67</v>
      </c>
      <c r="B51" s="10" t="s">
        <v>123</v>
      </c>
      <c r="C51" s="10" t="s">
        <v>185</v>
      </c>
      <c r="D51" s="10">
        <v>0</v>
      </c>
      <c r="E51" s="10">
        <v>2.5799963E-4</v>
      </c>
      <c r="F51" s="10">
        <v>2.9163656E-3</v>
      </c>
      <c r="G51" s="78">
        <v>7.9626759000000003E-6</v>
      </c>
      <c r="H51" s="88">
        <f>SUM(E51:G51)</f>
        <v>3.1823279059E-3</v>
      </c>
      <c r="I51" s="48">
        <v>2.8971064590416055E-4</v>
      </c>
      <c r="M51" s="28">
        <f t="shared" ref="M51" si="41">I51+D51</f>
        <v>2.8971064590416055E-4</v>
      </c>
      <c r="O51" s="8">
        <f>M51/H51</f>
        <v>9.1037333194684392E-2</v>
      </c>
      <c r="P51" s="79">
        <f t="shared" ref="P51" si="42">S51-M51</f>
        <v>3.2184741263958389E-3</v>
      </c>
      <c r="Q51" s="8">
        <f>S51/H51</f>
        <v>1.1023957543142757</v>
      </c>
      <c r="R51" s="48">
        <v>2.7463278000000001E-3</v>
      </c>
      <c r="S51" s="78">
        <f t="shared" ref="S51" si="43">T51+U51+W51</f>
        <v>3.5081847722999997E-3</v>
      </c>
      <c r="T51" s="10">
        <v>3.2144652999999998E-3</v>
      </c>
      <c r="U51" s="10">
        <v>2.857084E-4</v>
      </c>
      <c r="V51" s="10">
        <v>-7.6185703E-4</v>
      </c>
      <c r="W51" s="78">
        <v>8.0110723000000002E-6</v>
      </c>
      <c r="X51" s="48"/>
    </row>
    <row r="52" spans="1:25" s="66" customFormat="1" x14ac:dyDescent="0.2">
      <c r="A52" s="66" t="s">
        <v>68</v>
      </c>
      <c r="B52" s="66" t="s">
        <v>74</v>
      </c>
      <c r="C52" s="59" t="s">
        <v>73</v>
      </c>
      <c r="D52" s="66">
        <v>0</v>
      </c>
      <c r="E52" s="77">
        <v>3.9299999999999999E-10</v>
      </c>
      <c r="F52" s="77">
        <v>2.3199999999999999E-8</v>
      </c>
      <c r="G52" s="77">
        <v>1.0599999999999999E-11</v>
      </c>
      <c r="H52" s="77">
        <f>SUM(E52:G52)</f>
        <v>2.3603599999999999E-8</v>
      </c>
      <c r="I52" s="63"/>
      <c r="J52" s="66">
        <f>0.000000000001</f>
        <v>9.9999999999999998E-13</v>
      </c>
      <c r="K52" s="77">
        <f>0.0000000000118</f>
        <v>1.1800000000000001E-11</v>
      </c>
      <c r="L52" s="77"/>
      <c r="P52" s="63"/>
      <c r="R52" s="63"/>
      <c r="X52" s="63"/>
    </row>
    <row r="53" spans="1:25" s="66" customFormat="1" x14ac:dyDescent="0.2">
      <c r="A53" s="66" t="s">
        <v>79</v>
      </c>
      <c r="B53" s="66" t="s">
        <v>80</v>
      </c>
      <c r="C53" s="59" t="s">
        <v>73</v>
      </c>
      <c r="D53" s="66">
        <v>0</v>
      </c>
      <c r="E53" s="77">
        <v>3.9299999999999999E-10</v>
      </c>
      <c r="F53" s="77">
        <v>2.3199999999999999E-8</v>
      </c>
      <c r="G53" s="77">
        <v>1.0599999999999999E-11</v>
      </c>
      <c r="H53" s="62">
        <f>SUM(E53:G53)</f>
        <v>2.3603599999999999E-8</v>
      </c>
      <c r="I53" s="63"/>
      <c r="J53" s="66">
        <f>0.000000000001</f>
        <v>9.9999999999999998E-13</v>
      </c>
      <c r="K53" s="77">
        <f>0.0000000000118</f>
        <v>1.1800000000000001E-11</v>
      </c>
      <c r="L53" s="77"/>
      <c r="P53" s="63"/>
      <c r="R53" s="63"/>
      <c r="X53" s="63"/>
    </row>
    <row r="54" spans="1:25" s="66" customFormat="1" x14ac:dyDescent="0.2">
      <c r="A54" s="66" t="s">
        <v>69</v>
      </c>
      <c r="B54" s="66" t="s">
        <v>123</v>
      </c>
      <c r="C54" s="66" t="s">
        <v>197</v>
      </c>
      <c r="D54" s="66">
        <v>0</v>
      </c>
      <c r="E54" s="66">
        <v>1.5670716E-4</v>
      </c>
      <c r="F54" s="66">
        <v>2.7473836999999997E-3</v>
      </c>
      <c r="G54" s="66">
        <v>5.6599904999999999E-6</v>
      </c>
      <c r="H54" s="76">
        <f>SUM(E54:G54)</f>
        <v>2.9097508504999999E-3</v>
      </c>
      <c r="I54" s="63">
        <v>1.8364842520301005E-4</v>
      </c>
      <c r="M54" s="40">
        <f t="shared" ref="M54" si="44">I54+D54</f>
        <v>1.8364842520301005E-4</v>
      </c>
      <c r="O54" s="58">
        <f t="shared" ref="O54" si="45">M54/H54</f>
        <v>6.3114828258045749E-2</v>
      </c>
      <c r="P54" s="87">
        <f t="shared" ref="P54" si="46">S54-M54</f>
        <v>2.9373541139969899E-3</v>
      </c>
      <c r="Q54" s="58">
        <f>S54/H54</f>
        <v>1.0726012980333692</v>
      </c>
      <c r="R54" s="63">
        <v>2.7162771E-3</v>
      </c>
      <c r="S54" s="77">
        <f t="shared" ref="S54" si="47">T54+U54+W54</f>
        <v>3.1210025392000001E-3</v>
      </c>
      <c r="T54" s="66">
        <v>2.9435003E-3</v>
      </c>
      <c r="U54" s="66">
        <v>1.7180567000000001E-4</v>
      </c>
      <c r="V54" s="66">
        <v>-4.0472543E-4</v>
      </c>
      <c r="W54" s="66">
        <v>5.6965692000000007E-6</v>
      </c>
      <c r="X54" s="63"/>
    </row>
    <row r="55" spans="1:25" s="10" customFormat="1" x14ac:dyDescent="0.2">
      <c r="A55" s="10" t="s">
        <v>127</v>
      </c>
      <c r="B55" s="10" t="s">
        <v>123</v>
      </c>
      <c r="C55" s="15" t="s">
        <v>85</v>
      </c>
      <c r="D55" s="57">
        <f>SUM(E55:G55)</f>
        <v>7.7146330300999991E-3</v>
      </c>
      <c r="E55" s="78">
        <v>9.0325515000000002E-5</v>
      </c>
      <c r="F55" s="10">
        <v>7.6171460999999996E-3</v>
      </c>
      <c r="G55" s="78">
        <v>7.1614150999999999E-6</v>
      </c>
      <c r="H55" s="78"/>
      <c r="I55" s="48">
        <v>3.0079547578257753E-4</v>
      </c>
      <c r="J55" s="22">
        <f>(0.000000000244+0.00000000131)/2</f>
        <v>7.7700000000000001E-10</v>
      </c>
      <c r="K55" s="22">
        <f>(0.00000585+0.000059)/2</f>
        <v>3.2425000000000002E-5</v>
      </c>
      <c r="L55" s="22">
        <v>5.0000000000000003E-10</v>
      </c>
      <c r="M55" s="28">
        <f>I55+D55</f>
        <v>8.0154285058825769E-3</v>
      </c>
      <c r="N55" s="5"/>
      <c r="O55" s="8">
        <f t="shared" ref="O55:O63" si="48">M55/D55</f>
        <v>1.0389902506845072</v>
      </c>
      <c r="P55" s="79">
        <f>S55-M55</f>
        <v>3.5668101921742211E-4</v>
      </c>
      <c r="Q55" s="8">
        <f t="shared" ref="Q55:Q63" si="49">S55/D55</f>
        <v>1.0852245975193817</v>
      </c>
      <c r="R55" s="90">
        <v>8.2741136000000007E-3</v>
      </c>
      <c r="S55" s="78">
        <f>T55+U55+W55</f>
        <v>8.372109525099999E-3</v>
      </c>
      <c r="T55" s="10">
        <v>8.2674589999999996E-3</v>
      </c>
      <c r="U55" s="78">
        <v>9.7457899999999994E-5</v>
      </c>
      <c r="V55" s="78">
        <v>-9.7995959000000003E-5</v>
      </c>
      <c r="W55" s="78">
        <v>7.1926251000000004E-6</v>
      </c>
      <c r="X55" s="48" t="s">
        <v>126</v>
      </c>
      <c r="Y55" s="10" t="s">
        <v>36</v>
      </c>
    </row>
    <row r="56" spans="1:25" s="10" customFormat="1" x14ac:dyDescent="0.2">
      <c r="A56" s="10" t="s">
        <v>125</v>
      </c>
      <c r="B56" s="10" t="s">
        <v>123</v>
      </c>
      <c r="C56" s="10" t="s">
        <v>108</v>
      </c>
      <c r="D56" s="57">
        <f>SUM(E56:G56)</f>
        <v>8.594028499600001E-2</v>
      </c>
      <c r="E56" s="10">
        <v>5.1895786000000005E-4</v>
      </c>
      <c r="F56" s="10">
        <v>8.5356050000000003E-2</v>
      </c>
      <c r="G56" s="78">
        <v>6.5277136000000004E-5</v>
      </c>
      <c r="I56" s="48">
        <v>1.8510238024887112E-3</v>
      </c>
      <c r="J56" s="22"/>
      <c r="K56" s="22"/>
      <c r="L56" s="22"/>
      <c r="M56" s="28">
        <f>I56+D56</f>
        <v>8.7791308798488718E-2</v>
      </c>
      <c r="N56" s="5"/>
      <c r="O56" s="8">
        <f t="shared" si="48"/>
        <v>1.0215384880626688</v>
      </c>
      <c r="P56" s="79">
        <f>S56-M56</f>
        <v>1.2218851325112856E-3</v>
      </c>
      <c r="Q56" s="8">
        <f t="shared" si="49"/>
        <v>1.0357563270257135</v>
      </c>
      <c r="R56" s="48">
        <v>8.8560681000000002E-2</v>
      </c>
      <c r="S56" s="78">
        <f>T56+U56+W56</f>
        <v>8.9013193931000004E-2</v>
      </c>
      <c r="T56" s="10">
        <v>8.8397287000000005E-2</v>
      </c>
      <c r="U56" s="10">
        <v>5.5007224999999995E-4</v>
      </c>
      <c r="V56" s="10">
        <v>-4.5251284999999999E-4</v>
      </c>
      <c r="W56" s="78">
        <v>6.5834680999999996E-5</v>
      </c>
      <c r="X56" s="48"/>
    </row>
    <row r="57" spans="1:25" s="15" customFormat="1" x14ac:dyDescent="0.2">
      <c r="A57" s="15" t="s">
        <v>9</v>
      </c>
      <c r="B57" s="15" t="s">
        <v>123</v>
      </c>
      <c r="C57" s="89" t="s">
        <v>224</v>
      </c>
      <c r="D57" s="94">
        <f>(D55+D56)/2</f>
        <v>4.6827459013050007E-2</v>
      </c>
      <c r="E57" s="94">
        <f>(E55+E56)/2</f>
        <v>3.0464168750000004E-4</v>
      </c>
      <c r="F57" s="94">
        <f>(F55+F56)/2</f>
        <v>4.6486598050000001E-2</v>
      </c>
      <c r="G57" s="94">
        <f>(G55+G56)/2</f>
        <v>3.6219275549999999E-5</v>
      </c>
      <c r="H57" s="94"/>
      <c r="I57" s="95">
        <f>(I55+I56)/2</f>
        <v>1.0759096391356443E-3</v>
      </c>
      <c r="J57" s="36"/>
      <c r="K57" s="103"/>
      <c r="L57" s="103"/>
      <c r="M57" s="94">
        <f>(M55+M56)/2</f>
        <v>4.7903368652185647E-2</v>
      </c>
      <c r="O57" s="104">
        <f>M57/D57</f>
        <v>1.0229760414468743</v>
      </c>
      <c r="P57" s="95">
        <f>(P55+P56)/2</f>
        <v>7.8928307586435386E-4</v>
      </c>
      <c r="Q57" s="104">
        <f>S57/D57</f>
        <v>1.0398311750052505</v>
      </c>
      <c r="R57" s="95">
        <f t="shared" ref="R57:W57" si="50">(R55+R56)/2</f>
        <v>4.8417397299999998E-2</v>
      </c>
      <c r="S57" s="94">
        <f t="shared" si="50"/>
        <v>4.8692651728049999E-2</v>
      </c>
      <c r="T57" s="94">
        <f t="shared" si="50"/>
        <v>4.8332373000000005E-2</v>
      </c>
      <c r="U57" s="94">
        <f t="shared" si="50"/>
        <v>3.2376507499999997E-4</v>
      </c>
      <c r="V57" s="94">
        <f t="shared" si="50"/>
        <v>-2.7525440450000001E-4</v>
      </c>
      <c r="W57" s="94">
        <f t="shared" si="50"/>
        <v>3.6513653049999996E-5</v>
      </c>
      <c r="X57" s="47"/>
    </row>
    <row r="58" spans="1:25" s="10" customFormat="1" x14ac:dyDescent="0.2">
      <c r="A58" s="10" t="s">
        <v>4</v>
      </c>
      <c r="B58" s="10" t="s">
        <v>123</v>
      </c>
      <c r="C58" s="91" t="s">
        <v>131</v>
      </c>
      <c r="D58" s="57">
        <f>SUM(E58:G58)</f>
        <v>0.28544710988200001</v>
      </c>
      <c r="E58" s="10">
        <v>1.1795423999999999E-3</v>
      </c>
      <c r="F58" s="10">
        <v>0.28419630000000001</v>
      </c>
      <c r="G58" s="78">
        <v>7.1267482000000006E-5</v>
      </c>
      <c r="I58" s="92">
        <v>0.17127548479744575</v>
      </c>
      <c r="J58" s="22"/>
      <c r="K58" s="22"/>
      <c r="L58" s="22"/>
      <c r="M58" s="28">
        <f>I58+D58</f>
        <v>0.45672259467944576</v>
      </c>
      <c r="N58" s="5"/>
      <c r="O58" s="8">
        <f t="shared" si="48"/>
        <v>1.6000252896876368</v>
      </c>
      <c r="P58" s="79">
        <f>S58-M58</f>
        <v>1.3400236155542422E-3</v>
      </c>
      <c r="Q58" s="8">
        <f t="shared" si="49"/>
        <v>1.6047197622156935</v>
      </c>
      <c r="R58" s="48">
        <v>0.45720370999999999</v>
      </c>
      <c r="S58" s="78">
        <f t="shared" ref="S58:S63" si="51">T58+U58+W58</f>
        <v>0.458062618295</v>
      </c>
      <c r="T58" s="10">
        <v>0.45650970000000002</v>
      </c>
      <c r="U58" s="10">
        <v>1.4812587999999999E-3</v>
      </c>
      <c r="V58" s="10">
        <v>-8.5891669999999995E-4</v>
      </c>
      <c r="W58" s="78">
        <v>7.1659495E-5</v>
      </c>
      <c r="X58" s="48" t="s">
        <v>130</v>
      </c>
      <c r="Y58" s="10" t="s">
        <v>37</v>
      </c>
    </row>
    <row r="59" spans="1:25" s="10" customFormat="1" x14ac:dyDescent="0.2">
      <c r="A59" s="10" t="s">
        <v>134</v>
      </c>
      <c r="B59" s="10" t="s">
        <v>123</v>
      </c>
      <c r="C59" s="93" t="s">
        <v>132</v>
      </c>
      <c r="D59" s="57">
        <f t="shared" ref="D59:D63" si="52">SUM(E59:G59)</f>
        <v>0.23395493630300002</v>
      </c>
      <c r="E59" s="10">
        <v>1.49658E-3</v>
      </c>
      <c r="F59" s="10">
        <v>0.23236776000000001</v>
      </c>
      <c r="G59" s="78">
        <v>9.0596302999999993E-5</v>
      </c>
      <c r="I59" s="92">
        <v>0.23624114581172911</v>
      </c>
      <c r="J59" s="22"/>
      <c r="K59" s="22"/>
      <c r="L59" s="22"/>
      <c r="M59" s="28">
        <f>I59+D59</f>
        <v>0.47019608211472913</v>
      </c>
      <c r="N59" s="5"/>
      <c r="O59" s="8">
        <f t="shared" si="48"/>
        <v>2.0097720079980195</v>
      </c>
      <c r="P59" s="79">
        <f>S59-M59</f>
        <v>1.3456565692708256E-3</v>
      </c>
      <c r="Q59" s="8">
        <f t="shared" si="49"/>
        <v>2.0155237847740737</v>
      </c>
      <c r="R59" s="82">
        <v>0.47045091999999999</v>
      </c>
      <c r="S59" s="78">
        <f t="shared" si="51"/>
        <v>0.47154173868399996</v>
      </c>
      <c r="T59" s="78">
        <v>0.46962864999999998</v>
      </c>
      <c r="U59" s="78">
        <v>1.8221235000000001E-3</v>
      </c>
      <c r="V59" s="10">
        <v>-1.0908211000000001E-3</v>
      </c>
      <c r="W59" s="78">
        <v>9.0965184000000004E-5</v>
      </c>
      <c r="X59" s="48" t="s">
        <v>130</v>
      </c>
    </row>
    <row r="60" spans="1:25" s="10" customFormat="1" x14ac:dyDescent="0.2">
      <c r="A60" s="10" t="s">
        <v>135</v>
      </c>
      <c r="B60" s="10" t="s">
        <v>123</v>
      </c>
      <c r="C60" s="93" t="s">
        <v>133</v>
      </c>
      <c r="D60" s="57">
        <f t="shared" si="52"/>
        <v>0.22369933762000002</v>
      </c>
      <c r="E60" s="10">
        <v>1.0332332E-3</v>
      </c>
      <c r="F60" s="10">
        <v>0.22260947</v>
      </c>
      <c r="G60" s="78">
        <v>5.6634420000000002E-5</v>
      </c>
      <c r="I60" s="92">
        <v>0.14429156049601144</v>
      </c>
      <c r="J60" s="22"/>
      <c r="K60" s="22"/>
      <c r="L60" s="22"/>
      <c r="M60" s="28">
        <f>I60+D60</f>
        <v>0.36799089811601149</v>
      </c>
      <c r="N60" s="5"/>
      <c r="O60" s="8">
        <f t="shared" si="48"/>
        <v>1.6450245317271381</v>
      </c>
      <c r="P60" s="79">
        <f>S60-M60</f>
        <v>1.1448632719885388E-3</v>
      </c>
      <c r="Q60" s="8">
        <f t="shared" si="49"/>
        <v>1.6501423978959389</v>
      </c>
      <c r="R60" s="82">
        <v>0.36837771000000002</v>
      </c>
      <c r="S60" s="78">
        <f t="shared" si="51"/>
        <v>0.36913576138800003</v>
      </c>
      <c r="T60" s="78">
        <v>0.36780125000000002</v>
      </c>
      <c r="U60" s="78">
        <v>1.2775612E-3</v>
      </c>
      <c r="V60" s="10">
        <v>-7.5805388999999998E-4</v>
      </c>
      <c r="W60" s="78">
        <v>5.6950188000000003E-5</v>
      </c>
      <c r="X60" s="48" t="s">
        <v>130</v>
      </c>
    </row>
    <row r="61" spans="1:25" s="34" customFormat="1" x14ac:dyDescent="0.2">
      <c r="A61" s="34" t="s">
        <v>88</v>
      </c>
      <c r="B61" s="66" t="s">
        <v>123</v>
      </c>
      <c r="C61" s="59" t="str">
        <f>C60</f>
        <v>Natural gas, high pressure {NL}| market for | APOS, S</v>
      </c>
      <c r="D61" s="35">
        <f>D60</f>
        <v>0.22369933762000002</v>
      </c>
      <c r="E61" s="35" t="s">
        <v>165</v>
      </c>
      <c r="F61" s="35" t="s">
        <v>165</v>
      </c>
      <c r="G61" s="35" t="s">
        <v>165</v>
      </c>
      <c r="I61" s="35">
        <f>I60</f>
        <v>0.14429156049601144</v>
      </c>
      <c r="J61" s="68"/>
      <c r="K61" s="68"/>
      <c r="L61" s="68"/>
      <c r="M61" s="35" t="s">
        <v>165</v>
      </c>
      <c r="N61" s="35" t="s">
        <v>165</v>
      </c>
      <c r="O61" s="35" t="s">
        <v>165</v>
      </c>
      <c r="P61" s="49">
        <f>P60</f>
        <v>1.1448632719885388E-3</v>
      </c>
      <c r="Q61" s="35" t="s">
        <v>165</v>
      </c>
      <c r="R61" s="35" t="s">
        <v>165</v>
      </c>
      <c r="S61" s="35">
        <f>S60</f>
        <v>0.36913576138800003</v>
      </c>
      <c r="T61" s="35" t="s">
        <v>165</v>
      </c>
      <c r="U61" s="35" t="s">
        <v>165</v>
      </c>
      <c r="V61" s="35" t="s">
        <v>165</v>
      </c>
      <c r="W61" s="35" t="s">
        <v>165</v>
      </c>
      <c r="X61" s="56"/>
    </row>
    <row r="62" spans="1:25" s="10" customFormat="1" x14ac:dyDescent="0.2">
      <c r="A62" s="10" t="s">
        <v>75</v>
      </c>
      <c r="B62" s="10" t="s">
        <v>123</v>
      </c>
      <c r="C62" s="10" t="s">
        <v>158</v>
      </c>
      <c r="D62" s="57">
        <f t="shared" si="52"/>
        <v>2.5347597263599999</v>
      </c>
      <c r="E62" s="10">
        <v>1.3276557E-2</v>
      </c>
      <c r="F62" s="10">
        <v>2.5210811999999998</v>
      </c>
      <c r="G62" s="10">
        <v>4.0196935999999998E-4</v>
      </c>
      <c r="I62" s="48">
        <v>0.19566677613031228</v>
      </c>
      <c r="M62" s="28">
        <f t="shared" ref="M62:M63" si="53">I62+D62</f>
        <v>2.730426502490312</v>
      </c>
      <c r="O62" s="8">
        <f t="shared" si="48"/>
        <v>1.0771934215679275</v>
      </c>
      <c r="P62" s="79">
        <f t="shared" ref="P62:P63" si="54">S62-M62</f>
        <v>5.1341050896875906E-3</v>
      </c>
      <c r="Q62" s="8">
        <f t="shared" si="49"/>
        <v>1.0792189015518077</v>
      </c>
      <c r="R62" s="48">
        <v>2.7227667000000002</v>
      </c>
      <c r="S62" s="78">
        <f t="shared" si="51"/>
        <v>2.7355606075799996</v>
      </c>
      <c r="T62" s="10">
        <v>2.7209493999999999</v>
      </c>
      <c r="U62" s="10">
        <v>1.4207633000000001E-2</v>
      </c>
      <c r="V62" s="10">
        <v>-1.2793980999999999E-2</v>
      </c>
      <c r="W62" s="10">
        <v>4.0357457999999998E-4</v>
      </c>
      <c r="X62" s="48"/>
    </row>
    <row r="63" spans="1:25" s="10" customFormat="1" x14ac:dyDescent="0.2">
      <c r="A63" s="10" t="s">
        <v>86</v>
      </c>
      <c r="B63" s="10" t="s">
        <v>123</v>
      </c>
      <c r="C63" s="10" t="s">
        <v>158</v>
      </c>
      <c r="D63" s="57">
        <f t="shared" si="52"/>
        <v>2.5347597263599999</v>
      </c>
      <c r="E63" s="10">
        <v>1.3276557E-2</v>
      </c>
      <c r="F63" s="10">
        <v>2.5210811999999998</v>
      </c>
      <c r="G63" s="10">
        <v>4.0196935999999998E-4</v>
      </c>
      <c r="I63" s="48">
        <v>0.19566677613031228</v>
      </c>
      <c r="M63" s="28">
        <f t="shared" si="53"/>
        <v>2.730426502490312</v>
      </c>
      <c r="O63" s="8">
        <f t="shared" si="48"/>
        <v>1.0771934215679275</v>
      </c>
      <c r="P63" s="79">
        <f t="shared" si="54"/>
        <v>5.1341050896875906E-3</v>
      </c>
      <c r="Q63" s="8">
        <f t="shared" si="49"/>
        <v>1.0792189015518077</v>
      </c>
      <c r="R63" s="48">
        <v>2.7227667000000002</v>
      </c>
      <c r="S63" s="78">
        <f t="shared" si="51"/>
        <v>2.7355606075799996</v>
      </c>
      <c r="T63" s="10">
        <v>2.7209493999999999</v>
      </c>
      <c r="U63" s="10">
        <v>1.4207633000000001E-2</v>
      </c>
      <c r="V63" s="10">
        <v>-1.2793980999999999E-2</v>
      </c>
      <c r="W63" s="10">
        <v>4.0357457999999998E-4</v>
      </c>
      <c r="X63" s="48"/>
    </row>
    <row r="64" spans="1:25" s="10" customFormat="1" x14ac:dyDescent="0.2">
      <c r="A64" s="10" t="s">
        <v>50</v>
      </c>
      <c r="B64" s="10" t="s">
        <v>123</v>
      </c>
      <c r="C64" s="10" t="s">
        <v>111</v>
      </c>
      <c r="D64" s="57">
        <f t="shared" ref="D64:D76" si="55">SUM(E64:G64)</f>
        <v>1.09039228267E-2</v>
      </c>
      <c r="E64" s="10">
        <v>1.3292528000000001E-4</v>
      </c>
      <c r="F64" s="10">
        <v>1.0761978E-2</v>
      </c>
      <c r="G64" s="78">
        <v>9.0195466999999994E-6</v>
      </c>
      <c r="I64" s="48">
        <v>4.2705581983538829E-4</v>
      </c>
      <c r="J64" s="22">
        <v>4.46E-4</v>
      </c>
      <c r="K64" s="22">
        <v>9.4900000000000006E-6</v>
      </c>
      <c r="L64" s="80">
        <v>4.51E-8</v>
      </c>
      <c r="M64" s="28">
        <f>I64+D64</f>
        <v>1.1330978646535388E-2</v>
      </c>
      <c r="O64" s="8">
        <f>M64/D64</f>
        <v>1.0391653377066896</v>
      </c>
      <c r="P64" s="79">
        <f>S64-M64</f>
        <v>1.0448362846461265E-4</v>
      </c>
      <c r="Q64" s="8">
        <f>S64/D64</f>
        <v>1.0487475431317654</v>
      </c>
      <c r="R64" s="48">
        <v>1.1315403999999999E-2</v>
      </c>
      <c r="S64" s="78">
        <f>T64+U64+W64</f>
        <v>1.1435462275000001E-2</v>
      </c>
      <c r="T64" s="10">
        <v>1.1283354000000001E-2</v>
      </c>
      <c r="U64" s="10">
        <v>1.4304768000000001E-4</v>
      </c>
      <c r="V64" s="10">
        <v>-1.2005836000000001E-4</v>
      </c>
      <c r="W64" s="78">
        <v>9.0605950000000006E-6</v>
      </c>
      <c r="X64" s="48" t="s">
        <v>22</v>
      </c>
    </row>
    <row r="65" spans="1:25" s="10" customFormat="1" x14ac:dyDescent="0.2">
      <c r="A65" s="10" t="s">
        <v>121</v>
      </c>
      <c r="B65" s="10" t="s">
        <v>123</v>
      </c>
      <c r="C65" s="10" t="s">
        <v>110</v>
      </c>
      <c r="D65" s="57">
        <f t="shared" si="55"/>
        <v>5.0614320196999997E-3</v>
      </c>
      <c r="E65" s="10">
        <v>3.4797601999999998E-4</v>
      </c>
      <c r="F65" s="10">
        <v>4.7102508999999999E-3</v>
      </c>
      <c r="G65" s="78">
        <v>3.2050997000000002E-6</v>
      </c>
      <c r="I65" s="48">
        <v>1.24991154681463E-4</v>
      </c>
      <c r="J65" s="22"/>
      <c r="K65" s="22"/>
      <c r="L65" s="80"/>
      <c r="M65" s="28">
        <f>I65+D65</f>
        <v>5.1864231743814623E-3</v>
      </c>
      <c r="O65" s="8">
        <f>M65/D65</f>
        <v>1.0246948203976611</v>
      </c>
      <c r="P65" s="79">
        <f>S65-M65</f>
        <v>4.7612244818537666E-5</v>
      </c>
      <c r="Q65" s="8">
        <f>S65/D65</f>
        <v>1.0341016927281048</v>
      </c>
      <c r="R65" s="48">
        <v>4.9667312000000003E-3</v>
      </c>
      <c r="S65" s="78">
        <f>T65+U65+W65</f>
        <v>5.2340354192E-3</v>
      </c>
      <c r="T65" s="10">
        <v>4.8780843999999997E-3</v>
      </c>
      <c r="U65" s="10">
        <v>3.5272626999999999E-4</v>
      </c>
      <c r="V65" s="10">
        <v>-2.6730421999999999E-4</v>
      </c>
      <c r="W65" s="78">
        <v>3.2247492E-6</v>
      </c>
      <c r="X65" s="48"/>
    </row>
    <row r="66" spans="1:25" s="10" customFormat="1" x14ac:dyDescent="0.2">
      <c r="A66" s="10" t="s">
        <v>78</v>
      </c>
      <c r="B66" s="10" t="s">
        <v>123</v>
      </c>
      <c r="C66" s="10" t="s">
        <v>157</v>
      </c>
      <c r="D66" s="57">
        <f t="shared" si="55"/>
        <v>2.8784948107999999</v>
      </c>
      <c r="E66" s="10">
        <v>5.8728624E-2</v>
      </c>
      <c r="F66" s="10">
        <v>2.8176022999999999</v>
      </c>
      <c r="G66" s="10">
        <v>2.1638868000000001E-3</v>
      </c>
      <c r="I66" s="48">
        <v>0.36041853797912854</v>
      </c>
      <c r="J66" s="22"/>
      <c r="K66" s="22"/>
      <c r="L66" s="22">
        <v>5.0099999999999998E-5</v>
      </c>
      <c r="M66" s="28">
        <f>I66+D66</f>
        <v>3.2389133487791284</v>
      </c>
      <c r="N66" s="5"/>
      <c r="O66" s="8">
        <f>M66/D66</f>
        <v>1.1252107652328753</v>
      </c>
      <c r="P66" s="79">
        <f>S66-M66</f>
        <v>1.5517898020871446E-2</v>
      </c>
      <c r="Q66" s="8">
        <f>S66/D66</f>
        <v>1.1306017417816774</v>
      </c>
      <c r="R66" s="48">
        <v>3.2071843000000002</v>
      </c>
      <c r="S66" s="78">
        <f>T66+U66+W66</f>
        <v>3.2544312467999998</v>
      </c>
      <c r="T66" s="10">
        <v>3.1898217999999998</v>
      </c>
      <c r="U66" s="10">
        <v>6.2440016000000001E-2</v>
      </c>
      <c r="V66" s="10">
        <v>-4.7246989000000003E-2</v>
      </c>
      <c r="W66" s="10">
        <v>2.1694307999999998E-3</v>
      </c>
      <c r="X66" s="48" t="s">
        <v>23</v>
      </c>
      <c r="Y66" s="10" t="s">
        <v>40</v>
      </c>
    </row>
    <row r="67" spans="1:25" s="10" customFormat="1" x14ac:dyDescent="0.2">
      <c r="A67" s="111" t="s">
        <v>233</v>
      </c>
      <c r="B67" s="10" t="s">
        <v>123</v>
      </c>
      <c r="C67" s="10" t="s">
        <v>174</v>
      </c>
      <c r="D67" s="57">
        <f t="shared" si="55"/>
        <v>1.95610829248</v>
      </c>
      <c r="E67" s="10">
        <v>3.6251116000000001E-3</v>
      </c>
      <c r="F67" s="10">
        <v>1.9523239999999999</v>
      </c>
      <c r="G67" s="10">
        <v>1.5918088000000001E-4</v>
      </c>
      <c r="I67" s="48">
        <v>8.5879424869035395E-3</v>
      </c>
      <c r="M67" s="28">
        <f t="shared" ref="M67" si="56">I67+D67</f>
        <v>1.9646962349669035</v>
      </c>
      <c r="O67" s="8">
        <f t="shared" ref="O67" si="57">M67/D67</f>
        <v>1.0043903205767895</v>
      </c>
      <c r="P67" s="79">
        <f t="shared" ref="P67" si="58">S67-M67</f>
        <v>1.1118626253096675E-2</v>
      </c>
      <c r="Q67" s="8">
        <f t="shared" ref="Q67" si="59">S67/D67</f>
        <v>1.0100743751334011</v>
      </c>
      <c r="R67" s="48">
        <v>1.9730346999999999</v>
      </c>
      <c r="S67" s="78">
        <f t="shared" ref="S67" si="60">T67+U67+W67</f>
        <v>1.9758148612200002</v>
      </c>
      <c r="T67" s="10">
        <v>1.9717925000000001</v>
      </c>
      <c r="U67" s="10">
        <v>3.8625724E-3</v>
      </c>
      <c r="V67" s="10">
        <v>-2.7801484999999998E-3</v>
      </c>
      <c r="W67" s="10">
        <v>1.5978882000000001E-4</v>
      </c>
      <c r="X67" s="48"/>
    </row>
    <row r="68" spans="1:25" s="66" customFormat="1" x14ac:dyDescent="0.2">
      <c r="A68" s="66" t="s">
        <v>59</v>
      </c>
      <c r="B68" s="66" t="s">
        <v>123</v>
      </c>
      <c r="C68" s="66" t="s">
        <v>192</v>
      </c>
      <c r="D68" s="76">
        <f t="shared" ref="D68" si="61">SUM(E68:G68)</f>
        <v>8.3936710404999994E-5</v>
      </c>
      <c r="E68" s="66">
        <v>5.9118091000000005E-7</v>
      </c>
      <c r="F68" s="66">
        <v>8.3315855999999993E-5</v>
      </c>
      <c r="G68" s="77">
        <v>2.9673494999999999E-8</v>
      </c>
      <c r="I68" s="63">
        <v>1.7981543521342812E-6</v>
      </c>
      <c r="M68" s="40">
        <f t="shared" ref="M68" si="62">I68+D68</f>
        <v>8.573486475713427E-5</v>
      </c>
      <c r="O68" s="58">
        <f t="shared" ref="O68" si="63">M68/D68</f>
        <v>1.0214227403415987</v>
      </c>
      <c r="P68" s="87">
        <f t="shared" ref="P68" si="64">S68-M68</f>
        <v>1.0841959608657307E-6</v>
      </c>
      <c r="Q68" s="58">
        <f t="shared" ref="Q68" si="65">S68/D68</f>
        <v>1.0343395672655324</v>
      </c>
      <c r="R68" s="63">
        <v>8.6410596000000012E-5</v>
      </c>
      <c r="S68" s="77">
        <f t="shared" ref="S68" si="66">T68+U68+W68</f>
        <v>8.6819060718000001E-5</v>
      </c>
      <c r="T68" s="66">
        <v>8.6173740999999997E-5</v>
      </c>
      <c r="U68" s="66">
        <v>6.1547634000000001E-7</v>
      </c>
      <c r="V68" s="66">
        <v>-4.0846504000000001E-7</v>
      </c>
      <c r="W68" s="77">
        <v>2.9843377999999999E-8</v>
      </c>
      <c r="X68" s="63"/>
      <c r="Y68" s="66" t="s">
        <v>41</v>
      </c>
    </row>
    <row r="69" spans="1:25" s="34" customFormat="1" x14ac:dyDescent="0.2">
      <c r="A69" s="34" t="s">
        <v>63</v>
      </c>
      <c r="B69" s="34" t="s">
        <v>123</v>
      </c>
      <c r="C69" s="34" t="str">
        <f>C68</f>
        <v>tkm Transport, freight, lorry &gt;32 metric ton, euro6 {RER}| market for transport, freight, lorry &gt;32 metric ton, EURO6 | APOS, S</v>
      </c>
      <c r="D69" s="35">
        <f>D68</f>
        <v>8.3936710404999994E-5</v>
      </c>
      <c r="E69" s="35" t="s">
        <v>165</v>
      </c>
      <c r="F69" s="35" t="s">
        <v>165</v>
      </c>
      <c r="G69" s="35" t="s">
        <v>165</v>
      </c>
      <c r="I69" s="35">
        <f>I68</f>
        <v>1.7981543521342812E-6</v>
      </c>
      <c r="J69" s="68"/>
      <c r="K69" s="68"/>
      <c r="L69" s="68"/>
      <c r="M69" s="35" t="s">
        <v>165</v>
      </c>
      <c r="N69" s="35" t="s">
        <v>165</v>
      </c>
      <c r="O69" s="35" t="s">
        <v>165</v>
      </c>
      <c r="P69" s="49">
        <f>P68</f>
        <v>1.0841959608657307E-6</v>
      </c>
      <c r="Q69" s="35" t="s">
        <v>165</v>
      </c>
      <c r="R69" s="35" t="s">
        <v>165</v>
      </c>
      <c r="S69" s="35">
        <f>S68</f>
        <v>8.6819060718000001E-5</v>
      </c>
      <c r="T69" s="35" t="s">
        <v>165</v>
      </c>
      <c r="U69" s="35" t="s">
        <v>165</v>
      </c>
      <c r="V69" s="35" t="s">
        <v>165</v>
      </c>
      <c r="W69" s="35" t="s">
        <v>165</v>
      </c>
      <c r="X69" s="56"/>
      <c r="Y69" s="34" t="s">
        <v>41</v>
      </c>
    </row>
    <row r="70" spans="1:25" s="66" customFormat="1" x14ac:dyDescent="0.2">
      <c r="A70" s="66" t="s">
        <v>168</v>
      </c>
      <c r="B70" s="66" t="s">
        <v>123</v>
      </c>
      <c r="C70" s="66" t="s">
        <v>193</v>
      </c>
      <c r="D70" s="76">
        <f t="shared" si="55"/>
        <v>1.5790532506999998E-4</v>
      </c>
      <c r="E70" s="66">
        <v>1.305853E-6</v>
      </c>
      <c r="F70" s="66">
        <v>1.5653603999999998E-4</v>
      </c>
      <c r="G70" s="77">
        <v>6.3432069999999998E-8</v>
      </c>
      <c r="I70" s="63">
        <v>3.1797766568152777E-6</v>
      </c>
      <c r="M70" s="40">
        <f t="shared" ref="M70:M76" si="67">I70+D70</f>
        <v>1.6108510172681525E-4</v>
      </c>
      <c r="O70" s="58">
        <f t="shared" ref="O70:O76" si="68">M70/D70</f>
        <v>1.020137235114811</v>
      </c>
      <c r="P70" s="87">
        <f t="shared" ref="P70:P76" si="69">S70-M70</f>
        <v>2.0377640891847267E-6</v>
      </c>
      <c r="Q70" s="58">
        <f t="shared" ref="Q70:Q76" si="70">S70/D70</f>
        <v>1.0330422089545557</v>
      </c>
      <c r="R70" s="63">
        <v>1.6222974999999999E-4</v>
      </c>
      <c r="S70" s="77">
        <f t="shared" ref="S70:S76" si="71">T70+U70+W70</f>
        <v>1.6312286581599998E-4</v>
      </c>
      <c r="T70" s="66">
        <v>1.6171116999999998E-4</v>
      </c>
      <c r="U70" s="66">
        <v>1.3478234E-6</v>
      </c>
      <c r="V70" s="66">
        <v>-8.9311093000000002E-7</v>
      </c>
      <c r="W70" s="77">
        <v>6.3872416000000005E-8</v>
      </c>
      <c r="X70" s="63"/>
    </row>
    <row r="71" spans="1:25" s="66" customFormat="1" x14ac:dyDescent="0.2">
      <c r="A71" s="66" t="s">
        <v>169</v>
      </c>
      <c r="B71" s="66" t="s">
        <v>123</v>
      </c>
      <c r="C71" s="66" t="s">
        <v>191</v>
      </c>
      <c r="D71" s="76">
        <f t="shared" si="55"/>
        <v>1.7852849396999999E-3</v>
      </c>
      <c r="E71" s="66">
        <v>2.3297943E-5</v>
      </c>
      <c r="F71" s="66">
        <v>1.7606811000000001E-3</v>
      </c>
      <c r="G71" s="66">
        <v>1.3058967E-6</v>
      </c>
      <c r="I71" s="63">
        <v>4.351832737876321E-5</v>
      </c>
      <c r="M71" s="40">
        <f t="shared" si="67"/>
        <v>1.8288032670787631E-3</v>
      </c>
      <c r="O71" s="58">
        <f t="shared" si="68"/>
        <v>1.0243761241754921</v>
      </c>
      <c r="P71" s="87">
        <f t="shared" si="69"/>
        <v>1.9331584721236743E-5</v>
      </c>
      <c r="Q71" s="58">
        <f t="shared" si="70"/>
        <v>1.0352044151061741</v>
      </c>
      <c r="R71" s="63">
        <v>1.8333239999999999E-3</v>
      </c>
      <c r="S71" s="77">
        <f t="shared" si="71"/>
        <v>1.8481348517999999E-3</v>
      </c>
      <c r="T71" s="66">
        <v>1.8222988E-3</v>
      </c>
      <c r="U71" s="66">
        <v>2.4521234999999997E-5</v>
      </c>
      <c r="V71" s="66">
        <v>-1.4810874999999999E-5</v>
      </c>
      <c r="W71" s="66">
        <v>1.3148168000000001E-6</v>
      </c>
      <c r="X71" s="63"/>
    </row>
    <row r="72" spans="1:25" s="66" customFormat="1" x14ac:dyDescent="0.2">
      <c r="A72" s="66" t="s">
        <v>70</v>
      </c>
      <c r="B72" s="66" t="s">
        <v>123</v>
      </c>
      <c r="C72" s="66" t="s">
        <v>163</v>
      </c>
      <c r="D72" s="76">
        <f t="shared" si="55"/>
        <v>4.5014272126999997E-5</v>
      </c>
      <c r="E72" s="66">
        <v>2.1186845000000002E-6</v>
      </c>
      <c r="F72" s="66">
        <v>4.2832742000000002E-5</v>
      </c>
      <c r="G72" s="77">
        <v>6.2845627000000003E-8</v>
      </c>
      <c r="I72" s="63">
        <v>1.8406587156070322E-6</v>
      </c>
      <c r="J72" s="64">
        <v>1.86E-6</v>
      </c>
      <c r="K72" s="64"/>
      <c r="L72" s="64"/>
      <c r="M72" s="40">
        <f t="shared" si="67"/>
        <v>4.685493084260703E-5</v>
      </c>
      <c r="O72" s="58">
        <f t="shared" si="68"/>
        <v>1.0408905582303749</v>
      </c>
      <c r="P72" s="96">
        <f t="shared" si="69"/>
        <v>4.5037910139296173E-7</v>
      </c>
      <c r="Q72" s="58">
        <f t="shared" si="70"/>
        <v>1.0508958094565259</v>
      </c>
      <c r="R72" s="63">
        <v>4.6149522999999999E-5</v>
      </c>
      <c r="S72" s="77">
        <f t="shared" si="71"/>
        <v>4.7305309943999992E-5</v>
      </c>
      <c r="T72" s="66">
        <v>4.5073507999999997E-5</v>
      </c>
      <c r="U72" s="66">
        <v>2.1686918999999999E-6</v>
      </c>
      <c r="V72" s="66">
        <v>-1.1557869999999999E-6</v>
      </c>
      <c r="W72" s="77">
        <v>6.3110044000000001E-8</v>
      </c>
      <c r="X72" s="63"/>
    </row>
    <row r="73" spans="1:25" s="66" customFormat="1" x14ac:dyDescent="0.2">
      <c r="A73" s="66" t="s">
        <v>61</v>
      </c>
      <c r="B73" s="66" t="s">
        <v>123</v>
      </c>
      <c r="C73" s="66" t="s">
        <v>162</v>
      </c>
      <c r="D73" s="76">
        <f t="shared" si="55"/>
        <v>5.1112977911999995E-5</v>
      </c>
      <c r="E73" s="77">
        <v>6.3074487000000006E-8</v>
      </c>
      <c r="F73" s="66">
        <v>5.1040769999999999E-5</v>
      </c>
      <c r="G73" s="77">
        <v>9.1334249999999996E-9</v>
      </c>
      <c r="H73" s="77"/>
      <c r="I73" s="63">
        <v>5.9164862768251971E-6</v>
      </c>
      <c r="J73" s="65">
        <f>0.000000000000226+0.00000577</f>
        <v>5.7700002259999996E-6</v>
      </c>
      <c r="K73" s="65">
        <v>4.0400000000000001E-9</v>
      </c>
      <c r="L73" s="65">
        <v>1.26E-10</v>
      </c>
      <c r="M73" s="40">
        <f t="shared" si="67"/>
        <v>5.7029464188825194E-5</v>
      </c>
      <c r="N73" s="60"/>
      <c r="O73" s="58">
        <f t="shared" si="68"/>
        <v>1.1157531123898019</v>
      </c>
      <c r="P73" s="96">
        <f t="shared" si="69"/>
        <v>2.4703370257480163E-7</v>
      </c>
      <c r="Q73" s="58">
        <f t="shared" si="70"/>
        <v>1.1205862039580552</v>
      </c>
      <c r="R73" s="63">
        <v>5.7219885999999999E-5</v>
      </c>
      <c r="S73" s="77">
        <f t="shared" si="71"/>
        <v>5.7276497891399996E-5</v>
      </c>
      <c r="T73" s="66">
        <v>5.7186109999999999E-5</v>
      </c>
      <c r="U73" s="77">
        <v>8.1182822000000009E-8</v>
      </c>
      <c r="V73" s="77">
        <v>-5.6611224999999999E-8</v>
      </c>
      <c r="W73" s="77">
        <v>9.2050693999999993E-9</v>
      </c>
      <c r="X73" s="63" t="s">
        <v>19</v>
      </c>
      <c r="Y73" s="66" t="s">
        <v>41</v>
      </c>
    </row>
    <row r="74" spans="1:25" s="10" customFormat="1" ht="16" customHeight="1" x14ac:dyDescent="0.2">
      <c r="A74" s="10" t="s">
        <v>62</v>
      </c>
      <c r="B74" s="10" t="s">
        <v>123</v>
      </c>
      <c r="C74" s="10" t="s">
        <v>161</v>
      </c>
      <c r="D74" s="57">
        <f t="shared" si="55"/>
        <v>5.0876384901000007E-5</v>
      </c>
      <c r="E74" s="78">
        <v>7.1889028999999989E-8</v>
      </c>
      <c r="F74" s="10">
        <v>5.0793082000000004E-5</v>
      </c>
      <c r="G74" s="78">
        <v>1.1413871999999999E-8</v>
      </c>
      <c r="H74" s="78"/>
      <c r="I74" s="48">
        <v>5.9242416042312016E-6</v>
      </c>
      <c r="J74" s="80">
        <f>0.000000000000226+0.00000577</f>
        <v>5.7700002259999996E-6</v>
      </c>
      <c r="K74" s="80">
        <v>4.0400000000000001E-9</v>
      </c>
      <c r="L74" s="80">
        <v>1.26E-10</v>
      </c>
      <c r="M74" s="28">
        <f t="shared" si="67"/>
        <v>5.680062650523121E-5</v>
      </c>
      <c r="N74" s="5"/>
      <c r="O74" s="8">
        <f t="shared" si="68"/>
        <v>1.1164438396273466</v>
      </c>
      <c r="P74" s="97">
        <f t="shared" si="69"/>
        <v>2.4278714276878042E-7</v>
      </c>
      <c r="Q74" s="8">
        <f t="shared" si="70"/>
        <v>1.121215938573473</v>
      </c>
      <c r="R74" s="48">
        <v>5.6974018000000003E-5</v>
      </c>
      <c r="S74" s="78">
        <f t="shared" si="71"/>
        <v>5.704341364799999E-5</v>
      </c>
      <c r="T74" s="10">
        <v>5.6953077999999995E-5</v>
      </c>
      <c r="U74" s="78">
        <v>7.8831282999999994E-8</v>
      </c>
      <c r="V74" s="78">
        <v>-6.9395850000000007E-8</v>
      </c>
      <c r="W74" s="78">
        <v>1.1504365000000001E-8</v>
      </c>
      <c r="X74" s="48" t="s">
        <v>19</v>
      </c>
      <c r="Y74" s="10" t="s">
        <v>41</v>
      </c>
    </row>
    <row r="75" spans="1:25" s="10" customFormat="1" ht="16" customHeight="1" x14ac:dyDescent="0.2">
      <c r="A75" s="10" t="s">
        <v>170</v>
      </c>
      <c r="B75" s="10" t="s">
        <v>123</v>
      </c>
      <c r="C75" s="10" t="s">
        <v>160</v>
      </c>
      <c r="D75" s="57">
        <f t="shared" si="55"/>
        <v>5.2563391955999996E-5</v>
      </c>
      <c r="E75" s="78">
        <v>7.9792908000000002E-8</v>
      </c>
      <c r="F75" s="10">
        <v>5.2473403E-5</v>
      </c>
      <c r="G75" s="78">
        <v>1.0196048E-8</v>
      </c>
      <c r="H75" s="78"/>
      <c r="I75" s="48">
        <v>9.32003549950139E-6</v>
      </c>
      <c r="J75" s="80"/>
      <c r="K75" s="80"/>
      <c r="L75" s="80"/>
      <c r="M75" s="28">
        <f t="shared" si="67"/>
        <v>6.1883427455501391E-5</v>
      </c>
      <c r="N75" s="5"/>
      <c r="O75" s="8">
        <f t="shared" si="68"/>
        <v>1.1773103894684547</v>
      </c>
      <c r="P75" s="97">
        <f t="shared" si="69"/>
        <v>2.5967736449859649E-7</v>
      </c>
      <c r="Q75" s="8">
        <f t="shared" si="70"/>
        <v>1.1822506597751343</v>
      </c>
      <c r="R75" s="48">
        <v>6.2076117E-5</v>
      </c>
      <c r="S75" s="78">
        <f t="shared" si="71"/>
        <v>6.2143104819999988E-5</v>
      </c>
      <c r="T75" s="10">
        <v>6.2030041999999996E-5</v>
      </c>
      <c r="U75" s="10">
        <v>1.0278919999999999E-7</v>
      </c>
      <c r="V75" s="78">
        <v>-6.6988461000000009E-8</v>
      </c>
      <c r="W75" s="78">
        <v>1.0273620000000001E-8</v>
      </c>
      <c r="X75" s="48"/>
    </row>
    <row r="76" spans="1:25" s="66" customFormat="1" x14ac:dyDescent="0.2">
      <c r="A76" s="66" t="s">
        <v>56</v>
      </c>
      <c r="B76" s="66" t="s">
        <v>123</v>
      </c>
      <c r="C76" s="66" t="s">
        <v>173</v>
      </c>
      <c r="D76" s="76">
        <f t="shared" si="55"/>
        <v>3.4113084290999997E-4</v>
      </c>
      <c r="E76" s="77">
        <v>2.7803995E-5</v>
      </c>
      <c r="F76" s="66">
        <v>3.1270264999999999E-4</v>
      </c>
      <c r="G76" s="77">
        <v>6.2419791000000003E-7</v>
      </c>
      <c r="I76" s="63">
        <v>2.0486484113120651E-5</v>
      </c>
      <c r="M76" s="40">
        <f t="shared" si="67"/>
        <v>3.6161732702312061E-4</v>
      </c>
      <c r="O76" s="58">
        <f t="shared" si="68"/>
        <v>1.0600546228489975</v>
      </c>
      <c r="P76" s="87">
        <f t="shared" si="69"/>
        <v>4.6117466368794527E-6</v>
      </c>
      <c r="Q76" s="58">
        <f t="shared" si="70"/>
        <v>1.0735736192479719</v>
      </c>
      <c r="R76" s="63">
        <v>3.5351095000000002E-4</v>
      </c>
      <c r="S76" s="77">
        <f t="shared" si="71"/>
        <v>3.6622907366000006E-4</v>
      </c>
      <c r="T76" s="66">
        <v>3.3717684000000002E-4</v>
      </c>
      <c r="U76" s="77">
        <v>2.8426174000000001E-5</v>
      </c>
      <c r="V76" s="77">
        <v>-1.2718124E-5</v>
      </c>
      <c r="W76" s="77">
        <v>6.2605966000000002E-7</v>
      </c>
      <c r="X76" s="63"/>
    </row>
    <row r="77" spans="1:25" s="66" customFormat="1" x14ac:dyDescent="0.2">
      <c r="A77" s="66" t="s">
        <v>89</v>
      </c>
      <c r="B77" s="66" t="s">
        <v>123</v>
      </c>
      <c r="C77" s="66" t="s">
        <v>173</v>
      </c>
      <c r="D77" s="76">
        <f t="shared" ref="D77" si="72">SUM(E77:G77)</f>
        <v>3.4113084290999997E-4</v>
      </c>
      <c r="E77" s="77">
        <v>2.7803995E-5</v>
      </c>
      <c r="F77" s="66">
        <v>3.1270264999999999E-4</v>
      </c>
      <c r="G77" s="77">
        <v>6.2419791000000003E-7</v>
      </c>
      <c r="I77" s="63">
        <v>2.0486484113120651E-5</v>
      </c>
      <c r="M77" s="40">
        <f t="shared" ref="M77" si="73">I77+D77</f>
        <v>3.6161732702312061E-4</v>
      </c>
      <c r="O77" s="58">
        <f t="shared" ref="O77" si="74">M77/D77</f>
        <v>1.0600546228489975</v>
      </c>
      <c r="P77" s="87">
        <f t="shared" ref="P77" si="75">S77-M77</f>
        <v>4.6117466368794527E-6</v>
      </c>
      <c r="Q77" s="58">
        <f t="shared" ref="Q77" si="76">S77/D77</f>
        <v>1.0735736192479719</v>
      </c>
      <c r="R77" s="63">
        <v>3.5351095000000002E-4</v>
      </c>
      <c r="S77" s="77">
        <f t="shared" ref="S77" si="77">T77+U77+W77</f>
        <v>3.6622907366000006E-4</v>
      </c>
      <c r="T77" s="66">
        <v>3.3717684000000002E-4</v>
      </c>
      <c r="U77" s="77">
        <v>2.8426174000000001E-5</v>
      </c>
      <c r="V77" s="77">
        <v>-1.2718124E-5</v>
      </c>
      <c r="W77" s="77">
        <v>6.2605966000000002E-7</v>
      </c>
      <c r="X77" s="63"/>
    </row>
    <row r="78" spans="1:25" s="66" customFormat="1" x14ac:dyDescent="0.2">
      <c r="A78" s="66" t="s">
        <v>76</v>
      </c>
      <c r="B78" s="66" t="s">
        <v>123</v>
      </c>
      <c r="C78" s="66" t="s">
        <v>175</v>
      </c>
      <c r="D78" s="76">
        <f t="shared" ref="D78" si="78">SUM(E78:G78)</f>
        <v>7.9134005975000001E-3</v>
      </c>
      <c r="E78" s="77">
        <v>9.1364933E-5</v>
      </c>
      <c r="F78" s="66">
        <v>7.8185982000000005E-3</v>
      </c>
      <c r="G78" s="77">
        <v>3.4374645000000001E-6</v>
      </c>
      <c r="I78" s="63">
        <v>2.916013227386843E-4</v>
      </c>
      <c r="M78" s="40">
        <f t="shared" ref="M78" si="79">I78+D78</f>
        <v>8.2050019202386838E-3</v>
      </c>
      <c r="O78" s="58">
        <f t="shared" ref="O78" si="80">M78/D78</f>
        <v>1.0368490535953414</v>
      </c>
      <c r="P78" s="87">
        <f t="shared" ref="P78" si="81">S78-M78</f>
        <v>6.6614515761315163E-5</v>
      </c>
      <c r="Q78" s="58">
        <f t="shared" ref="Q78" si="82">S78/D78</f>
        <v>1.0452669916158632</v>
      </c>
      <c r="R78" s="63">
        <v>8.2087042999999995E-3</v>
      </c>
      <c r="S78" s="76">
        <f t="shared" ref="S78" si="83">T78+U78+W78</f>
        <v>8.271616435999999E-3</v>
      </c>
      <c r="T78" s="66">
        <v>8.1730022999999992E-3</v>
      </c>
      <c r="U78" s="77">
        <v>9.5159898000000005E-5</v>
      </c>
      <c r="V78" s="77">
        <v>-6.2912113000000006E-5</v>
      </c>
      <c r="W78" s="77">
        <v>3.4542380000000001E-6</v>
      </c>
      <c r="X78" s="63"/>
    </row>
    <row r="79" spans="1:25" s="66" customFormat="1" x14ac:dyDescent="0.2">
      <c r="A79" s="66" t="s">
        <v>217</v>
      </c>
      <c r="B79" s="66" t="s">
        <v>123</v>
      </c>
      <c r="C79" s="66" t="s">
        <v>172</v>
      </c>
      <c r="D79" s="76">
        <f t="shared" ref="D79" si="84">SUM(E79:G79)</f>
        <v>0.69561973800999999</v>
      </c>
      <c r="E79" s="66">
        <v>0.57940795</v>
      </c>
      <c r="F79" s="66">
        <v>0.11526023000000001</v>
      </c>
      <c r="G79" s="66">
        <v>9.5155800999999999E-4</v>
      </c>
      <c r="I79" s="63">
        <v>7.0743564930269799E-3</v>
      </c>
      <c r="M79" s="40">
        <f>I79+D79</f>
        <v>0.702694094503027</v>
      </c>
      <c r="O79" s="58">
        <f t="shared" ref="O79:O81" si="85">M79/D79</f>
        <v>1.0101698616449053</v>
      </c>
      <c r="P79" s="87">
        <f t="shared" ref="P79" si="86">S79-M79</f>
        <v>6.6567367569730918E-3</v>
      </c>
      <c r="Q79" s="58">
        <f t="shared" ref="Q79:Q81" si="87">S79/D79</f>
        <v>1.0197393669266508</v>
      </c>
      <c r="R79" s="63">
        <v>-0.34118639000000001</v>
      </c>
      <c r="S79" s="77">
        <f t="shared" ref="S79" si="88">T79+U79+W79</f>
        <v>0.70935083126000009</v>
      </c>
      <c r="T79" s="66">
        <v>0.12821587000000001</v>
      </c>
      <c r="U79" s="66">
        <v>0.58017492000000004</v>
      </c>
      <c r="V79" s="66">
        <v>-1.0505371999999999</v>
      </c>
      <c r="W79" s="66">
        <v>9.6004125999999996E-4</v>
      </c>
      <c r="X79" s="63"/>
    </row>
    <row r="80" spans="1:25" s="34" customFormat="1" x14ac:dyDescent="0.2">
      <c r="A80" s="34" t="s">
        <v>216</v>
      </c>
      <c r="B80" s="34" t="s">
        <v>123</v>
      </c>
      <c r="C80" s="34" t="s">
        <v>172</v>
      </c>
      <c r="D80" s="35">
        <f>SUM(E80:G80)</f>
        <v>0.14927794999999996</v>
      </c>
      <c r="E80" s="34">
        <f>0.57940795-0.549</f>
        <v>3.0407949999999961E-2</v>
      </c>
      <c r="F80" s="34">
        <v>0.11799999999999999</v>
      </c>
      <c r="G80" s="34">
        <v>8.7000000000000001E-4</v>
      </c>
      <c r="I80" s="56">
        <f t="shared" ref="I80:I81" si="89">SUM(J80:L80)</f>
        <v>7.6210100000000001E-3</v>
      </c>
      <c r="J80" s="68">
        <v>6.9199999999999999E-3</v>
      </c>
      <c r="K80" s="68">
        <v>6.9399999999999996E-4</v>
      </c>
      <c r="L80" s="69">
        <v>7.0099999999999998E-6</v>
      </c>
      <c r="M80" s="98">
        <f t="shared" ref="M80:M81" si="90">I80+D80</f>
        <v>0.15689895999999998</v>
      </c>
      <c r="O80" s="70">
        <f t="shared" si="85"/>
        <v>1.0510524829688512</v>
      </c>
      <c r="P80" s="49">
        <f t="shared" ref="P80:P81" si="91">S80-M80</f>
        <v>3.4518712600000168E-3</v>
      </c>
      <c r="Q80" s="70">
        <f t="shared" si="87"/>
        <v>1.0741762682298359</v>
      </c>
      <c r="R80" s="56">
        <v>-0.34118639000000001</v>
      </c>
      <c r="S80" s="59">
        <f t="shared" ref="S80:S81" si="92">T80+U80+W80</f>
        <v>0.16035083125999999</v>
      </c>
      <c r="T80" s="34">
        <v>0.12821587000000001</v>
      </c>
      <c r="U80" s="34">
        <f>0.58017492-0.549</f>
        <v>3.1174919999999995E-2</v>
      </c>
      <c r="V80" s="34">
        <v>-1.0505371999999999</v>
      </c>
      <c r="W80" s="34">
        <v>9.6004125999999996E-4</v>
      </c>
      <c r="X80" s="56"/>
    </row>
    <row r="81" spans="1:24" s="34" customFormat="1" x14ac:dyDescent="0.2">
      <c r="A81" s="34" t="s">
        <v>93</v>
      </c>
      <c r="B81" s="34" t="s">
        <v>123</v>
      </c>
      <c r="C81" s="34" t="s">
        <v>172</v>
      </c>
      <c r="D81" s="35">
        <f>SUM(E81:G81)</f>
        <v>0.14927794999999996</v>
      </c>
      <c r="E81" s="34">
        <f>0.57940795-0.549</f>
        <v>3.0407949999999961E-2</v>
      </c>
      <c r="F81" s="34">
        <v>0.11799999999999999</v>
      </c>
      <c r="G81" s="34">
        <v>8.7000000000000001E-4</v>
      </c>
      <c r="I81" s="56">
        <f t="shared" si="89"/>
        <v>7.6210100000000001E-3</v>
      </c>
      <c r="J81" s="68">
        <v>6.9199999999999999E-3</v>
      </c>
      <c r="K81" s="68">
        <v>6.9399999999999996E-4</v>
      </c>
      <c r="L81" s="69">
        <v>7.0099999999999998E-6</v>
      </c>
      <c r="M81" s="98">
        <f t="shared" si="90"/>
        <v>0.15689895999999998</v>
      </c>
      <c r="O81" s="70">
        <f t="shared" si="85"/>
        <v>1.0510524829688512</v>
      </c>
      <c r="P81" s="49">
        <f t="shared" si="91"/>
        <v>3.4518712600000168E-3</v>
      </c>
      <c r="Q81" s="70">
        <f t="shared" si="87"/>
        <v>1.0741762682298359</v>
      </c>
      <c r="R81" s="56">
        <v>-0.34118639000000001</v>
      </c>
      <c r="S81" s="59">
        <f t="shared" si="92"/>
        <v>0.16035083125999999</v>
      </c>
      <c r="T81" s="34">
        <v>0.12821587000000001</v>
      </c>
      <c r="U81" s="34">
        <f>0.58017492-0.549</f>
        <v>3.1174919999999995E-2</v>
      </c>
      <c r="V81" s="34">
        <v>-1.0505371999999999</v>
      </c>
      <c r="W81" s="34">
        <v>9.6004125999999996E-4</v>
      </c>
      <c r="X81" s="56" t="s">
        <v>94</v>
      </c>
    </row>
    <row r="82" spans="1:24" s="10" customFormat="1" x14ac:dyDescent="0.2">
      <c r="A82" s="10" t="s">
        <v>164</v>
      </c>
      <c r="B82" s="10" t="s">
        <v>123</v>
      </c>
      <c r="C82" s="10" t="s">
        <v>150</v>
      </c>
      <c r="D82" s="57">
        <f>SUM(E82:G82)</f>
        <v>1.2168654921000002</v>
      </c>
      <c r="E82" s="10">
        <v>4.2797755E-2</v>
      </c>
      <c r="F82" s="10">
        <v>1.171467</v>
      </c>
      <c r="G82" s="10">
        <v>2.6007371000000001E-3</v>
      </c>
      <c r="I82" s="48">
        <v>0.10422085878886719</v>
      </c>
      <c r="J82" s="22"/>
      <c r="K82" s="22"/>
      <c r="L82" s="22"/>
      <c r="M82" s="5">
        <f>SUM(E82:L82)</f>
        <v>1.3210863508888673</v>
      </c>
      <c r="N82" s="5"/>
      <c r="O82" s="8">
        <f>M82/D82</f>
        <v>1.0856469835536289</v>
      </c>
      <c r="P82" s="79">
        <f>S82-M82</f>
        <v>1.588572411113276E-2</v>
      </c>
      <c r="Q82" s="8">
        <f>S82/D82</f>
        <v>1.0987016097339786</v>
      </c>
      <c r="R82" s="48">
        <v>1.2963118</v>
      </c>
      <c r="S82" s="78">
        <f>T82+U82+W82</f>
        <v>1.336972075</v>
      </c>
      <c r="T82" s="10">
        <v>1.2883176000000001</v>
      </c>
      <c r="U82" s="10">
        <v>4.6047956000000001E-2</v>
      </c>
      <c r="V82" s="10">
        <v>-4.0660257999999998E-2</v>
      </c>
      <c r="W82" s="10">
        <v>2.6065189999999998E-3</v>
      </c>
      <c r="X82" s="48"/>
    </row>
    <row r="83" spans="1:24" s="10" customFormat="1" x14ac:dyDescent="0.2">
      <c r="A83" s="10" t="s">
        <v>167</v>
      </c>
      <c r="B83" s="10" t="s">
        <v>123</v>
      </c>
      <c r="C83" s="10" t="s">
        <v>159</v>
      </c>
      <c r="D83" s="57">
        <f>SUM(E83:G83)</f>
        <v>1.2354728865300001E-3</v>
      </c>
      <c r="E83" s="10">
        <v>2.7741624E-6</v>
      </c>
      <c r="F83" s="10">
        <v>1.2325623000000001E-3</v>
      </c>
      <c r="G83" s="10">
        <v>1.3642413E-7</v>
      </c>
      <c r="I83" s="48">
        <v>0.10422085878886719</v>
      </c>
      <c r="J83" s="22"/>
      <c r="K83" s="22"/>
      <c r="L83" s="22"/>
      <c r="M83" s="10">
        <v>1.9051718306049167E-5</v>
      </c>
      <c r="O83" s="8">
        <f>M83/D83</f>
        <v>1.5420587949573386E-2</v>
      </c>
      <c r="P83" s="79">
        <f>S83-M83</f>
        <v>1.2509274640139509E-3</v>
      </c>
      <c r="Q83" s="8">
        <f>S83/D83</f>
        <v>1.0279296261101414</v>
      </c>
      <c r="R83" s="48">
        <v>1.2682554E-3</v>
      </c>
      <c r="S83" s="78">
        <f>T83+U83+W83</f>
        <v>1.2699791823200001E-3</v>
      </c>
      <c r="T83" s="10">
        <v>1.2669276000000001E-3</v>
      </c>
      <c r="U83" s="10">
        <v>2.9143182000000002E-6</v>
      </c>
      <c r="V83" s="10">
        <v>-1.7237805000000001E-6</v>
      </c>
      <c r="W83" s="10">
        <v>1.3726411999999999E-7</v>
      </c>
      <c r="X83" s="48"/>
    </row>
    <row r="84" spans="1:24" s="10" customFormat="1" x14ac:dyDescent="0.2">
      <c r="A84" s="110" t="s">
        <v>235</v>
      </c>
      <c r="B84" s="10" t="s">
        <v>123</v>
      </c>
      <c r="C84" s="10" t="s">
        <v>176</v>
      </c>
      <c r="D84" s="57">
        <f t="shared" ref="D84" si="93">SUM(E84:G84)</f>
        <v>9.8709884010000012E-3</v>
      </c>
      <c r="E84" s="10">
        <v>1.5394005E-4</v>
      </c>
      <c r="F84" s="10">
        <v>9.7112545000000005E-3</v>
      </c>
      <c r="G84" s="78">
        <v>5.7938509999999998E-6</v>
      </c>
      <c r="I84" s="48">
        <v>5.3380638539262033E-4</v>
      </c>
      <c r="M84" s="28">
        <f t="shared" ref="M84" si="94">I84+D84</f>
        <v>1.0404794786392621E-2</v>
      </c>
      <c r="O84" s="8">
        <f t="shared" ref="O84" si="95">M84/D84</f>
        <v>1.0540783114828238</v>
      </c>
      <c r="P84" s="79">
        <f t="shared" ref="P84" si="96">S84-M84</f>
        <v>9.3103690907378814E-5</v>
      </c>
      <c r="Q84" s="8">
        <f t="shared" ref="Q84" si="97">S84/D84</f>
        <v>1.0635103650042268</v>
      </c>
      <c r="R84" s="48">
        <v>1.0400002E-2</v>
      </c>
      <c r="S84" s="78">
        <f t="shared" ref="S84" si="98">T84+U84+W84</f>
        <v>1.04978984773E-2</v>
      </c>
      <c r="T84" s="10">
        <v>1.0304496E-2</v>
      </c>
      <c r="U84" s="10">
        <v>1.8758963E-4</v>
      </c>
      <c r="V84" s="78">
        <v>-9.7897339999999998E-5</v>
      </c>
      <c r="W84" s="78">
        <v>5.8128472999999997E-6</v>
      </c>
      <c r="X84" s="48"/>
    </row>
    <row r="85" spans="1:24" s="34" customFormat="1" x14ac:dyDescent="0.2">
      <c r="A85" s="34" t="s">
        <v>54</v>
      </c>
      <c r="B85" s="34" t="s">
        <v>123</v>
      </c>
      <c r="C85" s="34" t="str">
        <f>C84</f>
        <v>Inert waste {Europe without Switzerland}| treatment of inert waste, sanitary landfill | APOS, S</v>
      </c>
      <c r="D85" s="34">
        <f>D84</f>
        <v>9.8709884010000012E-3</v>
      </c>
      <c r="E85" s="35" t="s">
        <v>165</v>
      </c>
      <c r="F85" s="35" t="s">
        <v>165</v>
      </c>
      <c r="G85" s="35" t="s">
        <v>165</v>
      </c>
      <c r="H85" s="73"/>
      <c r="I85" s="56">
        <f>I84</f>
        <v>5.3380638539262033E-4</v>
      </c>
      <c r="J85" s="68"/>
      <c r="K85" s="69"/>
      <c r="L85" s="69"/>
      <c r="M85" s="35" t="s">
        <v>165</v>
      </c>
      <c r="N85" s="35" t="s">
        <v>165</v>
      </c>
      <c r="O85" s="35" t="s">
        <v>165</v>
      </c>
      <c r="P85" s="56">
        <f>P84</f>
        <v>9.3103690907378814E-5</v>
      </c>
      <c r="Q85" s="35" t="s">
        <v>165</v>
      </c>
      <c r="R85" s="35" t="s">
        <v>165</v>
      </c>
      <c r="S85" s="34">
        <f>S84</f>
        <v>1.04978984773E-2</v>
      </c>
      <c r="T85" s="35" t="s">
        <v>165</v>
      </c>
      <c r="U85" s="35" t="s">
        <v>165</v>
      </c>
      <c r="V85" s="35" t="s">
        <v>165</v>
      </c>
      <c r="W85" s="35" t="s">
        <v>165</v>
      </c>
      <c r="X85" s="56" t="s">
        <v>53</v>
      </c>
    </row>
    <row r="86" spans="1:24" x14ac:dyDescent="0.2">
      <c r="A86" s="110" t="s">
        <v>234</v>
      </c>
      <c r="B86" t="s">
        <v>123</v>
      </c>
      <c r="C86" t="s">
        <v>195</v>
      </c>
      <c r="D86" s="23">
        <f t="shared" ref="D86" si="99">SUM(E86:G86)</f>
        <v>3.3242683103999998E-4</v>
      </c>
      <c r="E86">
        <v>3.4251142999999999E-5</v>
      </c>
      <c r="F86">
        <v>2.9797339E-4</v>
      </c>
      <c r="G86">
        <v>2.0229804000000002E-7</v>
      </c>
      <c r="H86"/>
      <c r="I86">
        <v>1.4890295079830455E-5</v>
      </c>
      <c r="J86"/>
      <c r="K86"/>
      <c r="L86"/>
      <c r="M86" s="27">
        <f t="shared" ref="M86" si="100">I86+D86</f>
        <v>3.4731712611983044E-4</v>
      </c>
      <c r="N86" s="20"/>
      <c r="O86" s="9">
        <f t="shared" ref="O86" si="101">M86/D86</f>
        <v>1.0447926992933936</v>
      </c>
      <c r="P86" s="51">
        <f t="shared" ref="P86" si="102">S86-M86</f>
        <v>4.2638616401695427E-6</v>
      </c>
      <c r="Q86" s="8">
        <f t="shared" ref="Q86" si="103">S86/D86</f>
        <v>1.0576191658780252</v>
      </c>
      <c r="R86" s="102">
        <v>3.4619028000000004E-4</v>
      </c>
      <c r="S86" s="24">
        <f t="shared" ref="S86" si="104">T86+U86+W86</f>
        <v>3.5158098775999998E-4</v>
      </c>
      <c r="T86">
        <v>3.1681327E-4</v>
      </c>
      <c r="U86">
        <v>3.4563836999999997E-5</v>
      </c>
      <c r="V86">
        <v>-5.3907143999999996E-6</v>
      </c>
      <c r="W86">
        <v>2.0388076E-7</v>
      </c>
      <c r="X86"/>
    </row>
  </sheetData>
  <sortState xmlns:xlrd2="http://schemas.microsoft.com/office/spreadsheetml/2017/richdata2" ref="A4:Q63">
    <sortCondition ref="A4:A63"/>
  </sortState>
  <conditionalFormatting sqref="P1:P5 P64:P66 P50 P46:P47 P69 P85 P82:P83 P72:P75 P15:P26 P52:P53 P55:P61 P7:P13 P42:P44 P28:P29 P87:P1048576 P31:P33 P35:P36 P38">
    <cfRule type="cellIs" dxfId="25" priority="28" operator="lessThan">
      <formula>0</formula>
    </cfRule>
  </conditionalFormatting>
  <conditionalFormatting sqref="P77">
    <cfRule type="cellIs" dxfId="24" priority="24" operator="lessThan">
      <formula>0</formula>
    </cfRule>
  </conditionalFormatting>
  <conditionalFormatting sqref="P62">
    <cfRule type="cellIs" dxfId="23" priority="27" operator="lessThan">
      <formula>0</formula>
    </cfRule>
  </conditionalFormatting>
  <conditionalFormatting sqref="P51">
    <cfRule type="cellIs" dxfId="22" priority="23" operator="lessThan">
      <formula>0</formula>
    </cfRule>
  </conditionalFormatting>
  <conditionalFormatting sqref="P63">
    <cfRule type="cellIs" dxfId="21" priority="26" operator="lessThan">
      <formula>0</formula>
    </cfRule>
  </conditionalFormatting>
  <conditionalFormatting sqref="P76:P77">
    <cfRule type="cellIs" dxfId="20" priority="25" operator="lessThan">
      <formula>0</formula>
    </cfRule>
  </conditionalFormatting>
  <conditionalFormatting sqref="P54">
    <cfRule type="cellIs" dxfId="19" priority="22" operator="lessThan">
      <formula>0</formula>
    </cfRule>
  </conditionalFormatting>
  <conditionalFormatting sqref="P49">
    <cfRule type="cellIs" dxfId="18" priority="20" operator="lessThan">
      <formula>0</formula>
    </cfRule>
  </conditionalFormatting>
  <conditionalFormatting sqref="P45">
    <cfRule type="cellIs" dxfId="17" priority="19" operator="lessThan">
      <formula>0</formula>
    </cfRule>
  </conditionalFormatting>
  <conditionalFormatting sqref="P48">
    <cfRule type="cellIs" dxfId="16" priority="21" operator="lessThan">
      <formula>0</formula>
    </cfRule>
  </conditionalFormatting>
  <conditionalFormatting sqref="P67">
    <cfRule type="cellIs" dxfId="15" priority="18" operator="lessThan">
      <formula>0</formula>
    </cfRule>
  </conditionalFormatting>
  <conditionalFormatting sqref="P78">
    <cfRule type="cellIs" dxfId="14" priority="17" operator="lessThan">
      <formula>0</formula>
    </cfRule>
  </conditionalFormatting>
  <conditionalFormatting sqref="P84">
    <cfRule type="cellIs" dxfId="13" priority="16" operator="lessThan">
      <formula>0</formula>
    </cfRule>
  </conditionalFormatting>
  <conditionalFormatting sqref="P79">
    <cfRule type="cellIs" dxfId="12" priority="15" operator="lessThan">
      <formula>0</formula>
    </cfRule>
  </conditionalFormatting>
  <conditionalFormatting sqref="P80:P81">
    <cfRule type="cellIs" dxfId="11" priority="14" operator="lessThan">
      <formula>0</formula>
    </cfRule>
  </conditionalFormatting>
  <conditionalFormatting sqref="P70">
    <cfRule type="cellIs" dxfId="10" priority="10" operator="lessThan">
      <formula>0</formula>
    </cfRule>
  </conditionalFormatting>
  <conditionalFormatting sqref="P68:P69">
    <cfRule type="cellIs" dxfId="9" priority="12" operator="lessThan">
      <formula>0</formula>
    </cfRule>
  </conditionalFormatting>
  <conditionalFormatting sqref="P71">
    <cfRule type="cellIs" dxfId="8" priority="9" operator="lessThan">
      <formula>0</formula>
    </cfRule>
  </conditionalFormatting>
  <conditionalFormatting sqref="P6">
    <cfRule type="cellIs" dxfId="7" priority="8" operator="lessThan">
      <formula>0</formula>
    </cfRule>
  </conditionalFormatting>
  <conditionalFormatting sqref="P14">
    <cfRule type="cellIs" dxfId="6" priority="7" operator="lessThan">
      <formula>0</formula>
    </cfRule>
  </conditionalFormatting>
  <conditionalFormatting sqref="P27">
    <cfRule type="cellIs" dxfId="5" priority="6" operator="lessThan">
      <formula>0</formula>
    </cfRule>
  </conditionalFormatting>
  <conditionalFormatting sqref="P86">
    <cfRule type="cellIs" dxfId="4" priority="4" operator="lessThan">
      <formula>0</formula>
    </cfRule>
  </conditionalFormatting>
  <conditionalFormatting sqref="P30">
    <cfRule type="cellIs" dxfId="3" priority="3" operator="lessThan">
      <formula>0</formula>
    </cfRule>
  </conditionalFormatting>
  <conditionalFormatting sqref="P34">
    <cfRule type="cellIs" dxfId="2" priority="2" operator="lessThan">
      <formula>0</formula>
    </cfRule>
  </conditionalFormatting>
  <conditionalFormatting sqref="P37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5CE3-95CC-D642-B085-74394CE29595}">
  <dimension ref="A1:F3"/>
  <sheetViews>
    <sheetView workbookViewId="0">
      <selection activeCell="B3" sqref="B3"/>
    </sheetView>
  </sheetViews>
  <sheetFormatPr baseColWidth="10" defaultRowHeight="15" x14ac:dyDescent="0.2"/>
  <sheetData>
    <row r="1" spans="1:6" ht="48" x14ac:dyDescent="0.2">
      <c r="A1" s="1" t="s">
        <v>6</v>
      </c>
      <c r="B1" s="1" t="s">
        <v>225</v>
      </c>
      <c r="C1" s="1" t="s">
        <v>226</v>
      </c>
      <c r="D1" s="1" t="s">
        <v>227</v>
      </c>
      <c r="E1" s="3" t="s">
        <v>7</v>
      </c>
      <c r="F1" s="3" t="s">
        <v>17</v>
      </c>
    </row>
    <row r="2" spans="1:6" ht="16" x14ac:dyDescent="0.2">
      <c r="A2" s="2" t="s">
        <v>0</v>
      </c>
      <c r="B2" s="2"/>
      <c r="C2" s="2"/>
      <c r="D2" s="2"/>
      <c r="E2" s="4"/>
    </row>
    <row r="3" spans="1:6" ht="16" x14ac:dyDescent="0.2">
      <c r="A3" s="2" t="s">
        <v>1</v>
      </c>
      <c r="B3" s="2"/>
      <c r="C3" s="2"/>
      <c r="D3" s="2"/>
      <c r="E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850C0-D1F5-C543-B8ED-5129319E9F8F}">
  <dimension ref="A1:P3"/>
  <sheetViews>
    <sheetView workbookViewId="0">
      <selection activeCell="L3" sqref="L3"/>
    </sheetView>
  </sheetViews>
  <sheetFormatPr baseColWidth="10" defaultRowHeight="15" x14ac:dyDescent="0.2"/>
  <sheetData>
    <row r="1" spans="1:16" ht="32" x14ac:dyDescent="0.2">
      <c r="A1" s="1" t="s">
        <v>6</v>
      </c>
      <c r="B1" s="107" t="s">
        <v>14</v>
      </c>
      <c r="C1" s="3" t="s">
        <v>10</v>
      </c>
      <c r="D1" s="3" t="s">
        <v>11</v>
      </c>
      <c r="E1" s="3" t="s">
        <v>28</v>
      </c>
      <c r="F1" s="3" t="s">
        <v>229</v>
      </c>
      <c r="G1" s="1" t="s">
        <v>31</v>
      </c>
      <c r="H1" s="3" t="s">
        <v>12</v>
      </c>
      <c r="I1" s="3" t="s">
        <v>13</v>
      </c>
      <c r="J1" s="3" t="s">
        <v>27</v>
      </c>
      <c r="K1" s="3" t="s">
        <v>25</v>
      </c>
      <c r="L1" s="3" t="s">
        <v>32</v>
      </c>
      <c r="M1" s="3" t="s">
        <v>26</v>
      </c>
      <c r="N1" s="3" t="s">
        <v>7</v>
      </c>
      <c r="O1" s="3" t="s">
        <v>17</v>
      </c>
      <c r="P1" t="s">
        <v>35</v>
      </c>
    </row>
    <row r="2" spans="1:16" ht="16" x14ac:dyDescent="0.2">
      <c r="A2" s="2" t="s">
        <v>0</v>
      </c>
      <c r="B2" s="108"/>
      <c r="C2" s="4"/>
      <c r="D2" s="4"/>
      <c r="E2" s="4"/>
      <c r="F2" s="4"/>
      <c r="G2" s="2"/>
      <c r="H2" s="4"/>
      <c r="I2" s="4"/>
      <c r="J2" s="5"/>
      <c r="K2" s="5"/>
      <c r="L2" s="5"/>
      <c r="M2" s="5"/>
      <c r="N2" s="4"/>
    </row>
    <row r="3" spans="1:16" ht="16" x14ac:dyDescent="0.2">
      <c r="A3" s="2" t="s">
        <v>1</v>
      </c>
      <c r="B3" s="4" t="s">
        <v>48</v>
      </c>
      <c r="C3" s="4" t="s">
        <v>48</v>
      </c>
      <c r="D3" s="4" t="s">
        <v>48</v>
      </c>
      <c r="E3" s="4" t="s">
        <v>48</v>
      </c>
      <c r="F3" s="4"/>
      <c r="G3" s="4" t="s">
        <v>230</v>
      </c>
      <c r="H3" s="4" t="s">
        <v>230</v>
      </c>
      <c r="I3" s="4" t="s">
        <v>230</v>
      </c>
      <c r="J3" s="4" t="s">
        <v>230</v>
      </c>
      <c r="K3" s="4" t="s">
        <v>230</v>
      </c>
      <c r="L3" s="4"/>
      <c r="M3" s="5"/>
      <c r="N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BB0A-BF19-504F-BD26-86E8DBA31B4F}">
  <dimension ref="A1:E4"/>
  <sheetViews>
    <sheetView workbookViewId="0">
      <selection activeCell="C9" sqref="C9"/>
    </sheetView>
  </sheetViews>
  <sheetFormatPr baseColWidth="10" defaultRowHeight="15" x14ac:dyDescent="0.2"/>
  <sheetData>
    <row r="1" spans="1:5" ht="32" x14ac:dyDescent="0.2">
      <c r="A1" s="1" t="s">
        <v>6</v>
      </c>
      <c r="B1" s="1" t="s">
        <v>226</v>
      </c>
      <c r="C1" s="3" t="s">
        <v>7</v>
      </c>
      <c r="D1" s="3" t="s">
        <v>17</v>
      </c>
      <c r="E1" t="s">
        <v>35</v>
      </c>
    </row>
    <row r="2" spans="1:5" ht="16" x14ac:dyDescent="0.2">
      <c r="A2" s="2" t="s">
        <v>0</v>
      </c>
      <c r="B2" s="108"/>
      <c r="C2" s="4"/>
    </row>
    <row r="3" spans="1:5" ht="16" x14ac:dyDescent="0.2">
      <c r="A3" s="2" t="s">
        <v>1</v>
      </c>
      <c r="B3" s="4" t="s">
        <v>228</v>
      </c>
      <c r="C3" s="4"/>
    </row>
    <row r="4" spans="1:5" x14ac:dyDescent="0.2">
      <c r="A4" s="109" t="s">
        <v>231</v>
      </c>
      <c r="B4">
        <v>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7"/>
  <sheetViews>
    <sheetView workbookViewId="0">
      <selection activeCell="A6" sqref="A6:XFD6"/>
    </sheetView>
  </sheetViews>
  <sheetFormatPr baseColWidth="10" defaultColWidth="8.83203125" defaultRowHeight="15" x14ac:dyDescent="0.2"/>
  <cols>
    <col min="3" max="3" width="46.83203125" customWidth="1"/>
    <col min="4" max="4" width="20" customWidth="1"/>
    <col min="5" max="5" width="11.83203125" bestFit="1" customWidth="1"/>
    <col min="13" max="13" width="11.5" customWidth="1"/>
  </cols>
  <sheetData>
    <row r="1" spans="1:26" ht="64" x14ac:dyDescent="0.2">
      <c r="A1" s="1" t="s">
        <v>6</v>
      </c>
      <c r="B1" s="3" t="s">
        <v>7</v>
      </c>
      <c r="C1" s="13" t="s">
        <v>55</v>
      </c>
      <c r="D1" s="17" t="s">
        <v>14</v>
      </c>
      <c r="E1" s="3" t="s">
        <v>11</v>
      </c>
      <c r="F1" s="3" t="s">
        <v>10</v>
      </c>
      <c r="G1" s="3" t="s">
        <v>28</v>
      </c>
      <c r="H1" s="11" t="s">
        <v>66</v>
      </c>
      <c r="I1" s="41" t="s">
        <v>31</v>
      </c>
      <c r="J1" s="25" t="s">
        <v>12</v>
      </c>
      <c r="K1" s="25" t="s">
        <v>13</v>
      </c>
      <c r="L1" s="25" t="s">
        <v>27</v>
      </c>
      <c r="M1" s="3" t="s">
        <v>25</v>
      </c>
      <c r="N1" s="3" t="s">
        <v>32</v>
      </c>
      <c r="O1" s="3" t="s">
        <v>26</v>
      </c>
      <c r="P1" s="53" t="s">
        <v>171</v>
      </c>
      <c r="Q1" s="3" t="s">
        <v>26</v>
      </c>
      <c r="R1" s="53" t="s">
        <v>122</v>
      </c>
      <c r="S1" s="3" t="s">
        <v>124</v>
      </c>
      <c r="T1" s="3" t="s">
        <v>117</v>
      </c>
      <c r="U1" s="3" t="s">
        <v>118</v>
      </c>
      <c r="V1" s="3" t="s">
        <v>120</v>
      </c>
      <c r="W1" s="3" t="s">
        <v>119</v>
      </c>
      <c r="X1" s="53" t="s">
        <v>7</v>
      </c>
      <c r="Y1" s="3" t="s">
        <v>17</v>
      </c>
      <c r="Z1" t="s">
        <v>35</v>
      </c>
    </row>
    <row r="3" spans="1:26" x14ac:dyDescent="0.2">
      <c r="C3" t="s">
        <v>151</v>
      </c>
      <c r="E3" t="s">
        <v>153</v>
      </c>
      <c r="F3" t="s">
        <v>154</v>
      </c>
      <c r="G3" t="s">
        <v>155</v>
      </c>
      <c r="I3" t="s">
        <v>156</v>
      </c>
      <c r="R3" t="s">
        <v>152</v>
      </c>
      <c r="T3" t="s">
        <v>112</v>
      </c>
      <c r="U3" t="s">
        <v>114</v>
      </c>
      <c r="V3" t="s">
        <v>115</v>
      </c>
      <c r="W3" t="s">
        <v>116</v>
      </c>
    </row>
    <row r="4" spans="1:26" x14ac:dyDescent="0.2">
      <c r="C4" t="s">
        <v>102</v>
      </c>
      <c r="E4" t="s">
        <v>113</v>
      </c>
      <c r="F4" t="s">
        <v>113</v>
      </c>
      <c r="G4" t="s">
        <v>113</v>
      </c>
      <c r="I4" t="s">
        <v>113</v>
      </c>
      <c r="R4" t="s">
        <v>113</v>
      </c>
      <c r="T4" t="s">
        <v>113</v>
      </c>
      <c r="U4" t="s">
        <v>113</v>
      </c>
      <c r="V4" t="s">
        <v>113</v>
      </c>
      <c r="W4" t="s">
        <v>113</v>
      </c>
    </row>
    <row r="5" spans="1:26" x14ac:dyDescent="0.2">
      <c r="B5" t="s">
        <v>123</v>
      </c>
      <c r="C5" t="s">
        <v>194</v>
      </c>
      <c r="D5" s="23">
        <f t="shared" ref="D5:D36" si="0">SUM(E5:G5)</f>
        <v>2.9822882619999995E-4</v>
      </c>
      <c r="E5">
        <v>3.4493128999999996E-5</v>
      </c>
      <c r="F5">
        <v>2.6353915999999998E-4</v>
      </c>
      <c r="G5">
        <v>1.9653720000000002E-7</v>
      </c>
      <c r="I5">
        <v>1.2099135796830002E-5</v>
      </c>
      <c r="M5" s="27">
        <f t="shared" ref="M5:M36" si="1">I5+D5</f>
        <v>3.1032796199682996E-4</v>
      </c>
      <c r="N5" s="20"/>
      <c r="O5" s="9">
        <f t="shared" ref="O5:O36" si="2">M5/D5</f>
        <v>1.0405699742409074</v>
      </c>
      <c r="P5" s="51">
        <f t="shared" ref="P5:P25" si="3">S5-M5</f>
        <v>1.9017176931700381E-6</v>
      </c>
      <c r="Q5" s="8">
        <f t="shared" ref="Q5:Q36" si="4">S5/D5</f>
        <v>1.046946680736391</v>
      </c>
      <c r="R5" s="102">
        <v>3.0657939999999999E-4</v>
      </c>
      <c r="S5" s="24">
        <f t="shared" ref="S5:S36" si="5">T5+U5+W5</f>
        <v>3.1222967969E-4</v>
      </c>
      <c r="T5">
        <v>2.7722986000000002E-4</v>
      </c>
      <c r="U5">
        <v>3.4801730000000005E-5</v>
      </c>
      <c r="V5">
        <v>-5.6502851999999996E-6</v>
      </c>
      <c r="W5">
        <v>1.9808968999999998E-7</v>
      </c>
    </row>
    <row r="6" spans="1:26" x14ac:dyDescent="0.2">
      <c r="B6" t="s">
        <v>123</v>
      </c>
      <c r="C6" t="s">
        <v>195</v>
      </c>
      <c r="D6" s="23">
        <f t="shared" si="0"/>
        <v>3.3242683103999998E-4</v>
      </c>
      <c r="E6">
        <v>3.4251142999999999E-5</v>
      </c>
      <c r="F6">
        <v>2.9797339E-4</v>
      </c>
      <c r="G6">
        <v>2.0229804000000002E-7</v>
      </c>
      <c r="I6">
        <v>1.4890295079830455E-5</v>
      </c>
      <c r="M6" s="27">
        <f t="shared" si="1"/>
        <v>3.4731712611983044E-4</v>
      </c>
      <c r="N6" s="20"/>
      <c r="O6" s="9">
        <f t="shared" si="2"/>
        <v>1.0447926992933936</v>
      </c>
      <c r="P6" s="51">
        <f t="shared" si="3"/>
        <v>4.2638616401695427E-6</v>
      </c>
      <c r="Q6" s="8">
        <f t="shared" si="4"/>
        <v>1.0576191658780252</v>
      </c>
      <c r="R6" s="102">
        <v>3.4619028000000004E-4</v>
      </c>
      <c r="S6" s="24">
        <f t="shared" si="5"/>
        <v>3.5158098775999998E-4</v>
      </c>
      <c r="T6">
        <v>3.1681327E-4</v>
      </c>
      <c r="U6">
        <v>3.4563836999999997E-5</v>
      </c>
      <c r="V6">
        <v>-5.3907143999999996E-6</v>
      </c>
      <c r="W6">
        <v>2.0388076E-7</v>
      </c>
    </row>
    <row r="7" spans="1:26" x14ac:dyDescent="0.2">
      <c r="B7" t="s">
        <v>123</v>
      </c>
      <c r="C7" t="s">
        <v>196</v>
      </c>
      <c r="D7" s="23">
        <f t="shared" si="0"/>
        <v>3.1068768611000001E-4</v>
      </c>
      <c r="E7">
        <v>3.1008435999999998E-5</v>
      </c>
      <c r="F7">
        <v>2.7942781000000002E-4</v>
      </c>
      <c r="G7">
        <v>2.5144011000000001E-7</v>
      </c>
      <c r="I7">
        <v>1.6484447225653785E-5</v>
      </c>
      <c r="M7" s="27">
        <f t="shared" si="1"/>
        <v>3.271721333356538E-4</v>
      </c>
      <c r="N7" s="20"/>
      <c r="O7" s="9">
        <f t="shared" si="2"/>
        <v>1.0530579355495198</v>
      </c>
      <c r="P7" s="51">
        <f t="shared" si="3"/>
        <v>2.0641767043461687E-6</v>
      </c>
      <c r="Q7" s="8">
        <f t="shared" si="4"/>
        <v>1.0597018316439897</v>
      </c>
      <c r="R7" s="102">
        <v>3.2430342999999998E-4</v>
      </c>
      <c r="S7" s="24">
        <f t="shared" si="5"/>
        <v>3.2923631003999997E-4</v>
      </c>
      <c r="T7">
        <v>2.9756356999999998E-4</v>
      </c>
      <c r="U7">
        <v>3.1419890999999996E-5</v>
      </c>
      <c r="V7">
        <v>-4.9328897000000001E-6</v>
      </c>
      <c r="W7">
        <v>2.5284904E-7</v>
      </c>
    </row>
    <row r="8" spans="1:26" x14ac:dyDescent="0.2">
      <c r="D8" s="23"/>
      <c r="M8" s="27"/>
      <c r="N8" s="20"/>
      <c r="O8" s="9"/>
      <c r="P8" s="51"/>
      <c r="Q8" s="8"/>
      <c r="R8" s="102"/>
      <c r="S8" s="24"/>
    </row>
    <row r="9" spans="1:26" x14ac:dyDescent="0.2">
      <c r="B9" t="s">
        <v>123</v>
      </c>
      <c r="C9" t="s">
        <v>177</v>
      </c>
      <c r="D9" s="23">
        <f t="shared" si="0"/>
        <v>0.66431582310000004</v>
      </c>
      <c r="E9">
        <v>1.7206155000000001E-2</v>
      </c>
      <c r="F9">
        <v>0.64659812000000005</v>
      </c>
      <c r="G9">
        <v>5.1154810000000005E-4</v>
      </c>
      <c r="I9">
        <v>1.096670880725662E-2</v>
      </c>
      <c r="M9" s="27">
        <f t="shared" si="1"/>
        <v>0.67528253190725662</v>
      </c>
      <c r="N9" s="20"/>
      <c r="O9" s="9">
        <f t="shared" si="2"/>
        <v>1.016508275771727</v>
      </c>
      <c r="P9" s="51">
        <f t="shared" si="3"/>
        <v>1.346769292743466E-3</v>
      </c>
      <c r="Q9" s="8">
        <f t="shared" si="4"/>
        <v>1.0185355785182713</v>
      </c>
      <c r="R9" s="102">
        <v>0.67042351</v>
      </c>
      <c r="S9" s="24">
        <f t="shared" si="5"/>
        <v>0.67662930120000009</v>
      </c>
      <c r="T9">
        <v>0.65809803</v>
      </c>
      <c r="U9">
        <v>1.8013456000000001E-2</v>
      </c>
      <c r="V9">
        <v>-6.2057911E-3</v>
      </c>
      <c r="W9">
        <v>5.1781519999999999E-4</v>
      </c>
    </row>
    <row r="10" spans="1:26" x14ac:dyDescent="0.2">
      <c r="B10" t="s">
        <v>123</v>
      </c>
      <c r="C10" t="s">
        <v>178</v>
      </c>
      <c r="D10" s="23">
        <f t="shared" si="0"/>
        <v>0.51903057541000008</v>
      </c>
      <c r="E10">
        <v>1.4897495E-2</v>
      </c>
      <c r="F10">
        <v>0.50363853000000003</v>
      </c>
      <c r="G10">
        <v>4.9455040999999995E-4</v>
      </c>
      <c r="I10">
        <v>1.0544841345664987E-2</v>
      </c>
      <c r="M10" s="27">
        <f t="shared" si="1"/>
        <v>0.52957541675566511</v>
      </c>
      <c r="N10" s="20"/>
      <c r="O10" s="9">
        <f t="shared" si="2"/>
        <v>1.0203164164988456</v>
      </c>
      <c r="P10" s="51">
        <f t="shared" si="3"/>
        <v>1.306307024334874E-3</v>
      </c>
      <c r="Q10" s="8">
        <f t="shared" si="4"/>
        <v>1.022833237445864</v>
      </c>
      <c r="R10" s="102">
        <v>0.52455985000000005</v>
      </c>
      <c r="S10" s="24">
        <f t="shared" si="5"/>
        <v>0.53088172377999998</v>
      </c>
      <c r="T10">
        <v>0.51484852000000003</v>
      </c>
      <c r="U10">
        <v>1.553379E-2</v>
      </c>
      <c r="V10">
        <v>-6.3218679E-3</v>
      </c>
      <c r="W10">
        <v>4.9941378000000001E-4</v>
      </c>
    </row>
    <row r="11" spans="1:26" x14ac:dyDescent="0.2">
      <c r="B11" t="s">
        <v>123</v>
      </c>
      <c r="C11" t="s">
        <v>179</v>
      </c>
      <c r="D11" s="23">
        <f t="shared" si="0"/>
        <v>0.66780955938999997</v>
      </c>
      <c r="E11">
        <v>1.0817903E-2</v>
      </c>
      <c r="F11">
        <v>0.65654173000000005</v>
      </c>
      <c r="G11">
        <v>4.4992638999999997E-4</v>
      </c>
      <c r="I11">
        <v>1.7642021645034242E-2</v>
      </c>
      <c r="M11" s="27">
        <f t="shared" si="1"/>
        <v>0.68545158103503423</v>
      </c>
      <c r="N11" s="20"/>
      <c r="O11" s="9">
        <f t="shared" si="2"/>
        <v>1.0264177434973365</v>
      </c>
      <c r="P11" s="51">
        <f t="shared" si="3"/>
        <v>1.779464204965775E-3</v>
      </c>
      <c r="Q11" s="8">
        <f t="shared" si="4"/>
        <v>1.0290823717284614</v>
      </c>
      <c r="R11" s="102">
        <v>0.68168505000000001</v>
      </c>
      <c r="S11" s="24">
        <f t="shared" si="5"/>
        <v>0.68723104524</v>
      </c>
      <c r="T11">
        <v>0.67517181999999998</v>
      </c>
      <c r="U11">
        <v>1.1605944999999999E-2</v>
      </c>
      <c r="V11">
        <v>-5.5459951999999998E-3</v>
      </c>
      <c r="W11">
        <v>4.5328023999999999E-4</v>
      </c>
    </row>
    <row r="12" spans="1:26" x14ac:dyDescent="0.2">
      <c r="B12" t="s">
        <v>123</v>
      </c>
      <c r="C12" t="s">
        <v>180</v>
      </c>
      <c r="D12" s="23">
        <f t="shared" si="0"/>
        <v>0.86397327718000005</v>
      </c>
      <c r="E12">
        <v>2.1836586000000002E-2</v>
      </c>
      <c r="F12">
        <v>0.84148966000000003</v>
      </c>
      <c r="G12">
        <v>6.4703117999999999E-4</v>
      </c>
      <c r="I12">
        <v>1.3814999616625053E-2</v>
      </c>
      <c r="M12" s="27">
        <f t="shared" si="1"/>
        <v>0.87778827679662508</v>
      </c>
      <c r="N12" s="20"/>
      <c r="O12" s="9">
        <f t="shared" si="2"/>
        <v>1.0159900774497528</v>
      </c>
      <c r="P12" s="51">
        <f t="shared" si="3"/>
        <v>1.6331669233748958E-3</v>
      </c>
      <c r="Q12" s="8">
        <f t="shared" si="4"/>
        <v>1.0178803754097843</v>
      </c>
      <c r="R12" s="102">
        <v>0.87188476000000004</v>
      </c>
      <c r="S12" s="24">
        <f t="shared" si="5"/>
        <v>0.87942144371999997</v>
      </c>
      <c r="T12">
        <v>0.85588823000000003</v>
      </c>
      <c r="U12">
        <v>2.2877996000000001E-2</v>
      </c>
      <c r="V12">
        <v>-7.5366864999999996E-3</v>
      </c>
      <c r="W12">
        <v>6.5521771999999998E-4</v>
      </c>
    </row>
    <row r="13" spans="1:26" x14ac:dyDescent="0.2">
      <c r="B13" t="s">
        <v>123</v>
      </c>
      <c r="C13" t="s">
        <v>181</v>
      </c>
      <c r="D13" s="23">
        <f t="shared" si="0"/>
        <v>0.70185604938000001</v>
      </c>
      <c r="E13">
        <v>1.7872038E-2</v>
      </c>
      <c r="F13">
        <v>0.68345557999999995</v>
      </c>
      <c r="G13">
        <v>5.2843138E-4</v>
      </c>
      <c r="I13">
        <v>1.1301390797608125E-2</v>
      </c>
      <c r="M13" s="27">
        <f t="shared" si="1"/>
        <v>0.71315744017760818</v>
      </c>
      <c r="N13" s="20"/>
      <c r="O13" s="9">
        <f t="shared" si="2"/>
        <v>1.016102149162341</v>
      </c>
      <c r="P13" s="51">
        <f t="shared" si="3"/>
        <v>1.3438161623917644E-3</v>
      </c>
      <c r="Q13" s="8">
        <f t="shared" si="4"/>
        <v>1.0180168098161586</v>
      </c>
      <c r="R13" s="102">
        <v>0.70819721000000002</v>
      </c>
      <c r="S13" s="24">
        <f t="shared" si="5"/>
        <v>0.71450125633999995</v>
      </c>
      <c r="T13">
        <v>0.69524271999999998</v>
      </c>
      <c r="U13">
        <v>1.8723454E-2</v>
      </c>
      <c r="V13">
        <v>-6.3040429E-3</v>
      </c>
      <c r="W13">
        <v>5.3508234000000003E-4</v>
      </c>
    </row>
    <row r="14" spans="1:26" x14ac:dyDescent="0.2">
      <c r="B14" t="s">
        <v>123</v>
      </c>
      <c r="C14" t="s">
        <v>182</v>
      </c>
      <c r="D14" s="23">
        <f>SUM(E14:G14)</f>
        <v>0.65218112804000006</v>
      </c>
      <c r="E14">
        <v>3.9259152999999998E-2</v>
      </c>
      <c r="F14">
        <v>0.61248133000000005</v>
      </c>
      <c r="G14">
        <v>4.4064503999999998E-4</v>
      </c>
      <c r="I14">
        <v>7.2766979077270094E-3</v>
      </c>
      <c r="M14" s="27">
        <f>I14+D14</f>
        <v>0.65945782594772706</v>
      </c>
      <c r="N14" s="20"/>
      <c r="O14" s="9">
        <f>M14/D14</f>
        <v>1.0111574800233727</v>
      </c>
      <c r="P14" s="51">
        <f>S14-M14</f>
        <v>1.1325423222730002E-3</v>
      </c>
      <c r="Q14" s="8">
        <f>S14/D14</f>
        <v>1.012894025706129</v>
      </c>
      <c r="R14" s="102">
        <v>0.65397685999999999</v>
      </c>
      <c r="S14" s="24">
        <f>T14+U14+W14</f>
        <v>0.66059036827000006</v>
      </c>
      <c r="T14">
        <v>0.62013351999999999</v>
      </c>
      <c r="U14">
        <v>4.0010064999999997E-2</v>
      </c>
      <c r="V14">
        <v>-6.6135079000000001E-3</v>
      </c>
      <c r="W14">
        <v>4.4678327000000003E-4</v>
      </c>
    </row>
    <row r="15" spans="1:26" x14ac:dyDescent="0.2">
      <c r="B15" t="s">
        <v>123</v>
      </c>
      <c r="C15" t="s">
        <v>183</v>
      </c>
      <c r="D15" s="23">
        <f>SUM(E15:G15)</f>
        <v>0.68907693710000006</v>
      </c>
      <c r="E15">
        <v>4.4573051000000002E-2</v>
      </c>
      <c r="F15">
        <v>0.64400175000000004</v>
      </c>
      <c r="G15">
        <v>5.0213609999999996E-4</v>
      </c>
      <c r="I15">
        <v>8.2689575848314146E-3</v>
      </c>
      <c r="M15" s="27">
        <f>I15+D15</f>
        <v>0.69734589468483144</v>
      </c>
      <c r="N15" s="20"/>
      <c r="O15" s="9">
        <f>M15/D15</f>
        <v>1.0120000498342485</v>
      </c>
      <c r="P15" s="51">
        <f>S15-M15</f>
        <v>1.2493028551685548E-3</v>
      </c>
      <c r="Q15" s="8">
        <f>S15/D15</f>
        <v>1.0138130590758963</v>
      </c>
      <c r="R15" s="102">
        <v>0.69132254000000004</v>
      </c>
      <c r="S15" s="24">
        <f>T15+U15+W15</f>
        <v>0.69859519753999999</v>
      </c>
      <c r="T15">
        <v>0.65265828000000004</v>
      </c>
      <c r="U15">
        <v>4.5427766000000001E-2</v>
      </c>
      <c r="V15">
        <v>-7.2726611999999998E-3</v>
      </c>
      <c r="W15">
        <v>5.0915154000000002E-4</v>
      </c>
    </row>
    <row r="16" spans="1:26" x14ac:dyDescent="0.2">
      <c r="D16" s="23"/>
      <c r="M16" s="27"/>
      <c r="N16" s="20"/>
      <c r="O16" s="9"/>
      <c r="P16" s="51"/>
      <c r="Q16" s="8"/>
      <c r="R16" s="102"/>
      <c r="S16" s="24"/>
    </row>
    <row r="17" spans="2:23" x14ac:dyDescent="0.2">
      <c r="B17" t="s">
        <v>123</v>
      </c>
      <c r="C17" t="s">
        <v>187</v>
      </c>
      <c r="D17" s="23">
        <v>0.21328356287</v>
      </c>
      <c r="E17">
        <v>1.4025196E-2</v>
      </c>
      <c r="F17">
        <v>0.19909988000000001</v>
      </c>
      <c r="G17">
        <v>1.5848686999999999E-4</v>
      </c>
      <c r="I17">
        <v>2.8541371565714573E-3</v>
      </c>
      <c r="M17" s="27">
        <v>0.21613770002657146</v>
      </c>
      <c r="N17" s="20"/>
      <c r="O17" s="9">
        <v>1.0133818899035887</v>
      </c>
      <c r="P17" s="51">
        <f t="shared" si="3"/>
        <v>5.0113738342852376E-4</v>
      </c>
      <c r="Q17" s="8">
        <v>1.015731519554768</v>
      </c>
      <c r="R17" s="102">
        <v>0.21349836</v>
      </c>
      <c r="S17" s="24">
        <v>0.21663883740999998</v>
      </c>
      <c r="T17">
        <v>0.20218437</v>
      </c>
      <c r="U17">
        <v>1.4293867E-2</v>
      </c>
      <c r="V17">
        <v>-3.1404836000000001E-3</v>
      </c>
      <c r="W17">
        <v>1.6060040999999999E-4</v>
      </c>
    </row>
    <row r="18" spans="2:23" x14ac:dyDescent="0.2">
      <c r="B18" t="s">
        <v>123</v>
      </c>
      <c r="C18" t="s">
        <v>188</v>
      </c>
      <c r="D18" s="23">
        <v>0.20258379869000001</v>
      </c>
      <c r="E18">
        <v>1.2484204E-2</v>
      </c>
      <c r="F18">
        <v>0.18995894000000002</v>
      </c>
      <c r="G18">
        <v>1.4065468999999999E-4</v>
      </c>
      <c r="I18">
        <v>2.5663849185472622E-3</v>
      </c>
      <c r="M18" s="27">
        <v>0.20515018360854728</v>
      </c>
      <c r="N18" s="20"/>
      <c r="O18" s="9">
        <v>1.0126682633810931</v>
      </c>
      <c r="P18" s="51">
        <f t="shared" si="3"/>
        <v>4.6728123145273193E-4</v>
      </c>
      <c r="Q18" s="8">
        <v>1.0149748704961457</v>
      </c>
      <c r="R18" s="102">
        <v>0.20266813</v>
      </c>
      <c r="S18" s="24">
        <v>0.20561746484000001</v>
      </c>
      <c r="T18">
        <v>0.19275218000000002</v>
      </c>
      <c r="U18">
        <v>1.2722770999999999E-2</v>
      </c>
      <c r="V18">
        <v>-2.9493309999999999E-3</v>
      </c>
      <c r="W18">
        <v>1.4251384000000001E-4</v>
      </c>
    </row>
    <row r="19" spans="2:23" x14ac:dyDescent="0.2">
      <c r="B19" t="s">
        <v>123</v>
      </c>
      <c r="C19" t="s">
        <v>189</v>
      </c>
      <c r="D19" s="23">
        <v>0.15103568365999998</v>
      </c>
      <c r="E19">
        <v>1.0078480000000001E-2</v>
      </c>
      <c r="F19">
        <v>0.14084344999999998</v>
      </c>
      <c r="G19">
        <v>1.1375366000000001E-4</v>
      </c>
      <c r="I19">
        <v>2.1026234703824449E-3</v>
      </c>
      <c r="M19" s="27">
        <v>0.15313830713038243</v>
      </c>
      <c r="N19" s="20"/>
      <c r="O19" s="9">
        <v>1.0139213689072029</v>
      </c>
      <c r="P19" s="51">
        <f t="shared" si="3"/>
        <v>3.9220000961756596E-4</v>
      </c>
      <c r="Q19" s="8">
        <v>1.0165181063146387</v>
      </c>
      <c r="R19" s="102">
        <v>0.15099931</v>
      </c>
      <c r="S19" s="24">
        <v>0.15353050713999999</v>
      </c>
      <c r="T19">
        <v>0.14314431999999999</v>
      </c>
      <c r="U19">
        <v>1.0270949E-2</v>
      </c>
      <c r="V19">
        <v>-2.5311959000000003E-3</v>
      </c>
      <c r="W19">
        <v>1.1523814000000001E-4</v>
      </c>
    </row>
    <row r="20" spans="2:23" x14ac:dyDescent="0.2">
      <c r="B20" t="s">
        <v>123</v>
      </c>
      <c r="C20" t="s">
        <v>190</v>
      </c>
      <c r="D20" s="23">
        <v>0.14365660381000001</v>
      </c>
      <c r="E20">
        <v>9.0157281999999998E-3</v>
      </c>
      <c r="F20">
        <v>0.13453942000000002</v>
      </c>
      <c r="G20">
        <v>1.0145561E-4</v>
      </c>
      <c r="I20">
        <v>1.9041742934799951E-3</v>
      </c>
      <c r="M20" s="27">
        <v>0.14556077810348</v>
      </c>
      <c r="N20" s="20"/>
      <c r="O20" s="9">
        <v>1.0132550418357269</v>
      </c>
      <c r="P20" s="51">
        <f t="shared" si="3"/>
        <v>3.6884343652002216E-4</v>
      </c>
      <c r="Q20" s="8">
        <v>1.0158225773804754</v>
      </c>
      <c r="R20" s="102">
        <v>0.14353025999999999</v>
      </c>
      <c r="S20" s="24">
        <v>0.14592962154000003</v>
      </c>
      <c r="T20">
        <v>0.13663942000000001</v>
      </c>
      <c r="U20">
        <v>9.1874369000000001E-3</v>
      </c>
      <c r="V20">
        <v>-2.3993673E-3</v>
      </c>
      <c r="W20">
        <v>1.0276464E-4</v>
      </c>
    </row>
    <row r="21" spans="2:23" x14ac:dyDescent="0.2">
      <c r="D21" s="23"/>
      <c r="M21" s="27"/>
      <c r="N21" s="20"/>
      <c r="O21" s="9"/>
      <c r="P21" s="51"/>
      <c r="Q21" s="8"/>
      <c r="R21" s="102"/>
      <c r="S21" s="24"/>
    </row>
    <row r="22" spans="2:23" ht="48" x14ac:dyDescent="0.2">
      <c r="C22" s="1" t="s">
        <v>232</v>
      </c>
      <c r="D22" s="23">
        <f>D20-0.2*D14</f>
        <v>1.3220378201999977E-2</v>
      </c>
      <c r="M22" s="27"/>
      <c r="N22" s="20"/>
      <c r="O22" s="9"/>
      <c r="P22" s="51"/>
      <c r="Q22" s="8"/>
      <c r="R22" s="102"/>
      <c r="S22" s="24"/>
    </row>
    <row r="23" spans="2:23" x14ac:dyDescent="0.2">
      <c r="D23" s="23"/>
      <c r="M23" s="27"/>
      <c r="N23" s="20"/>
      <c r="O23" s="9"/>
      <c r="P23" s="51"/>
      <c r="Q23" s="8"/>
      <c r="R23" s="102"/>
      <c r="S23" s="24"/>
    </row>
    <row r="24" spans="2:23" x14ac:dyDescent="0.2">
      <c r="B24" t="s">
        <v>123</v>
      </c>
      <c r="C24" t="s">
        <v>200</v>
      </c>
      <c r="D24" s="23">
        <f t="shared" si="0"/>
        <v>6.3859068244999997E-2</v>
      </c>
      <c r="E24">
        <v>3.4327054999999998E-4</v>
      </c>
      <c r="F24">
        <v>6.3505482000000002E-2</v>
      </c>
      <c r="G24" s="7">
        <v>1.0315695E-5</v>
      </c>
      <c r="I24">
        <v>9.3042886491093921E-3</v>
      </c>
      <c r="M24" s="27">
        <f t="shared" si="1"/>
        <v>7.3163356894109383E-2</v>
      </c>
      <c r="N24" s="20"/>
      <c r="O24" s="9">
        <f t="shared" si="2"/>
        <v>1.1457003508634482</v>
      </c>
      <c r="P24" s="51">
        <f t="shared" si="3"/>
        <v>2.0674027189061805E-4</v>
      </c>
      <c r="Q24" s="8">
        <f t="shared" si="4"/>
        <v>1.1489377966573242</v>
      </c>
      <c r="R24" s="102">
        <v>7.3192491999999998E-2</v>
      </c>
      <c r="S24" s="24">
        <f t="shared" si="5"/>
        <v>7.3370097166000001E-2</v>
      </c>
      <c r="T24">
        <v>7.3002853000000006E-2</v>
      </c>
      <c r="U24">
        <v>3.5688244000000002E-4</v>
      </c>
      <c r="V24">
        <v>-1.7760553E-4</v>
      </c>
      <c r="W24" s="7">
        <v>1.0361726000000001E-5</v>
      </c>
    </row>
    <row r="25" spans="2:23" x14ac:dyDescent="0.2">
      <c r="B25" t="s">
        <v>123</v>
      </c>
      <c r="C25" t="s">
        <v>201</v>
      </c>
      <c r="D25" s="23">
        <f t="shared" si="0"/>
        <v>6.6000093365099988E-2</v>
      </c>
      <c r="E25">
        <v>1.6480722000000001E-4</v>
      </c>
      <c r="F25">
        <v>6.5828422999999997E-2</v>
      </c>
      <c r="G25" s="7">
        <v>6.8631451000000001E-6</v>
      </c>
      <c r="I25">
        <v>9.7837419735390101E-3</v>
      </c>
      <c r="M25" s="27">
        <f t="shared" si="1"/>
        <v>7.5783835338639E-2</v>
      </c>
      <c r="N25" s="20"/>
      <c r="O25" s="9">
        <f t="shared" si="2"/>
        <v>1.1482383050493157</v>
      </c>
      <c r="P25" s="51">
        <f t="shared" si="3"/>
        <v>1.9096593496099878E-4</v>
      </c>
      <c r="Q25" s="8">
        <f t="shared" si="4"/>
        <v>1.151131724213204</v>
      </c>
      <c r="R25" s="102">
        <v>7.5870460000000001E-2</v>
      </c>
      <c r="S25" s="24">
        <f t="shared" si="5"/>
        <v>7.5974801273599998E-2</v>
      </c>
      <c r="T25">
        <v>7.5792098000000002E-2</v>
      </c>
      <c r="U25">
        <v>1.7580208999999999E-4</v>
      </c>
      <c r="V25">
        <v>-1.0434164E-4</v>
      </c>
      <c r="W25" s="7">
        <v>6.9011835999999999E-6</v>
      </c>
    </row>
    <row r="26" spans="2:23" x14ac:dyDescent="0.2">
      <c r="B26" t="s">
        <v>123</v>
      </c>
      <c r="C26" t="s">
        <v>202</v>
      </c>
      <c r="D26" s="23">
        <f t="shared" si="0"/>
        <v>7.2238062228E-2</v>
      </c>
      <c r="E26">
        <v>5.4053437E-4</v>
      </c>
      <c r="F26">
        <v>7.1682814999999997E-2</v>
      </c>
      <c r="G26" s="7">
        <v>1.4712857999999999E-5</v>
      </c>
      <c r="I26">
        <v>1.0390899487314205E-2</v>
      </c>
      <c r="M26" s="27">
        <f t="shared" si="1"/>
        <v>8.2628961715314198E-2</v>
      </c>
      <c r="N26" s="20"/>
      <c r="O26" s="9">
        <f t="shared" si="2"/>
        <v>1.1438424449221536</v>
      </c>
      <c r="P26" s="51">
        <f t="shared" ref="P26:P36" si="6">S26-M26</f>
        <v>2.5206082468580415E-4</v>
      </c>
      <c r="Q26" s="8">
        <f t="shared" si="4"/>
        <v>1.1473317525933677</v>
      </c>
      <c r="R26" s="102">
        <v>8.2616635999999993E-2</v>
      </c>
      <c r="S26" s="24">
        <f t="shared" si="5"/>
        <v>8.2881022540000002E-2</v>
      </c>
      <c r="T26">
        <v>8.2307854999999999E-2</v>
      </c>
      <c r="U26">
        <v>5.5839496999999995E-4</v>
      </c>
      <c r="V26">
        <v>-2.6438615000000002E-4</v>
      </c>
      <c r="W26" s="7">
        <v>1.4772569999999999E-5</v>
      </c>
    </row>
    <row r="27" spans="2:23" x14ac:dyDescent="0.2">
      <c r="B27" t="s">
        <v>123</v>
      </c>
      <c r="C27" t="s">
        <v>203</v>
      </c>
      <c r="D27" s="23">
        <f t="shared" si="0"/>
        <v>6.1226673575299997E-2</v>
      </c>
      <c r="E27" s="7">
        <v>8.1602002000000001E-5</v>
      </c>
      <c r="F27">
        <v>6.1142404999999997E-2</v>
      </c>
      <c r="G27" s="7">
        <v>2.6665733000000001E-6</v>
      </c>
      <c r="I27">
        <v>3.5726516836434071E-3</v>
      </c>
      <c r="M27" s="27">
        <f t="shared" si="1"/>
        <v>6.4799325258943399E-2</v>
      </c>
      <c r="N27" s="20"/>
      <c r="O27" s="9">
        <f t="shared" si="2"/>
        <v>1.0583512295380468</v>
      </c>
      <c r="P27" s="51">
        <f t="shared" si="6"/>
        <v>1.6543028055659992E-4</v>
      </c>
      <c r="Q27" s="8">
        <f t="shared" si="4"/>
        <v>1.0610531610802389</v>
      </c>
      <c r="R27" s="102">
        <v>6.4922689000000006E-2</v>
      </c>
      <c r="S27" s="24">
        <f t="shared" si="5"/>
        <v>6.4964755539499999E-2</v>
      </c>
      <c r="T27">
        <v>6.4873313000000002E-2</v>
      </c>
      <c r="U27" s="7">
        <v>8.8764544999999997E-5</v>
      </c>
      <c r="V27" s="7">
        <v>-4.2066712999999997E-5</v>
      </c>
      <c r="W27" s="7">
        <v>2.6779945E-6</v>
      </c>
    </row>
    <row r="28" spans="2:23" x14ac:dyDescent="0.2">
      <c r="B28" t="s">
        <v>123</v>
      </c>
      <c r="C28" t="s">
        <v>204</v>
      </c>
      <c r="D28" s="23">
        <f t="shared" si="0"/>
        <v>6.5053332284900012E-2</v>
      </c>
      <c r="E28" s="7">
        <v>8.6702050999999997E-5</v>
      </c>
      <c r="F28">
        <v>6.4963797000000004E-2</v>
      </c>
      <c r="G28" s="7">
        <v>2.8332339E-6</v>
      </c>
      <c r="I28">
        <v>3.7959423148649276E-3</v>
      </c>
      <c r="M28" s="27">
        <f t="shared" si="1"/>
        <v>6.8849274599764934E-2</v>
      </c>
      <c r="N28" s="20"/>
      <c r="O28" s="9">
        <f t="shared" si="2"/>
        <v>1.0583512355407199</v>
      </c>
      <c r="P28" s="51">
        <f t="shared" si="6"/>
        <v>1.7577002103506822E-4</v>
      </c>
      <c r="Q28" s="8">
        <f t="shared" si="4"/>
        <v>1.0610531727799268</v>
      </c>
      <c r="R28" s="102">
        <v>6.8980347999999997E-2</v>
      </c>
      <c r="S28" s="24">
        <f t="shared" si="5"/>
        <v>6.9025044620800002E-2</v>
      </c>
      <c r="T28">
        <v>6.8927886999999993E-2</v>
      </c>
      <c r="U28" s="7">
        <v>9.4312251999999997E-5</v>
      </c>
      <c r="V28" s="7">
        <v>-4.4695906000000003E-5</v>
      </c>
      <c r="W28" s="7">
        <v>2.8453687999999998E-6</v>
      </c>
    </row>
    <row r="29" spans="2:23" x14ac:dyDescent="0.2">
      <c r="B29" t="s">
        <v>123</v>
      </c>
      <c r="C29" t="s">
        <v>205</v>
      </c>
      <c r="D29" s="23">
        <f t="shared" si="0"/>
        <v>6.5738017833300008E-2</v>
      </c>
      <c r="E29" s="7">
        <v>8.7614775999999994E-5</v>
      </c>
      <c r="F29">
        <v>6.5647540000000004E-2</v>
      </c>
      <c r="G29" s="7">
        <v>2.8630572999999999E-6</v>
      </c>
      <c r="I29">
        <v>3.835899487317614E-3</v>
      </c>
      <c r="M29" s="27">
        <f t="shared" si="1"/>
        <v>6.9573917320617629E-2</v>
      </c>
      <c r="N29" s="20"/>
      <c r="O29" s="9">
        <f t="shared" si="2"/>
        <v>1.0583513104554625</v>
      </c>
      <c r="P29" s="51">
        <f t="shared" si="6"/>
        <v>6.6041084382365001E-5</v>
      </c>
      <c r="Q29" s="8">
        <f t="shared" si="4"/>
        <v>1.0593559206727927</v>
      </c>
      <c r="R29" s="102">
        <v>6.9594792000000003E-2</v>
      </c>
      <c r="S29" s="24">
        <f t="shared" si="5"/>
        <v>6.9639958404999994E-2</v>
      </c>
      <c r="T29">
        <v>6.9541777999999999E-2</v>
      </c>
      <c r="U29" s="7">
        <v>9.5305084999999996E-5</v>
      </c>
      <c r="V29" s="7">
        <v>-4.5166373000000001E-5</v>
      </c>
      <c r="W29" s="7">
        <v>2.8753199999999999E-6</v>
      </c>
    </row>
    <row r="30" spans="2:23" x14ac:dyDescent="0.2">
      <c r="D30" s="23"/>
      <c r="E30" s="7"/>
      <c r="G30" s="7"/>
      <c r="M30" s="27"/>
      <c r="N30" s="20"/>
      <c r="O30" s="9"/>
      <c r="P30" s="51"/>
      <c r="Q30" s="8"/>
      <c r="R30" s="102"/>
      <c r="S30" s="24"/>
      <c r="U30" s="7"/>
      <c r="V30" s="7"/>
      <c r="W30" s="7"/>
    </row>
    <row r="31" spans="2:23" x14ac:dyDescent="0.2">
      <c r="B31" t="s">
        <v>123</v>
      </c>
      <c r="C31" t="s">
        <v>206</v>
      </c>
      <c r="D31" s="23">
        <f t="shared" si="0"/>
        <v>0.13795229378000001</v>
      </c>
      <c r="E31">
        <v>0.13424828999999999</v>
      </c>
      <c r="F31">
        <v>3.6075281000000001E-3</v>
      </c>
      <c r="G31" s="7">
        <v>9.6475679999999994E-5</v>
      </c>
      <c r="I31">
        <v>2.8793210189295292E-4</v>
      </c>
      <c r="M31" s="27">
        <f t="shared" si="1"/>
        <v>0.13824022588189297</v>
      </c>
      <c r="N31" s="20"/>
      <c r="O31" s="9">
        <f t="shared" si="2"/>
        <v>1.0020871860409377</v>
      </c>
      <c r="P31" s="51">
        <f t="shared" si="6"/>
        <v>8.2343260410705499E-4</v>
      </c>
      <c r="Q31" s="8">
        <f t="shared" si="4"/>
        <v>1.0080561524244922</v>
      </c>
      <c r="R31" s="102">
        <v>2.9939238999999999E-2</v>
      </c>
      <c r="S31" s="24">
        <f t="shared" si="5"/>
        <v>0.13906365848600002</v>
      </c>
      <c r="T31">
        <v>4.6091635000000001E-3</v>
      </c>
      <c r="U31">
        <v>0.13435706</v>
      </c>
      <c r="V31">
        <v>-0.10912442</v>
      </c>
      <c r="W31" s="7">
        <v>9.7434986000000007E-5</v>
      </c>
    </row>
    <row r="32" spans="2:23" x14ac:dyDescent="0.2">
      <c r="B32" t="s">
        <v>123</v>
      </c>
      <c r="C32" t="s">
        <v>207</v>
      </c>
      <c r="D32" s="23">
        <f t="shared" si="0"/>
        <v>0.13797286597700001</v>
      </c>
      <c r="E32">
        <v>0.13425701000000001</v>
      </c>
      <c r="F32">
        <v>3.6191458000000001E-3</v>
      </c>
      <c r="G32" s="7">
        <v>9.6710176999999998E-5</v>
      </c>
      <c r="I32">
        <v>3.443015305601121E-4</v>
      </c>
      <c r="M32" s="27">
        <f t="shared" si="1"/>
        <v>0.13831716750756012</v>
      </c>
      <c r="N32" s="20"/>
      <c r="O32" s="9">
        <f t="shared" si="2"/>
        <v>1.0024954292869259</v>
      </c>
      <c r="P32" s="51">
        <f t="shared" si="6"/>
        <v>8.8989150143989337E-4</v>
      </c>
      <c r="Q32" s="8">
        <f t="shared" si="4"/>
        <v>1.0089451866007171</v>
      </c>
      <c r="R32" s="102">
        <v>3.0078711000000001E-2</v>
      </c>
      <c r="S32" s="24">
        <f t="shared" si="5"/>
        <v>0.13920705900900002</v>
      </c>
      <c r="T32">
        <v>4.6866271000000001E-3</v>
      </c>
      <c r="U32">
        <v>0.13442276</v>
      </c>
      <c r="V32">
        <v>-0.10912835</v>
      </c>
      <c r="W32" s="7">
        <v>9.7671908999999994E-5</v>
      </c>
    </row>
    <row r="33" spans="2:23" x14ac:dyDescent="0.2">
      <c r="B33" t="s">
        <v>123</v>
      </c>
      <c r="C33" t="s">
        <v>208</v>
      </c>
      <c r="D33" s="23">
        <f t="shared" si="0"/>
        <v>0.13773934872599999</v>
      </c>
      <c r="E33">
        <v>0.13423215999999999</v>
      </c>
      <c r="F33">
        <v>3.4150144000000002E-3</v>
      </c>
      <c r="G33" s="7">
        <v>9.2174326000000001E-5</v>
      </c>
      <c r="I33">
        <v>2.3230020863425222E-4</v>
      </c>
      <c r="M33" s="27">
        <f t="shared" si="1"/>
        <v>0.13797164893463423</v>
      </c>
      <c r="N33" s="20"/>
      <c r="O33" s="9">
        <f t="shared" si="2"/>
        <v>1.0016865203065273</v>
      </c>
      <c r="P33" s="51">
        <f t="shared" si="6"/>
        <v>8.2035890136575307E-4</v>
      </c>
      <c r="Q33" s="8">
        <f t="shared" si="4"/>
        <v>1.007642399356004</v>
      </c>
      <c r="R33" s="102">
        <v>3.4236113999999998E-2</v>
      </c>
      <c r="S33" s="24">
        <f t="shared" si="5"/>
        <v>0.13879200783599999</v>
      </c>
      <c r="T33">
        <v>4.4048261999999998E-3</v>
      </c>
      <c r="U33">
        <v>0.13429409</v>
      </c>
      <c r="V33">
        <v>-0.10455589</v>
      </c>
      <c r="W33" s="7">
        <v>9.3091636E-5</v>
      </c>
    </row>
    <row r="34" spans="2:23" x14ac:dyDescent="0.2">
      <c r="B34" t="s">
        <v>123</v>
      </c>
      <c r="C34" t="s">
        <v>209</v>
      </c>
      <c r="D34" s="23">
        <f t="shared" si="0"/>
        <v>0.13157791481699999</v>
      </c>
      <c r="E34">
        <v>0.12798867</v>
      </c>
      <c r="F34">
        <v>3.4967010000000001E-3</v>
      </c>
      <c r="G34" s="7">
        <v>9.2543817E-5</v>
      </c>
      <c r="I34">
        <v>2.8236890820463332E-4</v>
      </c>
      <c r="M34" s="27">
        <f t="shared" si="1"/>
        <v>0.13186028372520461</v>
      </c>
      <c r="N34" s="20"/>
      <c r="O34" s="9">
        <f t="shared" si="2"/>
        <v>1.002146020543017</v>
      </c>
      <c r="P34" s="51">
        <f t="shared" si="6"/>
        <v>8.2203298379537881E-4</v>
      </c>
      <c r="Q34" s="8">
        <f t="shared" si="4"/>
        <v>1.0083935202464336</v>
      </c>
      <c r="R34" s="102">
        <v>2.8120777999999999E-2</v>
      </c>
      <c r="S34" s="24">
        <f t="shared" si="5"/>
        <v>0.13268231670899999</v>
      </c>
      <c r="T34">
        <v>4.4919631999999999E-3</v>
      </c>
      <c r="U34">
        <v>0.12809688999999999</v>
      </c>
      <c r="V34">
        <v>-0.10456153999999999</v>
      </c>
      <c r="W34" s="7">
        <v>9.3463508999999995E-5</v>
      </c>
    </row>
    <row r="35" spans="2:23" x14ac:dyDescent="0.2">
      <c r="B35" t="s">
        <v>123</v>
      </c>
      <c r="C35" t="s">
        <v>210</v>
      </c>
      <c r="D35" s="23">
        <f t="shared" si="0"/>
        <v>0.13159855665</v>
      </c>
      <c r="E35">
        <v>0.12799746000000001</v>
      </c>
      <c r="F35">
        <v>3.5083183E-3</v>
      </c>
      <c r="G35" s="7">
        <v>9.2778349999999996E-5</v>
      </c>
      <c r="I35">
        <v>3.387381864253477E-4</v>
      </c>
      <c r="M35" s="27">
        <f t="shared" si="1"/>
        <v>0.13193729483642536</v>
      </c>
      <c r="N35" s="20"/>
      <c r="O35" s="9">
        <f t="shared" si="2"/>
        <v>1.0025740266082572</v>
      </c>
      <c r="P35" s="51">
        <f t="shared" si="6"/>
        <v>8.8849173157465322E-4</v>
      </c>
      <c r="Q35" s="8">
        <f t="shared" si="4"/>
        <v>1.0093255575839175</v>
      </c>
      <c r="R35" s="102">
        <v>2.8260362000000001E-2</v>
      </c>
      <c r="S35" s="24">
        <f t="shared" si="5"/>
        <v>0.13282578656800001</v>
      </c>
      <c r="T35">
        <v>4.5694261000000002E-3</v>
      </c>
      <c r="U35">
        <v>0.12816266000000001</v>
      </c>
      <c r="V35">
        <v>-0.10456543</v>
      </c>
      <c r="W35" s="7">
        <v>9.3700468000000001E-5</v>
      </c>
    </row>
    <row r="36" spans="2:23" x14ac:dyDescent="0.2">
      <c r="B36" t="s">
        <v>123</v>
      </c>
      <c r="C36" t="s">
        <v>211</v>
      </c>
      <c r="D36" s="23">
        <f t="shared" si="0"/>
        <v>0.13140179983199998</v>
      </c>
      <c r="E36">
        <v>0.12797977999999999</v>
      </c>
      <c r="F36">
        <v>3.3298721999999998E-3</v>
      </c>
      <c r="G36" s="7">
        <v>9.2147632000000006E-5</v>
      </c>
      <c r="I36">
        <v>2.251314242999408E-4</v>
      </c>
      <c r="M36" s="27">
        <f t="shared" si="1"/>
        <v>0.13162693125629993</v>
      </c>
      <c r="N36" s="20"/>
      <c r="O36" s="9">
        <f t="shared" si="2"/>
        <v>1.0017133054843068</v>
      </c>
      <c r="P36" s="51">
        <f t="shared" si="6"/>
        <v>8.2008087170007404E-4</v>
      </c>
      <c r="Q36" s="8">
        <f t="shared" si="4"/>
        <v>1.0079543225232557</v>
      </c>
      <c r="R36" s="102">
        <v>2.7892423E-2</v>
      </c>
      <c r="S36" s="24">
        <f t="shared" si="5"/>
        <v>0.132447012128</v>
      </c>
      <c r="T36">
        <v>4.3122873000000003E-3</v>
      </c>
      <c r="U36">
        <v>0.12804166</v>
      </c>
      <c r="V36">
        <v>-0.10455459</v>
      </c>
      <c r="W36" s="7">
        <v>9.3064828E-5</v>
      </c>
    </row>
    <row r="37" spans="2:23" x14ac:dyDescent="0.2">
      <c r="O37" s="9"/>
    </row>
  </sheetData>
  <phoneticPr fontId="15" type="noConversion"/>
  <conditionalFormatting sqref="P1 P5:P36"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up-emissions</vt:lpstr>
      <vt:lpstr>up-removals</vt:lpstr>
      <vt:lpstr>down-emissions</vt:lpstr>
      <vt:lpstr>down-removals</vt:lpstr>
      <vt:lpstr>raw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2019-07-04T18:57:44Z</dcterms:created>
  <dcterms:modified xsi:type="dcterms:W3CDTF">2021-12-05T01:26:09Z</dcterms:modified>
</cp:coreProperties>
</file>