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C591DEE0-69F1-C846-946D-008CECE906FF}" xr6:coauthVersionLast="36" xr6:coauthVersionMax="36" xr10:uidLastSave="{00000000-0000-0000-0000-000000000000}"/>
  <bookViews>
    <workbookView xWindow="1920" yWindow="460" windowWidth="23460" windowHeight="17540" activeTab="9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ing" sheetId="11" r:id="rId7"/>
    <sheet name="Oxygen" sheetId="8" r:id="rId8"/>
    <sheet name="Electricity" sheetId="9" r:id="rId9"/>
    <sheet name="Heat" sheetId="14" r:id="rId10"/>
    <sheet name="CO2 Capture" sheetId="12" r:id="rId11"/>
    <sheet name="CO2 Storage" sheetId="13" r:id="rId12"/>
    <sheet name="Fuel" sheetId="10" r:id="rId13"/>
    <sheet name="Ref" sheetId="7" r:id="rId1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C4" i="15"/>
  <c r="E4" i="15"/>
  <c r="F4" i="15"/>
  <c r="G4" i="15"/>
  <c r="H4" i="15"/>
  <c r="I4" i="15"/>
  <c r="J4" i="15"/>
  <c r="K4" i="15"/>
  <c r="L4" i="15"/>
  <c r="M4" i="15"/>
  <c r="J5" i="15"/>
  <c r="D6" i="15"/>
  <c r="M6" i="15"/>
  <c r="D7" i="15"/>
  <c r="D4" i="15" s="1"/>
  <c r="D8" i="15"/>
  <c r="D12" i="15" s="1"/>
  <c r="B9" i="15"/>
  <c r="C9" i="15"/>
  <c r="D9" i="15"/>
  <c r="C10" i="15"/>
  <c r="D10" i="15"/>
  <c r="M10" i="15"/>
  <c r="B12" i="15"/>
  <c r="C12" i="15"/>
  <c r="E12" i="15"/>
  <c r="G12" i="15"/>
  <c r="I12" i="15"/>
  <c r="K12" i="15"/>
  <c r="M12" i="15"/>
  <c r="B13" i="15"/>
  <c r="C13" i="15"/>
  <c r="D13" i="15"/>
  <c r="E13" i="15"/>
  <c r="F13" i="15"/>
  <c r="I13" i="15"/>
  <c r="J13" i="15"/>
  <c r="M13" i="15"/>
  <c r="B14" i="15"/>
  <c r="C14" i="15"/>
  <c r="D14" i="15"/>
  <c r="E14" i="15"/>
  <c r="F14" i="15"/>
  <c r="I14" i="15"/>
  <c r="J14" i="15"/>
  <c r="M14" i="15"/>
  <c r="B15" i="15"/>
  <c r="C15" i="15"/>
  <c r="D15" i="15"/>
  <c r="E15" i="15"/>
  <c r="F15" i="15"/>
  <c r="I15" i="15"/>
  <c r="J15" i="15"/>
  <c r="M15" i="15"/>
  <c r="B16" i="15"/>
  <c r="C16" i="15"/>
  <c r="D16" i="15"/>
  <c r="E16" i="15"/>
  <c r="F16" i="15"/>
  <c r="I16" i="15"/>
  <c r="J16" i="15"/>
  <c r="M16" i="15"/>
  <c r="C14" i="13" l="1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C14" i="11"/>
  <c r="B14" i="11"/>
  <c r="C13" i="11"/>
  <c r="B13" i="11"/>
  <c r="C12" i="11"/>
  <c r="B12" i="11"/>
  <c r="C11" i="11"/>
  <c r="B11" i="11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5" i="1"/>
  <c r="D14" i="1"/>
  <c r="D13" i="1"/>
  <c r="D12" i="1"/>
  <c r="C15" i="1"/>
  <c r="C14" i="1"/>
  <c r="C13" i="1"/>
  <c r="C12" i="1"/>
  <c r="D12" i="4"/>
  <c r="F11" i="3"/>
  <c r="D11" i="3"/>
  <c r="B11" i="3"/>
  <c r="F6" i="4"/>
  <c r="F8" i="4"/>
  <c r="F12" i="4" s="1"/>
  <c r="F10" i="4"/>
  <c r="F11" i="4"/>
  <c r="H7" i="6"/>
  <c r="H13" i="6" s="1"/>
  <c r="F12" i="9"/>
  <c r="F11" i="9"/>
  <c r="F10" i="9"/>
  <c r="F9" i="9"/>
  <c r="F8" i="9"/>
  <c r="F7" i="9"/>
  <c r="F16" i="9" s="1"/>
  <c r="F6" i="9"/>
  <c r="H14" i="6" l="1"/>
  <c r="F13" i="9"/>
  <c r="H15" i="6"/>
  <c r="F14" i="9"/>
  <c r="H12" i="6"/>
  <c r="F15" i="9"/>
  <c r="B11" i="2"/>
  <c r="C4" i="1"/>
  <c r="E4" i="12" l="1"/>
  <c r="D4" i="12"/>
  <c r="C4" i="12"/>
  <c r="C10" i="6" l="1"/>
  <c r="C9" i="8" l="1"/>
  <c r="C10" i="11" l="1"/>
  <c r="B21" i="7"/>
  <c r="B6" i="11"/>
  <c r="I10" i="6" l="1"/>
  <c r="B20" i="7"/>
  <c r="B10" i="4" s="1"/>
  <c r="B10" i="9"/>
  <c r="B10" i="6"/>
  <c r="B10" i="1"/>
  <c r="B8" i="1"/>
  <c r="C8" i="8"/>
  <c r="B8" i="8"/>
  <c r="B9" i="8" s="1"/>
  <c r="B10" i="8" s="1"/>
  <c r="B11" i="4" l="1"/>
  <c r="B12" i="4" s="1"/>
  <c r="B10" i="11"/>
  <c r="C10" i="1"/>
  <c r="C11" i="1" s="1"/>
  <c r="H6" i="6"/>
  <c r="C6" i="8"/>
  <c r="B6" i="8"/>
  <c r="B5" i="8" s="1"/>
  <c r="B5" i="6" l="1"/>
  <c r="B7" i="6"/>
  <c r="B6" i="6"/>
  <c r="B15" i="6" l="1"/>
  <c r="B14" i="6"/>
  <c r="B13" i="6"/>
  <c r="B12" i="6"/>
  <c r="C7" i="6"/>
  <c r="B7" i="1"/>
  <c r="B12" i="1" l="1"/>
  <c r="B15" i="1"/>
  <c r="B14" i="1"/>
  <c r="B13" i="1"/>
  <c r="B4" i="1"/>
  <c r="B11" i="1"/>
  <c r="C14" i="6"/>
  <c r="C13" i="6"/>
  <c r="C12" i="6"/>
  <c r="C15" i="6"/>
  <c r="G6" i="4"/>
  <c r="B19" i="7"/>
  <c r="C7" i="7" s="1"/>
  <c r="B18" i="7"/>
  <c r="B10" i="7"/>
  <c r="I6" i="6" l="1"/>
  <c r="C9" i="2"/>
  <c r="C11" i="2" s="1"/>
  <c r="G10" i="4"/>
  <c r="G12" i="4" s="1"/>
  <c r="G10" i="3"/>
  <c r="G11" i="3" s="1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M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E6" authorId="1" shapeId="0" xr:uid="{00000000-0006-0000-0A00-000003000000}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C7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<sst xmlns="http://schemas.openxmlformats.org/spreadsheetml/2006/main" count="468" uniqueCount="140">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</sst>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5" fillId="0" borderId="0" xfId="3" applyFont="1"/>
    <xf numFmtId="0" fontId="1" fillId="0" borderId="0" xfId="3" applyFont="1"/>
    <xf numFmtId="0" fontId="16" fillId="0" borderId="0" xfId="3" applyFont="1"/>
    <xf numFmtId="0" fontId="17" fillId="0" borderId="0" xfId="3" applyFont="1"/>
    <xf numFmtId="0" fontId="0" fillId="0" borderId="0" xfId="3" applyFont="1"/>
    <xf numFmtId="0" fontId="3" fillId="0" borderId="0" xfId="3"/>
    <xf numFmtId="0" fontId="18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4.5" bestFit="1" customWidth="1"/>
    <col min="2" max="2" width="18" bestFit="1" customWidth="1"/>
    <col min="3" max="3" width="17.83203125" bestFit="1" customWidth="1"/>
    <col min="4" max="4" width="18.83203125" bestFit="1" customWidth="1"/>
    <col min="5" max="5" width="17.33203125" bestFit="1" customWidth="1"/>
  </cols>
  <sheetData>
    <row r="1" spans="1:6" x14ac:dyDescent="0.2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6" s="2" customFormat="1" x14ac:dyDescent="0.2">
      <c r="A2" s="2" t="s">
        <v>1</v>
      </c>
      <c r="B2" s="2" t="s">
        <v>6</v>
      </c>
      <c r="C2" s="2" t="s">
        <v>64</v>
      </c>
    </row>
    <row r="3" spans="1:6" s="2" customFormat="1" x14ac:dyDescent="0.2">
      <c r="A3" s="2" t="s">
        <v>2</v>
      </c>
      <c r="B3" s="2" t="s">
        <v>63</v>
      </c>
    </row>
    <row r="4" spans="1:6" x14ac:dyDescent="0.2">
      <c r="A4" t="s">
        <v>3</v>
      </c>
      <c r="B4" s="21">
        <f>B7</f>
        <v>0.77808901338313108</v>
      </c>
      <c r="C4" s="21">
        <f>C7</f>
        <v>0.126</v>
      </c>
      <c r="E4">
        <v>0</v>
      </c>
      <c r="F4" t="s">
        <v>23</v>
      </c>
    </row>
    <row r="5" spans="1:6" x14ac:dyDescent="0.2">
      <c r="A5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6" x14ac:dyDescent="0.2">
      <c r="A6" t="s">
        <v>111</v>
      </c>
      <c r="B6">
        <v>0.754</v>
      </c>
      <c r="C6">
        <v>0</v>
      </c>
      <c r="D6" t="s">
        <v>118</v>
      </c>
      <c r="E6">
        <v>0</v>
      </c>
      <c r="F6" t="s">
        <v>23</v>
      </c>
    </row>
    <row r="7" spans="1:6" x14ac:dyDescent="0.2">
      <c r="A7" t="s">
        <v>112</v>
      </c>
      <c r="B7" s="21">
        <f>1/1.2852</f>
        <v>0.77808901338313108</v>
      </c>
      <c r="C7">
        <v>0.126</v>
      </c>
      <c r="D7" t="s">
        <v>119</v>
      </c>
      <c r="E7">
        <v>0</v>
      </c>
      <c r="F7" t="s">
        <v>23</v>
      </c>
    </row>
    <row r="8" spans="1:6" x14ac:dyDescent="0.2">
      <c r="A8" t="s">
        <v>113</v>
      </c>
      <c r="B8" s="21">
        <f>1/1.43</f>
        <v>0.69930069930069938</v>
      </c>
      <c r="C8">
        <v>0.19</v>
      </c>
      <c r="D8" t="s">
        <v>125</v>
      </c>
      <c r="E8">
        <v>0</v>
      </c>
      <c r="F8" t="s">
        <v>23</v>
      </c>
    </row>
    <row r="9" spans="1:6" x14ac:dyDescent="0.2">
      <c r="A9" t="s">
        <v>114</v>
      </c>
      <c r="B9" s="24">
        <v>0.7</v>
      </c>
      <c r="C9" s="23">
        <v>0.2</v>
      </c>
      <c r="D9" t="s">
        <v>126</v>
      </c>
      <c r="E9">
        <v>0</v>
      </c>
      <c r="F9" t="s">
        <v>23</v>
      </c>
    </row>
    <row r="10" spans="1:6" x14ac:dyDescent="0.2">
      <c r="A10" t="s">
        <v>115</v>
      </c>
      <c r="B10" s="46">
        <f>24.7/32</f>
        <v>0.77187499999999998</v>
      </c>
      <c r="C10" s="47">
        <f>0.02*Ref!B20</f>
        <v>2.3259999999999999E-2</v>
      </c>
      <c r="D10" s="47" t="s">
        <v>127</v>
      </c>
      <c r="E10">
        <v>0</v>
      </c>
      <c r="F10" t="s">
        <v>23</v>
      </c>
    </row>
    <row r="11" spans="1:6" x14ac:dyDescent="0.2">
      <c r="A11" t="s">
        <v>130</v>
      </c>
      <c r="B11">
        <f>AVERAGE(B6:B10)</f>
        <v>0.74065294253676606</v>
      </c>
      <c r="C11">
        <f>AVERAGE(C6:C10)</f>
        <v>0.10785199999999999</v>
      </c>
      <c r="D11" t="s">
        <v>119</v>
      </c>
      <c r="E11">
        <v>0</v>
      </c>
      <c r="F11" t="s">
        <v>23</v>
      </c>
    </row>
    <row r="12" spans="1:6" x14ac:dyDescent="0.2">
      <c r="A12" t="s">
        <v>135</v>
      </c>
      <c r="B12" s="21">
        <f>B$7</f>
        <v>0.77808901338313108</v>
      </c>
      <c r="C12" s="21">
        <f t="shared" ref="C12:D15" si="0">C$7</f>
        <v>0.126</v>
      </c>
      <c r="D12" s="21" t="str">
        <f t="shared" si="0"/>
        <v>coal coking - IPCC</v>
      </c>
      <c r="E12">
        <v>0</v>
      </c>
      <c r="F12" t="s">
        <v>23</v>
      </c>
    </row>
    <row r="13" spans="1:6" x14ac:dyDescent="0.2">
      <c r="A13" t="s">
        <v>136</v>
      </c>
      <c r="B13" s="21">
        <f t="shared" ref="B13:B15" si="1">B$7</f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6" x14ac:dyDescent="0.2">
      <c r="A14" t="s">
        <v>137</v>
      </c>
      <c r="B14" s="21">
        <f t="shared" si="1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6" x14ac:dyDescent="0.2">
      <c r="A15" t="s">
        <v>138</v>
      </c>
      <c r="B15" s="21">
        <f t="shared" si="1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">
      <c r="A2" s="2" t="s">
        <v>1</v>
      </c>
      <c r="B2" s="19" t="s">
        <v>68</v>
      </c>
      <c r="C2" s="5"/>
      <c r="D2" s="5"/>
    </row>
    <row r="3" spans="1:4" x14ac:dyDescent="0.2">
      <c r="A3" s="2" t="s">
        <v>2</v>
      </c>
      <c r="B3" s="5"/>
      <c r="C3" s="5"/>
      <c r="D3" s="5"/>
    </row>
    <row r="4" spans="1:4" x14ac:dyDescent="0.2">
      <c r="A4" t="s">
        <v>3</v>
      </c>
      <c r="B4" s="5"/>
      <c r="C4" s="5"/>
      <c r="D4" s="5"/>
    </row>
    <row r="5" spans="1:4" x14ac:dyDescent="0.2">
      <c r="A5" t="s">
        <v>56</v>
      </c>
      <c r="B5" s="5">
        <v>0.8</v>
      </c>
      <c r="C5" s="19" t="s">
        <v>129</v>
      </c>
      <c r="D5" s="5"/>
    </row>
    <row r="6" spans="1:4" x14ac:dyDescent="0.2">
      <c r="A6" t="s">
        <v>111</v>
      </c>
      <c r="B6" s="5">
        <v>0.8</v>
      </c>
      <c r="C6" s="19" t="s">
        <v>129</v>
      </c>
      <c r="D6" s="5"/>
    </row>
    <row r="7" spans="1:4" x14ac:dyDescent="0.2">
      <c r="A7" t="s">
        <v>112</v>
      </c>
      <c r="B7" s="5">
        <v>0.8</v>
      </c>
      <c r="C7" t="s">
        <v>128</v>
      </c>
      <c r="D7" s="5"/>
    </row>
    <row r="8" spans="1:4" x14ac:dyDescent="0.2">
      <c r="A8" t="s">
        <v>113</v>
      </c>
      <c r="B8" s="5">
        <v>0.8</v>
      </c>
      <c r="C8" t="s">
        <v>128</v>
      </c>
      <c r="D8" s="19" t="s">
        <v>77</v>
      </c>
    </row>
    <row r="9" spans="1:4" x14ac:dyDescent="0.2">
      <c r="A9" t="s">
        <v>114</v>
      </c>
      <c r="B9" s="5">
        <v>0.8</v>
      </c>
      <c r="C9" t="s">
        <v>122</v>
      </c>
      <c r="D9" s="19" t="s">
        <v>77</v>
      </c>
    </row>
    <row r="10" spans="1:4" x14ac:dyDescent="0.2">
      <c r="A10" t="s">
        <v>115</v>
      </c>
      <c r="B10" s="5">
        <v>0.8</v>
      </c>
      <c r="C10" t="s">
        <v>124</v>
      </c>
      <c r="D10" s="5"/>
    </row>
    <row r="11" spans="1:4" x14ac:dyDescent="0.2">
      <c r="A11" t="s">
        <v>135</v>
      </c>
      <c r="B11">
        <f t="shared" ref="B11:C14" si="0">B$7</f>
        <v>0.8</v>
      </c>
      <c r="C11" t="str">
        <f t="shared" si="0"/>
        <v>natural gas - IPCC</v>
      </c>
      <c r="D11" s="5"/>
    </row>
    <row r="12" spans="1:4" x14ac:dyDescent="0.2">
      <c r="A12" t="s">
        <v>136</v>
      </c>
      <c r="B12">
        <f t="shared" si="0"/>
        <v>0.8</v>
      </c>
      <c r="C12" t="str">
        <f t="shared" si="0"/>
        <v>natural gas - IPCC</v>
      </c>
    </row>
    <row r="13" spans="1:4" x14ac:dyDescent="0.2">
      <c r="A13" t="s">
        <v>137</v>
      </c>
      <c r="B13">
        <f t="shared" si="0"/>
        <v>0.8</v>
      </c>
      <c r="C13" t="str">
        <f t="shared" si="0"/>
        <v>natural gas - IPCC</v>
      </c>
    </row>
    <row r="14" spans="1:4" x14ac:dyDescent="0.2">
      <c r="A14" t="s">
        <v>138</v>
      </c>
      <c r="B14">
        <f t="shared" si="0"/>
        <v>0.8</v>
      </c>
      <c r="C14" t="str">
        <f t="shared" si="0"/>
        <v>natural gas - IPCC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23" bestFit="1" customWidth="1"/>
    <col min="2" max="2" width="13.6640625" customWidth="1"/>
  </cols>
  <sheetData>
    <row r="1" spans="1:6" x14ac:dyDescent="0.2">
      <c r="A1" s="38" t="s">
        <v>89</v>
      </c>
      <c r="B1" s="38" t="s">
        <v>90</v>
      </c>
      <c r="C1" s="39" t="s">
        <v>91</v>
      </c>
      <c r="D1" s="39" t="s">
        <v>9</v>
      </c>
      <c r="E1" s="39" t="s">
        <v>92</v>
      </c>
      <c r="F1" s="39" t="s">
        <v>93</v>
      </c>
    </row>
    <row r="2" spans="1:6" x14ac:dyDescent="0.2">
      <c r="A2" s="40" t="s">
        <v>79</v>
      </c>
      <c r="B2" s="41" t="s">
        <v>94</v>
      </c>
      <c r="C2" s="42" t="s">
        <v>95</v>
      </c>
      <c r="D2" s="42" t="s">
        <v>96</v>
      </c>
      <c r="E2" s="42" t="s">
        <v>97</v>
      </c>
      <c r="F2" s="43"/>
    </row>
    <row r="3" spans="1:6" x14ac:dyDescent="0.2">
      <c r="A3" s="40" t="s">
        <v>2</v>
      </c>
      <c r="B3" s="41" t="s">
        <v>98</v>
      </c>
      <c r="C3" s="42" t="s">
        <v>99</v>
      </c>
      <c r="D3" s="43"/>
      <c r="E3" s="43"/>
      <c r="F3" s="43"/>
    </row>
    <row r="4" spans="1:6" x14ac:dyDescent="0.2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">
      <c r="A5" s="42" t="s">
        <v>100</v>
      </c>
      <c r="B5" s="42">
        <v>0.63</v>
      </c>
      <c r="C5" s="43">
        <v>0.9</v>
      </c>
      <c r="D5" s="42">
        <v>1.05</v>
      </c>
      <c r="E5" s="43">
        <v>0</v>
      </c>
      <c r="F5" s="42" t="s">
        <v>101</v>
      </c>
    </row>
    <row r="6" spans="1:6" x14ac:dyDescent="0.2">
      <c r="A6" s="42" t="s">
        <v>102</v>
      </c>
      <c r="B6" s="42">
        <v>0.63</v>
      </c>
      <c r="C6" s="43">
        <v>0.9</v>
      </c>
      <c r="D6" s="42">
        <v>0.61</v>
      </c>
      <c r="E6" s="43">
        <v>3.2</v>
      </c>
      <c r="F6" s="42" t="s">
        <v>103</v>
      </c>
    </row>
    <row r="7" spans="1:6" x14ac:dyDescent="0.2">
      <c r="A7" s="42" t="s">
        <v>104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105</v>
      </c>
    </row>
    <row r="8" spans="1:6" x14ac:dyDescent="0.2">
      <c r="A8" t="s">
        <v>111</v>
      </c>
      <c r="B8" s="43">
        <v>1</v>
      </c>
      <c r="C8" s="43">
        <v>0.9</v>
      </c>
      <c r="D8" s="43">
        <v>0.5</v>
      </c>
      <c r="E8" s="43">
        <v>3</v>
      </c>
      <c r="F8" s="42" t="s">
        <v>103</v>
      </c>
    </row>
    <row r="9" spans="1:6" x14ac:dyDescent="0.2">
      <c r="A9" t="s">
        <v>112</v>
      </c>
      <c r="B9" s="43">
        <v>1</v>
      </c>
      <c r="C9" s="43">
        <v>0.9</v>
      </c>
      <c r="D9" s="43">
        <v>0.5</v>
      </c>
      <c r="E9" s="43">
        <v>3</v>
      </c>
      <c r="F9" s="42" t="s">
        <v>110</v>
      </c>
    </row>
    <row r="10" spans="1:6" x14ac:dyDescent="0.2">
      <c r="A10" t="s">
        <v>113</v>
      </c>
      <c r="B10" s="43">
        <v>1</v>
      </c>
      <c r="C10" s="43">
        <v>0.9</v>
      </c>
      <c r="D10" s="43">
        <v>0.5</v>
      </c>
      <c r="E10" s="43">
        <v>3</v>
      </c>
      <c r="F10" s="42" t="s">
        <v>110</v>
      </c>
    </row>
    <row r="11" spans="1:6" x14ac:dyDescent="0.2">
      <c r="A11" t="s">
        <v>114</v>
      </c>
      <c r="B11" s="43">
        <v>1</v>
      </c>
      <c r="C11" s="43">
        <v>0.9</v>
      </c>
      <c r="D11" s="43">
        <v>0.5</v>
      </c>
      <c r="E11" s="43">
        <v>3</v>
      </c>
      <c r="F11" s="42" t="s">
        <v>110</v>
      </c>
    </row>
    <row r="12" spans="1:6" x14ac:dyDescent="0.2">
      <c r="A12" t="s">
        <v>115</v>
      </c>
      <c r="B12" s="43">
        <v>1</v>
      </c>
      <c r="C12" s="43">
        <v>0.9</v>
      </c>
      <c r="D12" s="43">
        <v>0.5</v>
      </c>
      <c r="E12" s="43">
        <v>3</v>
      </c>
      <c r="F12" s="42" t="s">
        <v>110</v>
      </c>
    </row>
    <row r="13" spans="1:6" x14ac:dyDescent="0.2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">
      <c r="A14" t="s">
        <v>135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">
      <c r="A15" t="s">
        <v>136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">
      <c r="A16" t="s">
        <v>137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">
      <c r="A17" t="s">
        <v>138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A11" sqref="A11:A14"/>
    </sheetView>
  </sheetViews>
  <sheetFormatPr baseColWidth="10" defaultColWidth="8.83203125" defaultRowHeight="15" x14ac:dyDescent="0.2"/>
  <sheetData>
    <row r="1" spans="1:3" x14ac:dyDescent="0.2">
      <c r="A1" s="38" t="s">
        <v>89</v>
      </c>
      <c r="B1" t="s">
        <v>106</v>
      </c>
      <c r="C1" t="s">
        <v>107</v>
      </c>
    </row>
    <row r="2" spans="1:3" x14ac:dyDescent="0.2">
      <c r="A2" s="40" t="s">
        <v>79</v>
      </c>
      <c r="B2" t="s">
        <v>108</v>
      </c>
      <c r="C2" t="s">
        <v>109</v>
      </c>
    </row>
    <row r="3" spans="1:3" x14ac:dyDescent="0.2">
      <c r="A3" s="40" t="s">
        <v>2</v>
      </c>
    </row>
    <row r="4" spans="1:3" x14ac:dyDescent="0.2">
      <c r="A4" s="41" t="s">
        <v>3</v>
      </c>
      <c r="B4">
        <v>0</v>
      </c>
      <c r="C4">
        <v>0</v>
      </c>
    </row>
    <row r="5" spans="1:3" x14ac:dyDescent="0.2">
      <c r="A5" t="s">
        <v>111</v>
      </c>
      <c r="B5">
        <v>0.01</v>
      </c>
      <c r="C5">
        <v>0</v>
      </c>
    </row>
    <row r="6" spans="1:3" x14ac:dyDescent="0.2">
      <c r="A6" t="s">
        <v>112</v>
      </c>
      <c r="B6">
        <v>0.01</v>
      </c>
      <c r="C6">
        <v>0</v>
      </c>
    </row>
    <row r="7" spans="1:3" x14ac:dyDescent="0.2">
      <c r="A7" t="s">
        <v>113</v>
      </c>
      <c r="B7">
        <v>0.01</v>
      </c>
      <c r="C7">
        <v>0</v>
      </c>
    </row>
    <row r="8" spans="1:3" x14ac:dyDescent="0.2">
      <c r="A8" t="s">
        <v>114</v>
      </c>
      <c r="B8">
        <v>0.01</v>
      </c>
      <c r="C8">
        <v>0</v>
      </c>
    </row>
    <row r="9" spans="1:3" x14ac:dyDescent="0.2">
      <c r="A9" t="s">
        <v>115</v>
      </c>
      <c r="B9">
        <v>0.01</v>
      </c>
      <c r="C9">
        <v>0</v>
      </c>
    </row>
    <row r="10" spans="1:3" x14ac:dyDescent="0.2">
      <c r="A10" t="s">
        <v>56</v>
      </c>
      <c r="B10">
        <v>0.01</v>
      </c>
      <c r="C10">
        <v>0</v>
      </c>
    </row>
    <row r="11" spans="1:3" x14ac:dyDescent="0.2">
      <c r="A11" t="s">
        <v>135</v>
      </c>
      <c r="B11">
        <f>B$6</f>
        <v>0.01</v>
      </c>
      <c r="C11">
        <f t="shared" ref="C11:C14" si="0">C$6</f>
        <v>0</v>
      </c>
    </row>
    <row r="12" spans="1:3" x14ac:dyDescent="0.2">
      <c r="A12" t="s">
        <v>136</v>
      </c>
      <c r="B12">
        <f t="shared" ref="B12:B14" si="1">B$6</f>
        <v>0.01</v>
      </c>
      <c r="C12">
        <f t="shared" si="0"/>
        <v>0</v>
      </c>
    </row>
    <row r="13" spans="1:3" x14ac:dyDescent="0.2">
      <c r="A13" t="s">
        <v>137</v>
      </c>
      <c r="B13">
        <f t="shared" si="1"/>
        <v>0.01</v>
      </c>
      <c r="C13">
        <f t="shared" si="0"/>
        <v>0</v>
      </c>
    </row>
    <row r="14" spans="1:3" x14ac:dyDescent="0.2">
      <c r="A14" t="s">
        <v>138</v>
      </c>
      <c r="B14">
        <f t="shared" si="1"/>
        <v>0.01</v>
      </c>
      <c r="C14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4.83203125" bestFit="1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t="16" x14ac:dyDescent="0.2">
      <c r="A5" t="s">
        <v>56</v>
      </c>
      <c r="B5" s="45" t="s">
        <v>67</v>
      </c>
      <c r="C5" s="23" t="s">
        <v>23</v>
      </c>
      <c r="D5" s="23" t="s">
        <v>69</v>
      </c>
    </row>
    <row r="6" spans="1:4" ht="16" x14ac:dyDescent="0.2">
      <c r="A6" t="s">
        <v>111</v>
      </c>
      <c r="B6" s="45" t="s">
        <v>67</v>
      </c>
      <c r="C6" s="23" t="s">
        <v>23</v>
      </c>
      <c r="D6" s="23" t="s">
        <v>69</v>
      </c>
    </row>
    <row r="7" spans="1:4" ht="16" x14ac:dyDescent="0.2">
      <c r="A7" t="s">
        <v>112</v>
      </c>
      <c r="B7" s="45" t="s">
        <v>67</v>
      </c>
      <c r="C7" s="23" t="s">
        <v>23</v>
      </c>
      <c r="D7" s="23" t="s">
        <v>69</v>
      </c>
    </row>
    <row r="8" spans="1:4" ht="16" x14ac:dyDescent="0.2">
      <c r="A8" t="s">
        <v>113</v>
      </c>
      <c r="B8" s="45" t="s">
        <v>67</v>
      </c>
      <c r="C8" s="23" t="s">
        <v>23</v>
      </c>
      <c r="D8" s="23" t="s">
        <v>69</v>
      </c>
    </row>
    <row r="9" spans="1:4" ht="16" x14ac:dyDescent="0.2">
      <c r="A9" t="s">
        <v>114</v>
      </c>
      <c r="B9" s="45" t="s">
        <v>67</v>
      </c>
      <c r="C9" s="23" t="s">
        <v>23</v>
      </c>
      <c r="D9" s="23" t="s">
        <v>69</v>
      </c>
    </row>
    <row r="10" spans="1:4" ht="16" x14ac:dyDescent="0.2">
      <c r="A10" t="s">
        <v>115</v>
      </c>
      <c r="B10" s="45" t="s">
        <v>67</v>
      </c>
      <c r="C10" s="23" t="s">
        <v>23</v>
      </c>
      <c r="D10" s="23" t="s">
        <v>69</v>
      </c>
    </row>
    <row r="11" spans="1:4" ht="32" x14ac:dyDescent="0.2">
      <c r="A11" t="s">
        <v>135</v>
      </c>
      <c r="B11" s="45" t="s">
        <v>119</v>
      </c>
      <c r="C11" s="23" t="s">
        <v>23</v>
      </c>
      <c r="D11" s="23" t="s">
        <v>69</v>
      </c>
    </row>
    <row r="12" spans="1:4" ht="32" x14ac:dyDescent="0.2">
      <c r="A12" t="s">
        <v>136</v>
      </c>
      <c r="B12" s="45" t="s">
        <v>119</v>
      </c>
      <c r="C12" s="23" t="s">
        <v>23</v>
      </c>
      <c r="D12" s="23" t="s">
        <v>69</v>
      </c>
    </row>
    <row r="13" spans="1:4" ht="32" x14ac:dyDescent="0.2">
      <c r="A13" t="s">
        <v>137</v>
      </c>
      <c r="B13" s="45" t="s">
        <v>119</v>
      </c>
      <c r="C13" s="23" t="s">
        <v>23</v>
      </c>
      <c r="D13" s="23" t="s">
        <v>69</v>
      </c>
    </row>
    <row r="14" spans="1:4" ht="32" x14ac:dyDescent="0.2">
      <c r="A14" t="s">
        <v>138</v>
      </c>
      <c r="B14" s="45" t="s">
        <v>119</v>
      </c>
      <c r="C14" s="23" t="s">
        <v>23</v>
      </c>
      <c r="D14" s="23" t="s">
        <v>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28</v>
      </c>
      <c r="B1" s="5"/>
      <c r="C1" s="5"/>
    </row>
    <row r="2" spans="1:3" x14ac:dyDescent="0.2">
      <c r="A2" s="4" t="s">
        <v>29</v>
      </c>
      <c r="B2" s="5"/>
      <c r="C2" s="5"/>
    </row>
    <row r="3" spans="1:3" x14ac:dyDescent="0.2">
      <c r="A3" s="6"/>
      <c r="B3" s="7" t="s">
        <v>30</v>
      </c>
      <c r="C3" s="8" t="s">
        <v>31</v>
      </c>
    </row>
    <row r="4" spans="1:3" x14ac:dyDescent="0.2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41</v>
      </c>
      <c r="B15" s="15"/>
      <c r="C15" s="15"/>
    </row>
    <row r="16" spans="1:3" x14ac:dyDescent="0.2">
      <c r="A16" s="29"/>
      <c r="B16" s="16" t="s">
        <v>42</v>
      </c>
      <c r="C16" s="16"/>
    </row>
    <row r="17" spans="1:3" x14ac:dyDescent="0.2">
      <c r="A17" s="29" t="s">
        <v>43</v>
      </c>
      <c r="B17" s="32">
        <v>3.6</v>
      </c>
      <c r="C17" s="10"/>
    </row>
    <row r="18" spans="1:3" x14ac:dyDescent="0.2">
      <c r="A18" s="29" t="s">
        <v>44</v>
      </c>
      <c r="B18" s="32">
        <f>B17/1000</f>
        <v>3.5999999999999999E-3</v>
      </c>
      <c r="C18" s="10"/>
    </row>
    <row r="19" spans="1:3" x14ac:dyDescent="0.2">
      <c r="A19" s="29" t="s">
        <v>45</v>
      </c>
      <c r="B19" s="32">
        <f>1/0.022414</f>
        <v>44.614972784866602</v>
      </c>
      <c r="C19" s="10"/>
    </row>
    <row r="20" spans="1:3" x14ac:dyDescent="0.2">
      <c r="A20" s="28" t="s">
        <v>78</v>
      </c>
      <c r="B20" s="30">
        <f>1.163</f>
        <v>1.163</v>
      </c>
    </row>
    <row r="21" spans="1:3" x14ac:dyDescent="0.2">
      <c r="A21" s="28" t="s">
        <v>81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B12" sqref="B12:C15"/>
    </sheetView>
  </sheetViews>
  <sheetFormatPr baseColWidth="10" defaultColWidth="8.83203125" defaultRowHeight="15" x14ac:dyDescent="0.2"/>
  <cols>
    <col min="2" max="2" width="8.5" bestFit="1" customWidth="1"/>
  </cols>
  <sheetData>
    <row r="1" spans="1:4" x14ac:dyDescent="0.2">
      <c r="A1" s="1" t="s">
        <v>0</v>
      </c>
      <c r="B1" t="s">
        <v>8</v>
      </c>
      <c r="C1" t="s">
        <v>9</v>
      </c>
      <c r="D1" t="s">
        <v>85</v>
      </c>
    </row>
    <row r="2" spans="1:4" x14ac:dyDescent="0.2">
      <c r="A2" s="2" t="s">
        <v>1</v>
      </c>
      <c r="B2" t="s">
        <v>65</v>
      </c>
      <c r="C2" t="s">
        <v>66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56</v>
      </c>
      <c r="B5">
        <v>0.1</v>
      </c>
      <c r="C5">
        <v>0.1</v>
      </c>
    </row>
    <row r="6" spans="1:4" x14ac:dyDescent="0.2">
      <c r="A6" t="s">
        <v>111</v>
      </c>
      <c r="B6" s="23">
        <v>7.0000000000000007E-2</v>
      </c>
      <c r="C6" s="23">
        <v>0.108</v>
      </c>
    </row>
    <row r="7" spans="1:4" x14ac:dyDescent="0.2">
      <c r="A7" t="s">
        <v>112</v>
      </c>
      <c r="B7">
        <v>7.0000000000000007E-2</v>
      </c>
      <c r="C7">
        <v>0.108</v>
      </c>
    </row>
    <row r="8" spans="1:4" x14ac:dyDescent="0.2">
      <c r="A8" t="s">
        <v>113</v>
      </c>
      <c r="B8" s="23">
        <v>7.0000000000000007E-2</v>
      </c>
      <c r="C8" s="23">
        <v>0.108</v>
      </c>
    </row>
    <row r="9" spans="1:4" x14ac:dyDescent="0.2">
      <c r="A9" t="s">
        <v>114</v>
      </c>
      <c r="B9" s="23">
        <v>7.0000000000000007E-2</v>
      </c>
      <c r="C9">
        <f>17*Ref!B18</f>
        <v>6.1199999999999997E-2</v>
      </c>
      <c r="D9" s="35" t="s">
        <v>86</v>
      </c>
    </row>
    <row r="10" spans="1:4" x14ac:dyDescent="0.2">
      <c r="A10" t="s">
        <v>115</v>
      </c>
      <c r="B10" s="23">
        <v>7.0000000000000007E-2</v>
      </c>
      <c r="C10" s="23">
        <v>0.108</v>
      </c>
    </row>
    <row r="11" spans="1:4" x14ac:dyDescent="0.2">
      <c r="A11" t="s">
        <v>130</v>
      </c>
      <c r="B11">
        <f>AVERAGE(B6:B10)</f>
        <v>7.0000000000000007E-2</v>
      </c>
      <c r="C11">
        <f>AVERAGE(C6:C10)</f>
        <v>9.8639999999999992E-2</v>
      </c>
    </row>
    <row r="12" spans="1:4" x14ac:dyDescent="0.2">
      <c r="A12" t="s">
        <v>135</v>
      </c>
      <c r="B12">
        <f>B$7</f>
        <v>7.0000000000000007E-2</v>
      </c>
      <c r="C12">
        <f t="shared" ref="C12:C15" si="0">C$7</f>
        <v>0.108</v>
      </c>
    </row>
    <row r="13" spans="1:4" x14ac:dyDescent="0.2">
      <c r="A13" t="s">
        <v>136</v>
      </c>
      <c r="B13">
        <f t="shared" ref="B13:B15" si="1">B$7</f>
        <v>7.0000000000000007E-2</v>
      </c>
      <c r="C13">
        <f t="shared" si="0"/>
        <v>0.108</v>
      </c>
    </row>
    <row r="14" spans="1:4" x14ac:dyDescent="0.2">
      <c r="A14" t="s">
        <v>137</v>
      </c>
      <c r="B14">
        <f t="shared" si="1"/>
        <v>7.0000000000000007E-2</v>
      </c>
      <c r="C14">
        <f t="shared" si="0"/>
        <v>0.108</v>
      </c>
    </row>
    <row r="15" spans="1:4" x14ac:dyDescent="0.2">
      <c r="A15" t="s">
        <v>138</v>
      </c>
      <c r="B15">
        <f t="shared" si="1"/>
        <v>7.0000000000000007E-2</v>
      </c>
      <c r="C15">
        <f t="shared" si="0"/>
        <v>0.108</v>
      </c>
    </row>
  </sheetData>
  <hyperlinks>
    <hyperlink ref="D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D16" sqref="D16"/>
    </sheetView>
  </sheetViews>
  <sheetFormatPr baseColWidth="10" defaultColWidth="8.83203125" defaultRowHeight="15" x14ac:dyDescent="0.2"/>
  <cols>
    <col min="2" max="2" width="12.3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56</v>
      </c>
      <c r="B5">
        <v>0.01</v>
      </c>
      <c r="C5" t="s">
        <v>116</v>
      </c>
      <c r="D5">
        <v>0</v>
      </c>
      <c r="E5" t="s">
        <v>23</v>
      </c>
      <c r="F5">
        <v>0</v>
      </c>
      <c r="G5">
        <v>0.1</v>
      </c>
    </row>
    <row r="6" spans="1:7" x14ac:dyDescent="0.2">
      <c r="A6" t="s">
        <v>111</v>
      </c>
      <c r="B6">
        <v>0</v>
      </c>
      <c r="C6" t="s">
        <v>117</v>
      </c>
      <c r="D6">
        <v>0</v>
      </c>
      <c r="E6" t="s">
        <v>23</v>
      </c>
      <c r="F6">
        <v>0</v>
      </c>
      <c r="G6">
        <v>0</v>
      </c>
    </row>
    <row r="7" spans="1:7" x14ac:dyDescent="0.2">
      <c r="A7" t="s">
        <v>112</v>
      </c>
      <c r="B7">
        <v>0</v>
      </c>
      <c r="C7" t="s">
        <v>116</v>
      </c>
      <c r="D7">
        <v>0</v>
      </c>
      <c r="E7" t="s">
        <v>23</v>
      </c>
      <c r="F7">
        <v>0</v>
      </c>
      <c r="G7">
        <v>0</v>
      </c>
    </row>
    <row r="8" spans="1:7" x14ac:dyDescent="0.2">
      <c r="A8" t="s">
        <v>113</v>
      </c>
      <c r="B8">
        <v>0.01</v>
      </c>
      <c r="C8" t="s">
        <v>120</v>
      </c>
      <c r="D8">
        <v>0</v>
      </c>
      <c r="E8" t="s">
        <v>23</v>
      </c>
      <c r="F8">
        <v>0.3</v>
      </c>
      <c r="G8">
        <v>0.14000000000000001</v>
      </c>
    </row>
    <row r="9" spans="1:7" x14ac:dyDescent="0.2">
      <c r="A9" t="s">
        <v>114</v>
      </c>
      <c r="B9" s="23">
        <v>0.01</v>
      </c>
      <c r="C9" t="s">
        <v>116</v>
      </c>
      <c r="D9">
        <v>0</v>
      </c>
      <c r="E9" t="s">
        <v>23</v>
      </c>
      <c r="F9" s="23">
        <v>0</v>
      </c>
      <c r="G9" s="23">
        <v>0</v>
      </c>
    </row>
    <row r="10" spans="1:7" x14ac:dyDescent="0.2">
      <c r="A10" t="s">
        <v>115</v>
      </c>
      <c r="B10" s="33">
        <v>2.5999999999999999E-2</v>
      </c>
      <c r="C10" t="s">
        <v>119</v>
      </c>
      <c r="D10">
        <v>0</v>
      </c>
      <c r="E10" t="s">
        <v>23</v>
      </c>
      <c r="F10" s="23">
        <v>0</v>
      </c>
      <c r="G10" s="34">
        <f>26*Ref!B21*Ref!B18</f>
        <v>8.4912592646351759E-2</v>
      </c>
    </row>
    <row r="11" spans="1:7" x14ac:dyDescent="0.2">
      <c r="A11" t="s">
        <v>130</v>
      </c>
      <c r="B11">
        <f>AVERAGE(B6:B10)</f>
        <v>9.1999999999999998E-3</v>
      </c>
      <c r="D11">
        <f>AVERAGE(D6:D10)</f>
        <v>0</v>
      </c>
      <c r="F11">
        <f>AVERAGE(F6:F10)</f>
        <v>0.06</v>
      </c>
      <c r="G11">
        <f>AVERAGE(G6:G10)</f>
        <v>4.4982518529270356E-2</v>
      </c>
    </row>
    <row r="12" spans="1:7" x14ac:dyDescent="0.2">
      <c r="A12" t="s">
        <v>135</v>
      </c>
      <c r="B12">
        <f t="shared" ref="B12:G12" si="0">B$7</f>
        <v>0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0</v>
      </c>
      <c r="G12">
        <f t="shared" si="0"/>
        <v>0</v>
      </c>
    </row>
    <row r="13" spans="1:7" x14ac:dyDescent="0.2">
      <c r="A13" t="s">
        <v>136</v>
      </c>
      <c r="B13">
        <f t="shared" ref="B13:C15" si="1">B$7</f>
        <v>0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0</v>
      </c>
      <c r="G13">
        <f t="shared" si="2"/>
        <v>0</v>
      </c>
    </row>
    <row r="14" spans="1:7" x14ac:dyDescent="0.2">
      <c r="A14" t="s">
        <v>137</v>
      </c>
      <c r="B14">
        <f t="shared" si="1"/>
        <v>0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0</v>
      </c>
      <c r="G14">
        <f t="shared" si="2"/>
        <v>0</v>
      </c>
    </row>
    <row r="15" spans="1:7" x14ac:dyDescent="0.2">
      <c r="A15" t="s">
        <v>138</v>
      </c>
      <c r="B15">
        <f t="shared" si="1"/>
        <v>0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0</v>
      </c>
      <c r="G15">
        <f t="shared" si="2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opLeftCell="A4" workbookViewId="0">
      <selection activeCell="C19" sqref="C19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9" bestFit="1" customWidth="1"/>
    <col min="4" max="4" width="17.83203125" bestFit="1" customWidth="1"/>
    <col min="5" max="5" width="11.83203125" bestFit="1" customWidth="1"/>
    <col min="6" max="6" width="12.6640625" bestFit="1" customWidth="1"/>
    <col min="7" max="7" width="17.8320312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">
      <c r="A3" s="2" t="s">
        <v>2</v>
      </c>
    </row>
    <row r="4" spans="1:8" x14ac:dyDescent="0.2">
      <c r="A4" t="s">
        <v>3</v>
      </c>
    </row>
    <row r="5" spans="1:8" x14ac:dyDescent="0.2">
      <c r="A5" t="s">
        <v>56</v>
      </c>
      <c r="B5">
        <v>0.04</v>
      </c>
      <c r="C5" t="s">
        <v>116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">
      <c r="A6" t="s">
        <v>111</v>
      </c>
      <c r="B6">
        <v>5.1040000000000002E-2</v>
      </c>
      <c r="C6" t="s">
        <v>117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">
      <c r="A7" t="s">
        <v>112</v>
      </c>
      <c r="B7">
        <v>0.05</v>
      </c>
      <c r="C7" t="s">
        <v>116</v>
      </c>
      <c r="D7">
        <v>0</v>
      </c>
      <c r="E7" t="s">
        <v>23</v>
      </c>
      <c r="F7">
        <v>9.4E-2</v>
      </c>
      <c r="G7">
        <v>1.1520000000000001E-2</v>
      </c>
    </row>
    <row r="8" spans="1:8" x14ac:dyDescent="0.2">
      <c r="A8" t="s">
        <v>113</v>
      </c>
      <c r="B8">
        <v>0.04</v>
      </c>
      <c r="C8" t="s">
        <v>120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">
      <c r="A9" t="s">
        <v>114</v>
      </c>
      <c r="B9" s="23">
        <v>0.05</v>
      </c>
      <c r="C9" t="s">
        <v>116</v>
      </c>
      <c r="D9">
        <v>0</v>
      </c>
      <c r="E9" t="s">
        <v>23</v>
      </c>
      <c r="F9" s="33">
        <v>8.4699999999999998E-2</v>
      </c>
      <c r="G9" s="23">
        <v>0.05</v>
      </c>
    </row>
    <row r="10" spans="1:8" x14ac:dyDescent="0.2">
      <c r="A10" t="s">
        <v>115</v>
      </c>
      <c r="B10" s="33">
        <f>1.4*Ref!B20/28</f>
        <v>5.8149999999999993E-2</v>
      </c>
      <c r="C10" t="s">
        <v>123</v>
      </c>
      <c r="D10" s="33">
        <v>0</v>
      </c>
      <c r="E10" s="33" t="s">
        <v>23</v>
      </c>
      <c r="F10" s="23">
        <f>0.15*0.56</f>
        <v>8.4000000000000005E-2</v>
      </c>
      <c r="G10" s="34">
        <f>26*Ref!B21*Ref!B18</f>
        <v>8.4912592646351759E-2</v>
      </c>
      <c r="H10" t="s">
        <v>84</v>
      </c>
    </row>
    <row r="11" spans="1:8" x14ac:dyDescent="0.2">
      <c r="A11" t="s">
        <v>131</v>
      </c>
      <c r="B11">
        <f>B10</f>
        <v>5.8149999999999993E-2</v>
      </c>
      <c r="C11" t="s">
        <v>116</v>
      </c>
      <c r="D11">
        <v>0</v>
      </c>
      <c r="E11" t="s">
        <v>23</v>
      </c>
      <c r="F11" s="23">
        <f>0.15*0.56</f>
        <v>8.4000000000000005E-2</v>
      </c>
      <c r="G11" s="23">
        <v>0.05</v>
      </c>
    </row>
    <row r="12" spans="1:8" x14ac:dyDescent="0.2">
      <c r="A12" t="s">
        <v>130</v>
      </c>
      <c r="B12" s="48">
        <f>AVERAGE(B6:B11)</f>
        <v>5.1223333333333322E-2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5.9030098774391963E-2</v>
      </c>
    </row>
    <row r="13" spans="1:8" x14ac:dyDescent="0.2">
      <c r="A13" t="s">
        <v>135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1.1520000000000001E-2</v>
      </c>
    </row>
    <row r="14" spans="1:8" x14ac:dyDescent="0.2">
      <c r="A14" t="s">
        <v>136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1.1520000000000001E-2</v>
      </c>
    </row>
    <row r="15" spans="1:8" x14ac:dyDescent="0.2">
      <c r="A15" t="s">
        <v>137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1.1520000000000001E-2</v>
      </c>
    </row>
    <row r="16" spans="1:8" x14ac:dyDescent="0.2">
      <c r="A16" t="s">
        <v>138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1.1520000000000001E-2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5477-C9C4-FB43-AD00-3DA51A282F72}">
  <dimension ref="A1:M16"/>
  <sheetViews>
    <sheetView workbookViewId="0">
      <selection activeCell="G37" sqref="G37"/>
    </sheetView>
  </sheetViews>
  <sheetFormatPr baseColWidth="10" defaultRowHeight="15" x14ac:dyDescent="0.2"/>
  <sheetData>
    <row r="1" spans="1:13" x14ac:dyDescent="0.2">
      <c r="A1" s="1" t="s">
        <v>0</v>
      </c>
      <c r="B1" s="3" t="s">
        <v>26</v>
      </c>
      <c r="C1" s="3" t="s">
        <v>27</v>
      </c>
      <c r="D1" s="3" t="s">
        <v>19</v>
      </c>
      <c r="E1" t="s">
        <v>51</v>
      </c>
      <c r="F1" t="s">
        <v>52</v>
      </c>
      <c r="G1" t="s">
        <v>53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G2" s="2" t="s">
        <v>54</v>
      </c>
      <c r="I2" s="2" t="s">
        <v>55</v>
      </c>
      <c r="K2" t="s">
        <v>54</v>
      </c>
      <c r="M2" t="s">
        <v>58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  <c r="B4">
        <f>B7</f>
        <v>1.1200000000000001</v>
      </c>
      <c r="C4">
        <f>C7</f>
        <v>0</v>
      </c>
      <c r="D4">
        <f>D7</f>
        <v>7.28E-3</v>
      </c>
      <c r="E4">
        <f>E7</f>
        <v>0.3548</v>
      </c>
      <c r="F4" t="str">
        <f>F7</f>
        <v>coke - IPCC</v>
      </c>
      <c r="G4">
        <f>G7</f>
        <v>0</v>
      </c>
      <c r="H4" t="str">
        <f>H7</f>
        <v>charcoal</v>
      </c>
      <c r="I4">
        <f>I7</f>
        <v>0.152</v>
      </c>
      <c r="J4" t="str">
        <f>J11</f>
        <v>coal coking - IPCC</v>
      </c>
      <c r="K4">
        <f>K7</f>
        <v>0</v>
      </c>
      <c r="L4" t="str">
        <f>L7</f>
        <v>charcoal</v>
      </c>
      <c r="M4">
        <f>M7</f>
        <v>0.10444000000000001</v>
      </c>
    </row>
    <row r="5" spans="1:13" x14ac:dyDescent="0.2">
      <c r="A5" t="s">
        <v>56</v>
      </c>
      <c r="B5">
        <v>1.1499999999999999</v>
      </c>
      <c r="C5">
        <v>0.15</v>
      </c>
      <c r="D5" s="3">
        <v>0.15</v>
      </c>
      <c r="E5" s="3">
        <v>0.3</v>
      </c>
      <c r="F5" t="s">
        <v>116</v>
      </c>
      <c r="G5">
        <v>0.5</v>
      </c>
      <c r="H5" t="s">
        <v>23</v>
      </c>
      <c r="I5">
        <v>0.2</v>
      </c>
      <c r="J5" t="str">
        <f>J8</f>
        <v>coal PCI - JP IPCC</v>
      </c>
      <c r="K5">
        <v>0.3</v>
      </c>
      <c r="L5" t="s">
        <v>23</v>
      </c>
      <c r="M5">
        <v>0.24</v>
      </c>
    </row>
    <row r="6" spans="1:13" x14ac:dyDescent="0.2">
      <c r="A6" t="s">
        <v>111</v>
      </c>
      <c r="B6">
        <v>1.3141700000000001</v>
      </c>
      <c r="C6">
        <v>0</v>
      </c>
      <c r="D6" s="23">
        <f>0.04*(0.56)</f>
        <v>2.2400000000000003E-2</v>
      </c>
      <c r="E6">
        <v>0.28799999999999998</v>
      </c>
      <c r="F6" t="s">
        <v>117</v>
      </c>
      <c r="G6">
        <v>0</v>
      </c>
      <c r="H6" t="s">
        <v>23</v>
      </c>
      <c r="I6">
        <v>0.20499999999999999</v>
      </c>
      <c r="J6" t="s">
        <v>118</v>
      </c>
      <c r="K6">
        <v>0</v>
      </c>
      <c r="L6" t="s">
        <v>23</v>
      </c>
      <c r="M6">
        <f>(110-36.44)*Ref!B18</f>
        <v>0.264816</v>
      </c>
    </row>
    <row r="7" spans="1:13" x14ac:dyDescent="0.2">
      <c r="A7" t="s">
        <v>112</v>
      </c>
      <c r="B7">
        <v>1.1200000000000001</v>
      </c>
      <c r="C7">
        <v>0</v>
      </c>
      <c r="D7" s="22">
        <f>0.013*(56/100)</f>
        <v>7.28E-3</v>
      </c>
      <c r="E7">
        <v>0.3548</v>
      </c>
      <c r="F7" t="s">
        <v>116</v>
      </c>
      <c r="G7">
        <v>0</v>
      </c>
      <c r="H7" t="s">
        <v>23</v>
      </c>
      <c r="I7">
        <v>0.152</v>
      </c>
      <c r="J7" t="s">
        <v>119</v>
      </c>
      <c r="K7">
        <v>0</v>
      </c>
      <c r="L7" t="s">
        <v>23</v>
      </c>
      <c r="M7" s="21">
        <v>0.10444000000000001</v>
      </c>
    </row>
    <row r="8" spans="1:13" x14ac:dyDescent="0.2">
      <c r="A8" t="s">
        <v>113</v>
      </c>
      <c r="B8">
        <v>1.17</v>
      </c>
      <c r="C8">
        <v>0.12</v>
      </c>
      <c r="D8" s="23">
        <f>0.04*(0.56)</f>
        <v>2.2400000000000003E-2</v>
      </c>
      <c r="E8" s="3">
        <v>0.36499999999999999</v>
      </c>
      <c r="F8" t="s">
        <v>120</v>
      </c>
      <c r="G8">
        <v>0</v>
      </c>
      <c r="H8" t="s">
        <v>23</v>
      </c>
      <c r="I8">
        <v>0.14000000000000001</v>
      </c>
      <c r="J8" t="s">
        <v>121</v>
      </c>
      <c r="K8">
        <v>0</v>
      </c>
      <c r="L8" t="s">
        <v>23</v>
      </c>
      <c r="M8">
        <v>0.24</v>
      </c>
    </row>
    <row r="9" spans="1:13" x14ac:dyDescent="0.2">
      <c r="A9" t="s">
        <v>114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3">
        <v>0.45300000000000001</v>
      </c>
      <c r="F9" t="s">
        <v>116</v>
      </c>
      <c r="G9" s="3">
        <v>0</v>
      </c>
      <c r="H9" t="s">
        <v>23</v>
      </c>
      <c r="I9" s="3">
        <v>9.1600000000000001E-2</v>
      </c>
      <c r="J9" t="s">
        <v>122</v>
      </c>
      <c r="K9">
        <v>0</v>
      </c>
      <c r="L9" t="s">
        <v>23</v>
      </c>
      <c r="M9" s="23">
        <v>0.2</v>
      </c>
    </row>
    <row r="10" spans="1:13" x14ac:dyDescent="0.2">
      <c r="A10" t="s">
        <v>115</v>
      </c>
      <c r="B10">
        <v>0</v>
      </c>
      <c r="C10" s="26">
        <f>70.2/54.4</f>
        <v>1.2904411764705883</v>
      </c>
      <c r="D10" s="33">
        <f>0.25*0.56</f>
        <v>0.14000000000000001</v>
      </c>
      <c r="E10" s="33">
        <v>0.32500000000000001</v>
      </c>
      <c r="F10" t="s">
        <v>123</v>
      </c>
      <c r="G10" s="3">
        <v>0</v>
      </c>
      <c r="H10" t="s">
        <v>23</v>
      </c>
      <c r="I10" s="33">
        <v>0.16</v>
      </c>
      <c r="J10" t="s">
        <v>124</v>
      </c>
      <c r="K10">
        <v>0</v>
      </c>
      <c r="L10" t="s">
        <v>23</v>
      </c>
      <c r="M10">
        <f>0.06*Ref!B20</f>
        <v>6.9779999999999995E-2</v>
      </c>
    </row>
    <row r="11" spans="1:13" x14ac:dyDescent="0.2">
      <c r="A11" t="s">
        <v>131</v>
      </c>
      <c r="B11" s="23">
        <v>1.3</v>
      </c>
      <c r="C11" s="23">
        <v>0</v>
      </c>
      <c r="D11" s="23">
        <v>0.01</v>
      </c>
      <c r="E11" s="3">
        <v>0.59</v>
      </c>
      <c r="F11" t="s">
        <v>116</v>
      </c>
      <c r="G11" s="3">
        <v>0</v>
      </c>
      <c r="H11" t="s">
        <v>23</v>
      </c>
      <c r="I11" s="3">
        <v>0.11</v>
      </c>
      <c r="J11" t="s">
        <v>119</v>
      </c>
      <c r="K11">
        <v>0</v>
      </c>
      <c r="L11" t="s">
        <v>23</v>
      </c>
      <c r="M11" s="23">
        <v>0.1</v>
      </c>
    </row>
    <row r="12" spans="1:13" x14ac:dyDescent="0.2">
      <c r="A12" t="s">
        <v>134</v>
      </c>
      <c r="B12" s="49">
        <f>AVERAGE(B6:B11)</f>
        <v>0.98027833333333325</v>
      </c>
      <c r="C12" s="49">
        <f>AVERAGE(C6:C11)</f>
        <v>0.26382352941176473</v>
      </c>
      <c r="D12" s="49">
        <f>AVERAGE(D6:D11)</f>
        <v>3.741333333333334E-2</v>
      </c>
      <c r="E12" s="49">
        <f>AVERAGE(E6:E11)</f>
        <v>0.39596666666666663</v>
      </c>
      <c r="F12" t="s">
        <v>116</v>
      </c>
      <c r="G12" s="49">
        <f>AVERAGE(G6:G11)</f>
        <v>0</v>
      </c>
      <c r="H12" t="s">
        <v>23</v>
      </c>
      <c r="I12" s="49">
        <f>AVERAGE(I6:I11)</f>
        <v>0.1431</v>
      </c>
      <c r="J12" t="s">
        <v>119</v>
      </c>
      <c r="K12" s="49">
        <f>AVERAGE(K6:K11)</f>
        <v>0</v>
      </c>
      <c r="L12" t="s">
        <v>23</v>
      </c>
      <c r="M12" s="49">
        <f>AVERAGE(M5:M11)</f>
        <v>0.174148</v>
      </c>
    </row>
    <row r="13" spans="1:13" x14ac:dyDescent="0.2">
      <c r="A13" t="s">
        <v>135</v>
      </c>
      <c r="B13">
        <f>B$7</f>
        <v>1.1200000000000001</v>
      </c>
      <c r="C13">
        <f>C$7</f>
        <v>0</v>
      </c>
      <c r="D13" s="50">
        <f>D$7*0.7</f>
        <v>5.0959999999999998E-3</v>
      </c>
      <c r="E13">
        <f>E$7</f>
        <v>0.3548</v>
      </c>
      <c r="F13" t="str">
        <f>F$7</f>
        <v>coke - IPCC</v>
      </c>
      <c r="G13" s="3">
        <v>0</v>
      </c>
      <c r="H13" t="s">
        <v>23</v>
      </c>
      <c r="I13">
        <f>I$7</f>
        <v>0.152</v>
      </c>
      <c r="J13" t="str">
        <f>J$7</f>
        <v>coal coking - IPCC</v>
      </c>
      <c r="K13">
        <v>1</v>
      </c>
      <c r="L13" t="s">
        <v>23</v>
      </c>
      <c r="M13">
        <f>M$7</f>
        <v>0.10444000000000001</v>
      </c>
    </row>
    <row r="14" spans="1:13" x14ac:dyDescent="0.2">
      <c r="A14" t="s">
        <v>136</v>
      </c>
      <c r="B14">
        <f>B$7</f>
        <v>1.1200000000000001</v>
      </c>
      <c r="C14">
        <f>C$7</f>
        <v>0</v>
      </c>
      <c r="D14" s="50">
        <f>D$7*0.7</f>
        <v>5.0959999999999998E-3</v>
      </c>
      <c r="E14">
        <f>E$7</f>
        <v>0.3548</v>
      </c>
      <c r="F14" t="str">
        <f>F$7</f>
        <v>coke - IPCC</v>
      </c>
      <c r="G14" s="3">
        <v>0</v>
      </c>
      <c r="H14" t="s">
        <v>23</v>
      </c>
      <c r="I14">
        <f>I$7</f>
        <v>0.152</v>
      </c>
      <c r="J14" t="str">
        <f>J$7</f>
        <v>coal coking - IPCC</v>
      </c>
      <c r="K14">
        <v>1</v>
      </c>
      <c r="L14" t="s">
        <v>23</v>
      </c>
      <c r="M14">
        <f>M$7</f>
        <v>0.10444000000000001</v>
      </c>
    </row>
    <row r="15" spans="1:13" x14ac:dyDescent="0.2">
      <c r="A15" t="s">
        <v>137</v>
      </c>
      <c r="B15">
        <f>B$7</f>
        <v>1.1200000000000001</v>
      </c>
      <c r="C15">
        <f>C$7</f>
        <v>0</v>
      </c>
      <c r="D15" s="50">
        <f>D$7*0.7</f>
        <v>5.0959999999999998E-3</v>
      </c>
      <c r="E15">
        <f>E$7</f>
        <v>0.3548</v>
      </c>
      <c r="F15" t="str">
        <f>F$7</f>
        <v>coke - IPCC</v>
      </c>
      <c r="G15" s="3">
        <v>0</v>
      </c>
      <c r="H15" t="s">
        <v>23</v>
      </c>
      <c r="I15">
        <f>I$7</f>
        <v>0.152</v>
      </c>
      <c r="J15" t="str">
        <f>J$7</f>
        <v>coal coking - IPCC</v>
      </c>
      <c r="K15">
        <v>1</v>
      </c>
      <c r="L15" t="s">
        <v>23</v>
      </c>
      <c r="M15">
        <f>M$7</f>
        <v>0.10444000000000001</v>
      </c>
    </row>
    <row r="16" spans="1:13" x14ac:dyDescent="0.2">
      <c r="A16" t="s">
        <v>138</v>
      </c>
      <c r="B16">
        <f>B$7</f>
        <v>1.1200000000000001</v>
      </c>
      <c r="C16">
        <f>C$7</f>
        <v>0</v>
      </c>
      <c r="D16" s="50">
        <f>D$7*0.7</f>
        <v>5.0959999999999998E-3</v>
      </c>
      <c r="E16">
        <f>E$7</f>
        <v>0.3548</v>
      </c>
      <c r="F16" t="str">
        <f>F$7</f>
        <v>coke - IPCC</v>
      </c>
      <c r="G16" s="3">
        <v>0</v>
      </c>
      <c r="H16" t="s">
        <v>23</v>
      </c>
      <c r="I16">
        <f>I$7</f>
        <v>0.152</v>
      </c>
      <c r="J16" t="str">
        <f>J$7</f>
        <v>coal coking - IPCC</v>
      </c>
      <c r="K16">
        <v>0.5</v>
      </c>
      <c r="L16" t="s">
        <v>23</v>
      </c>
      <c r="M16">
        <f>M$7</f>
        <v>0.10444000000000001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>
      <selection activeCell="B12" sqref="B12:J15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4.164062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56</v>
      </c>
      <c r="B5">
        <f>0.95</f>
        <v>0.95</v>
      </c>
      <c r="C5">
        <v>0.155</v>
      </c>
      <c r="D5">
        <v>0.01</v>
      </c>
      <c r="E5" t="s">
        <v>116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">
      <c r="A6" t="s">
        <v>111</v>
      </c>
      <c r="B6">
        <f>0.95</f>
        <v>0.95</v>
      </c>
      <c r="C6">
        <v>0.14000000000000001</v>
      </c>
      <c r="D6">
        <v>0</v>
      </c>
      <c r="E6" t="s">
        <v>117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112</v>
      </c>
      <c r="B7">
        <f>0.9058</f>
        <v>0.90580000000000005</v>
      </c>
      <c r="C7">
        <f>0.1169+0.0731</f>
        <v>0.19</v>
      </c>
      <c r="D7">
        <v>0</v>
      </c>
      <c r="E7" t="s">
        <v>116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">
      <c r="A8" t="s">
        <v>113</v>
      </c>
      <c r="B8">
        <v>0.95</v>
      </c>
      <c r="C8">
        <v>0.155</v>
      </c>
      <c r="D8">
        <v>0.01</v>
      </c>
      <c r="E8" t="s">
        <v>120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">
      <c r="A9" t="s">
        <v>114</v>
      </c>
      <c r="B9" s="23">
        <v>0.95</v>
      </c>
      <c r="C9" s="23">
        <v>0.155</v>
      </c>
      <c r="D9">
        <v>0</v>
      </c>
      <c r="E9" t="s">
        <v>116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">
      <c r="A10" t="s">
        <v>115</v>
      </c>
      <c r="B10" s="27">
        <f>53.4/62.7</f>
        <v>0.85167464114832525</v>
      </c>
      <c r="C10" s="27">
        <f>17/62.7</f>
        <v>0.27113237639553428</v>
      </c>
      <c r="D10">
        <v>0</v>
      </c>
      <c r="E10" t="s">
        <v>123</v>
      </c>
      <c r="F10">
        <v>0</v>
      </c>
      <c r="G10" t="s">
        <v>23</v>
      </c>
      <c r="H10" s="23">
        <v>0.04</v>
      </c>
      <c r="I10">
        <f>0.04*Ref!B20</f>
        <v>4.6519999999999999E-2</v>
      </c>
      <c r="J10" s="23">
        <v>7.0000000000000007E-2</v>
      </c>
    </row>
    <row r="11" spans="1:10" x14ac:dyDescent="0.2">
      <c r="A11" t="s">
        <v>131</v>
      </c>
      <c r="B11" s="23">
        <v>0.95</v>
      </c>
      <c r="C11" s="23">
        <v>0.15</v>
      </c>
      <c r="D11" s="23">
        <v>0</v>
      </c>
      <c r="E11" s="23" t="s">
        <v>116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">
      <c r="A12" t="s">
        <v>135</v>
      </c>
      <c r="B12">
        <f t="shared" ref="B12:J15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">
      <c r="A13" t="s">
        <v>136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">
      <c r="A14" t="s">
        <v>137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">
      <c r="A15" t="s">
        <v>138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B11" sqref="B11:C14"/>
    </sheetView>
  </sheetViews>
  <sheetFormatPr baseColWidth="10" defaultColWidth="11.5" defaultRowHeight="15" x14ac:dyDescent="0.2"/>
  <cols>
    <col min="1" max="1" width="23.5" bestFit="1" customWidth="1"/>
    <col min="2" max="2" width="18.5" customWidth="1"/>
    <col min="3" max="3" width="13.6640625" bestFit="1" customWidth="1"/>
  </cols>
  <sheetData>
    <row r="1" spans="1:3" s="1" customFormat="1" x14ac:dyDescent="0.2">
      <c r="A1" s="1" t="s">
        <v>0</v>
      </c>
      <c r="B1" s="3" t="s">
        <v>7</v>
      </c>
      <c r="C1" s="3" t="s">
        <v>82</v>
      </c>
    </row>
    <row r="2" spans="1:3" s="2" customFormat="1" x14ac:dyDescent="0.2">
      <c r="A2" s="2" t="s">
        <v>79</v>
      </c>
      <c r="C2" s="2" t="s">
        <v>83</v>
      </c>
    </row>
    <row r="3" spans="1:3" s="2" customFormat="1" x14ac:dyDescent="0.2">
      <c r="A3" s="2" t="s">
        <v>2</v>
      </c>
      <c r="B3" s="2" t="s">
        <v>80</v>
      </c>
    </row>
    <row r="4" spans="1:3" x14ac:dyDescent="0.2">
      <c r="A4" t="s">
        <v>3</v>
      </c>
    </row>
    <row r="5" spans="1:3" x14ac:dyDescent="0.2">
      <c r="A5" t="s">
        <v>56</v>
      </c>
    </row>
    <row r="6" spans="1:3" x14ac:dyDescent="0.2">
      <c r="A6" t="s">
        <v>111</v>
      </c>
      <c r="B6">
        <f>0.75*Electricity!B6</f>
        <v>0.24480000000000002</v>
      </c>
    </row>
    <row r="7" spans="1:3" x14ac:dyDescent="0.2">
      <c r="A7" t="s">
        <v>112</v>
      </c>
    </row>
    <row r="8" spans="1:3" x14ac:dyDescent="0.2">
      <c r="A8" t="s">
        <v>113</v>
      </c>
    </row>
    <row r="9" spans="1:3" x14ac:dyDescent="0.2">
      <c r="A9" t="s">
        <v>114</v>
      </c>
    </row>
    <row r="10" spans="1:3" x14ac:dyDescent="0.2">
      <c r="A10" t="s">
        <v>115</v>
      </c>
      <c r="B10">
        <f>(0.05+0.33)*Ref!B20</f>
        <v>0.44194</v>
      </c>
      <c r="C10" s="21">
        <f>(1-81.9/86.4)</f>
        <v>5.208333333333337E-2</v>
      </c>
    </row>
    <row r="11" spans="1:3" x14ac:dyDescent="0.2">
      <c r="A11" t="s">
        <v>135</v>
      </c>
      <c r="B11">
        <f t="shared" ref="B11:C14" si="0">B$7</f>
        <v>0</v>
      </c>
      <c r="C11">
        <f t="shared" si="0"/>
        <v>0</v>
      </c>
    </row>
    <row r="12" spans="1:3" x14ac:dyDescent="0.2">
      <c r="A12" t="s">
        <v>136</v>
      </c>
      <c r="B12">
        <f t="shared" si="0"/>
        <v>0</v>
      </c>
      <c r="C12">
        <f t="shared" si="0"/>
        <v>0</v>
      </c>
    </row>
    <row r="13" spans="1:3" x14ac:dyDescent="0.2">
      <c r="A13" t="s">
        <v>137</v>
      </c>
      <c r="B13">
        <f t="shared" si="0"/>
        <v>0</v>
      </c>
      <c r="C13">
        <f t="shared" si="0"/>
        <v>0</v>
      </c>
    </row>
    <row r="14" spans="1:3" x14ac:dyDescent="0.2">
      <c r="A14" t="s">
        <v>138</v>
      </c>
      <c r="B14">
        <f t="shared" si="0"/>
        <v>0</v>
      </c>
      <c r="C14">
        <f t="shared" si="0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1" sqref="B11:C14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19" t="s">
        <v>60</v>
      </c>
      <c r="C1" s="18" t="s">
        <v>9</v>
      </c>
    </row>
    <row r="2" spans="1:3" x14ac:dyDescent="0.2">
      <c r="A2" s="2" t="s">
        <v>1</v>
      </c>
      <c r="C2" s="19" t="s">
        <v>76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56</v>
      </c>
      <c r="B5" s="5">
        <f>B6</f>
        <v>0.87</v>
      </c>
      <c r="C5" s="5">
        <v>2</v>
      </c>
    </row>
    <row r="6" spans="1:3" x14ac:dyDescent="0.2">
      <c r="A6" t="s">
        <v>111</v>
      </c>
      <c r="B6" s="5">
        <f>B7</f>
        <v>0.87</v>
      </c>
      <c r="C6" s="5">
        <f>8.2*0.3264</f>
        <v>2.6764799999999997</v>
      </c>
    </row>
    <row r="7" spans="1:3" x14ac:dyDescent="0.2">
      <c r="A7" t="s">
        <v>112</v>
      </c>
      <c r="B7" s="5">
        <v>0.87</v>
      </c>
      <c r="C7" s="5">
        <v>1.3869199999999999</v>
      </c>
    </row>
    <row r="8" spans="1:3" x14ac:dyDescent="0.2">
      <c r="A8" t="s">
        <v>113</v>
      </c>
      <c r="B8" s="25">
        <f>B7</f>
        <v>0.87</v>
      </c>
      <c r="C8" s="25">
        <f>C7</f>
        <v>1.3869199999999999</v>
      </c>
    </row>
    <row r="9" spans="1:3" x14ac:dyDescent="0.2">
      <c r="A9" t="s">
        <v>114</v>
      </c>
      <c r="B9" s="25">
        <f>B8</f>
        <v>0.87</v>
      </c>
      <c r="C9" s="25">
        <f>8.2*0.3264</f>
        <v>2.6764799999999997</v>
      </c>
    </row>
    <row r="10" spans="1:3" x14ac:dyDescent="0.2">
      <c r="A10" t="s">
        <v>115</v>
      </c>
      <c r="B10" s="25">
        <f>B9</f>
        <v>0.87</v>
      </c>
      <c r="C10" s="25">
        <v>1.3869199999999999</v>
      </c>
    </row>
    <row r="11" spans="1:3" x14ac:dyDescent="0.2">
      <c r="A11" t="s">
        <v>135</v>
      </c>
      <c r="B11">
        <f t="shared" ref="B11:C14" si="0">B$7</f>
        <v>0.87</v>
      </c>
      <c r="C11">
        <f t="shared" si="0"/>
        <v>1.3869199999999999</v>
      </c>
    </row>
    <row r="12" spans="1:3" x14ac:dyDescent="0.2">
      <c r="A12" t="s">
        <v>136</v>
      </c>
      <c r="B12">
        <f t="shared" si="0"/>
        <v>0.87</v>
      </c>
      <c r="C12">
        <f t="shared" si="0"/>
        <v>1.3869199999999999</v>
      </c>
    </row>
    <row r="13" spans="1:3" x14ac:dyDescent="0.2">
      <c r="A13" t="s">
        <v>137</v>
      </c>
      <c r="B13">
        <f t="shared" si="0"/>
        <v>0.87</v>
      </c>
      <c r="C13">
        <f t="shared" si="0"/>
        <v>1.3869199999999999</v>
      </c>
    </row>
    <row r="14" spans="1:3" x14ac:dyDescent="0.2">
      <c r="A14" t="s">
        <v>138</v>
      </c>
      <c r="B14">
        <f t="shared" si="0"/>
        <v>0.87</v>
      </c>
      <c r="C14">
        <f t="shared" si="0"/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G28" sqref="G28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59</v>
      </c>
      <c r="C1" s="17" t="s">
        <v>87</v>
      </c>
      <c r="D1" s="1" t="s">
        <v>61</v>
      </c>
      <c r="E1" s="1" t="s">
        <v>2</v>
      </c>
      <c r="F1" s="1" t="s">
        <v>133</v>
      </c>
      <c r="G1" s="1"/>
      <c r="H1" s="1"/>
      <c r="I1" s="1"/>
      <c r="J1" s="1"/>
    </row>
    <row r="2" spans="1:10" x14ac:dyDescent="0.2">
      <c r="A2" s="2" t="s">
        <v>1</v>
      </c>
      <c r="B2" s="19" t="s">
        <v>68</v>
      </c>
      <c r="C2" s="19" t="s">
        <v>88</v>
      </c>
      <c r="G2" s="17"/>
    </row>
    <row r="3" spans="1:10" x14ac:dyDescent="0.2">
      <c r="A3" s="2" t="s">
        <v>2</v>
      </c>
    </row>
    <row r="4" spans="1:10" x14ac:dyDescent="0.2">
      <c r="A4" t="s">
        <v>3</v>
      </c>
    </row>
    <row r="5" spans="1:10" x14ac:dyDescent="0.2">
      <c r="A5" t="s">
        <v>56</v>
      </c>
      <c r="B5" s="5">
        <v>0.32</v>
      </c>
      <c r="C5" s="5">
        <v>0</v>
      </c>
      <c r="D5" s="19" t="s">
        <v>128</v>
      </c>
    </row>
    <row r="6" spans="1:10" x14ac:dyDescent="0.2">
      <c r="A6" t="s">
        <v>111</v>
      </c>
      <c r="B6" s="5">
        <v>0.32640000000000002</v>
      </c>
      <c r="C6" s="5">
        <v>0</v>
      </c>
      <c r="D6" t="s">
        <v>139</v>
      </c>
      <c r="F6" s="5">
        <f>533/1278</f>
        <v>0.41705790297339596</v>
      </c>
    </row>
    <row r="7" spans="1:10" x14ac:dyDescent="0.2">
      <c r="A7" t="s">
        <v>112</v>
      </c>
      <c r="B7" s="5">
        <v>0.32</v>
      </c>
      <c r="C7" s="5">
        <v>0</v>
      </c>
      <c r="D7" t="s">
        <v>128</v>
      </c>
      <c r="F7" s="5">
        <f>57.7/129.5</f>
        <v>0.44555984555984557</v>
      </c>
    </row>
    <row r="8" spans="1:10" x14ac:dyDescent="0.2">
      <c r="A8" t="s">
        <v>113</v>
      </c>
      <c r="B8" s="37">
        <v>0.4773</v>
      </c>
      <c r="C8" s="44">
        <v>0</v>
      </c>
      <c r="D8" t="s">
        <v>128</v>
      </c>
      <c r="E8" s="19" t="s">
        <v>77</v>
      </c>
      <c r="F8" s="5">
        <f>90.4/189.6</f>
        <v>0.47679324894514774</v>
      </c>
    </row>
    <row r="9" spans="1:10" x14ac:dyDescent="0.2">
      <c r="A9" t="s">
        <v>114</v>
      </c>
      <c r="B9" s="37">
        <v>0.27550000000000002</v>
      </c>
      <c r="C9" s="44">
        <v>0</v>
      </c>
      <c r="D9" t="s">
        <v>122</v>
      </c>
      <c r="E9" s="19" t="s">
        <v>77</v>
      </c>
      <c r="F9" s="5">
        <f>93.6/340</f>
        <v>0.2752941176470588</v>
      </c>
    </row>
    <row r="10" spans="1:10" x14ac:dyDescent="0.2">
      <c r="A10" t="s">
        <v>115</v>
      </c>
      <c r="B10" s="5">
        <f>18/39</f>
        <v>0.46153846153846156</v>
      </c>
      <c r="C10" s="5">
        <v>0</v>
      </c>
      <c r="D10" t="s">
        <v>124</v>
      </c>
      <c r="F10" s="5">
        <f>376/868</f>
        <v>0.43317972350230416</v>
      </c>
    </row>
    <row r="11" spans="1:10" x14ac:dyDescent="0.2">
      <c r="A11" t="s">
        <v>131</v>
      </c>
      <c r="F11" s="5">
        <f>127.5/328.7</f>
        <v>0.38789169455430483</v>
      </c>
    </row>
    <row r="12" spans="1:10" x14ac:dyDescent="0.2">
      <c r="A12" t="s">
        <v>132</v>
      </c>
      <c r="F12" s="5">
        <f>48/126.8</f>
        <v>0.37854889589905366</v>
      </c>
    </row>
    <row r="13" spans="1:10" x14ac:dyDescent="0.2">
      <c r="A13" t="s">
        <v>135</v>
      </c>
      <c r="B13">
        <f t="shared" ref="B13:F16" si="0">B$7</f>
        <v>0.32</v>
      </c>
      <c r="C13">
        <f t="shared" si="0"/>
        <v>0</v>
      </c>
      <c r="D13" t="str">
        <f t="shared" si="0"/>
        <v>natural gas - IPCC</v>
      </c>
      <c r="E13">
        <f t="shared" si="0"/>
        <v>0</v>
      </c>
      <c r="F13">
        <f t="shared" si="0"/>
        <v>0.44555984555984557</v>
      </c>
    </row>
    <row r="14" spans="1:10" x14ac:dyDescent="0.2">
      <c r="A14" t="s">
        <v>136</v>
      </c>
      <c r="B14">
        <f t="shared" si="0"/>
        <v>0.32</v>
      </c>
      <c r="C14">
        <f t="shared" si="0"/>
        <v>0</v>
      </c>
      <c r="D14" t="str">
        <f t="shared" si="0"/>
        <v>natural gas - IPCC</v>
      </c>
      <c r="E14">
        <f t="shared" si="0"/>
        <v>0</v>
      </c>
      <c r="F14">
        <f t="shared" si="0"/>
        <v>0.44555984555984557</v>
      </c>
    </row>
    <row r="15" spans="1:10" x14ac:dyDescent="0.2">
      <c r="A15" t="s">
        <v>137</v>
      </c>
      <c r="B15">
        <f t="shared" si="0"/>
        <v>0.32</v>
      </c>
      <c r="C15">
        <f t="shared" si="0"/>
        <v>0</v>
      </c>
      <c r="D15" t="str">
        <f t="shared" si="0"/>
        <v>natural gas - IPCC</v>
      </c>
      <c r="E15">
        <f t="shared" si="0"/>
        <v>0</v>
      </c>
      <c r="F15">
        <f t="shared" si="0"/>
        <v>0.44555984555984557</v>
      </c>
    </row>
    <row r="16" spans="1:10" x14ac:dyDescent="0.2">
      <c r="A16" t="s">
        <v>138</v>
      </c>
      <c r="B16">
        <f t="shared" si="0"/>
        <v>0.32</v>
      </c>
      <c r="C16">
        <f t="shared" si="0"/>
        <v>0</v>
      </c>
      <c r="D16" t="str">
        <f t="shared" si="0"/>
        <v>natural gas - IPCC</v>
      </c>
      <c r="E16">
        <f t="shared" si="0"/>
        <v>0</v>
      </c>
      <c r="F16">
        <f t="shared" si="0"/>
        <v>0.44555984555984557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2019-05-01T15:36:52Z</dcterms:modified>
</cp:coreProperties>
</file>