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10260" yWindow="465" windowWidth="23460" windowHeight="17535" firstSheet="3" activeTab="4"/>
  </bookViews>
  <sheets>
    <sheet name="Coke" sheetId="1" r:id="rId1"/>
    <sheet name="Lime" sheetId="2" r:id="rId2"/>
    <sheet name="Pellets" sheetId="3" r:id="rId3"/>
    <sheet name="Sinter" sheetId="4" r:id="rId4"/>
    <sheet name="Iron" sheetId="5" r:id="rId5"/>
    <sheet name="Steel" sheetId="6" r:id="rId6"/>
    <sheet name="Finishing" sheetId="11" r:id="rId7"/>
    <sheet name="Oxygen" sheetId="8" r:id="rId8"/>
    <sheet name="Electricity" sheetId="9" r:id="rId9"/>
    <sheet name="Heat" sheetId="14" r:id="rId10"/>
    <sheet name="CO2 Capture" sheetId="12" r:id="rId11"/>
    <sheet name="CO2 Storage" sheetId="13" r:id="rId12"/>
    <sheet name="Fuel" sheetId="10" r:id="rId13"/>
    <sheet name="Ref" sheetId="7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8" l="1"/>
  <c r="E4" i="12" l="1"/>
  <c r="D4" i="12"/>
  <c r="C4" i="12"/>
  <c r="D10" i="5" l="1"/>
  <c r="G10" i="3" l="1"/>
  <c r="C10" i="6"/>
  <c r="C9" i="8" l="1"/>
  <c r="B10" i="8"/>
  <c r="B9" i="8" l="1"/>
  <c r="C9" i="2"/>
  <c r="C9" i="5" l="1"/>
  <c r="B9" i="5"/>
  <c r="B10" i="4"/>
  <c r="G10" i="4"/>
  <c r="C10" i="11"/>
  <c r="B21" i="7"/>
  <c r="B6" i="11"/>
  <c r="B10" i="11" l="1"/>
  <c r="I10" i="6"/>
  <c r="M10" i="5"/>
  <c r="C10" i="1"/>
  <c r="B20" i="7"/>
  <c r="B10" i="9"/>
  <c r="B10" i="6"/>
  <c r="C10" i="5"/>
  <c r="B10" i="1"/>
  <c r="B8" i="1"/>
  <c r="C8" i="8"/>
  <c r="B8" i="8"/>
  <c r="H6" i="6" l="1"/>
  <c r="C6" i="8"/>
  <c r="B6" i="8"/>
  <c r="M6" i="5"/>
  <c r="D7" i="5" l="1"/>
  <c r="B5" i="6" l="1"/>
  <c r="B7" i="6"/>
  <c r="B6" i="6"/>
  <c r="C7" i="6" l="1"/>
  <c r="H7" i="6"/>
  <c r="B7" i="1"/>
  <c r="G6" i="4" l="1"/>
  <c r="B19" i="7"/>
  <c r="C7" i="7" s="1"/>
  <c r="B18" i="7"/>
  <c r="I6" i="6" s="1"/>
  <c r="B10" i="7"/>
  <c r="C6" i="7" l="1"/>
  <c r="C10" i="7"/>
  <c r="C4" i="7"/>
  <c r="C8" i="7"/>
  <c r="C11" i="7"/>
  <c r="C5" i="7"/>
  <c r="C9" i="7"/>
  <c r="C12" i="7"/>
  <c r="J6" i="6" s="1"/>
</calcChain>
</file>

<file path=xl/comments1.xml><?xml version="1.0" encoding="utf-8"?>
<comments xmlns="http://schemas.openxmlformats.org/spreadsheetml/2006/main">
  <authors>
    <author>S.E. Tanzer</author>
  </authors>
  <commentList>
    <comment ref="B10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https://www.epa.gov/sites/production/files/2015-02/documents/tsd_iron_and_steel_epa_9-8-08.pdf</t>
        </r>
      </text>
    </comment>
  </commentList>
</comments>
</file>

<file path=xl/comments2.xml><?xml version="1.0" encoding="utf-8"?>
<comments xmlns="http://schemas.openxmlformats.org/spreadsheetml/2006/main">
  <authors>
    <author>S.E. Tanzer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  <author>S.E. Tanzer</author>
  </authors>
  <commentList>
    <comment ref="M6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9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Pellet demand % from https://link.springer.com/content/pdf/10.1007%2Fs11015-010-9247-8.pdf 
Assumption of ratio of total ore-load demand</t>
        </r>
      </text>
    </comment>
    <comment ref="D10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https://www.energystar.gov/ia/business/industry/Iron_Steel_Guide.pdf</t>
        </r>
      </text>
    </comment>
    <comment ref="E10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
</t>
        </r>
      </text>
    </comment>
    <comment ref="I10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</t>
        </r>
      </text>
    </comment>
  </commentList>
</comments>
</file>

<file path=xl/comments4.xml><?xml version="1.0" encoding="utf-8"?>
<comments xmlns="http://schemas.openxmlformats.org/spreadsheetml/2006/main">
  <authors>
    <author>S.E. Tanzer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In 3.2.3: "90% of the raw steel is processed by continuous casting. "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C6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9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</commentList>
</comments>
</file>

<file path=xl/comments6.xml><?xml version="1.0" encoding="utf-8"?>
<comments xmlns="http://schemas.openxmlformats.org/spreadsheetml/2006/main">
  <authors>
    <author>S.E. Tanzer</author>
    <author>Samantha Tanzer - TBM</author>
  </authors>
  <commentList>
    <comment ref="C5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estimated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estimated</t>
        </r>
      </text>
    </comment>
    <comment ref="E6" authorId="1" shapeId="0">
      <text>
        <r>
          <rPr>
            <b/>
            <sz val="9"/>
            <color indexed="81"/>
            <rFont val="Tahoma"/>
            <charset val="1"/>
          </rPr>
          <t>Samantha Tanzer - TBM:</t>
        </r>
        <r>
          <rPr>
            <sz val="9"/>
            <color indexed="81"/>
            <rFont val="Tahoma"/>
            <charset val="1"/>
          </rPr>
          <t xml:space="preserve">
low pressure steam
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estimated</t>
        </r>
      </text>
    </comment>
  </commentList>
</comments>
</file>

<file path=xl/comments7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<sst xmlns="http://schemas.openxmlformats.org/spreadsheetml/2006/main" count="359" uniqueCount="132">
  <si>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</si>
  <si>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</si>
  <si>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</si>
  <si>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</si>
  <si>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</si>
  <si>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</si>
  <si>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</si>
  <si>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</si>
  <si>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</si>
  <si>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</si>
  <si>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</si>
  <si>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</si>
  <si>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</si>
  <si>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</si>
  <si>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</si>
  <si>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</si>
  <si>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</si>
  <si>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</si>
  <si>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</si>
  <si>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</si>
  <si>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</si>
  <si>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</si>
  <si>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</si>
  <si>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charcoal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</si>
  <si>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</si>
  <si>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</si>
  <si>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</si>
  <si>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</si>
  <si>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</si>
  <si>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</si>
  <si>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</si>
  <si>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</si>
  <si>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</si>
  <si>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</si>
  <si>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</si>
  <si>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</si>
  <si>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</si>
  <si>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</si>
  <si>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</si>
  <si>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</si>
  <si>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</si>
  <si>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</si>
  <si>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</si>
  <si>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</si>
  <si>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</si>
  <si>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</si>
  <si>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</si>
  <si>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</si>
  <si>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</si>
  <si>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</si>
  <si>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</si>
  <si>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</si>
  <si>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</si>
  <si>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</si>
  <si>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</si>
  <si>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</si>
  <si>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test</t>
  </si>
  <si>
    <t>coking coal</t>
  </si>
  <si>
    <t>GJ/t hot metal</t>
  </si>
  <si>
    <t>combustion eff</t>
  </si>
  <si>
    <t>O2 Recovery Eff</t>
  </si>
  <si>
    <t>fueltype</t>
  </si>
  <si>
    <t>biomass type</t>
  </si>
  <si>
    <t>Remainder is lost to coal gas</t>
  </si>
  <si>
    <t>GJ/t coke out</t>
  </si>
  <si>
    <t>t CO2 in slag/t CO2 in CaCO3</t>
  </si>
  <si>
    <t>GJ/t CaO</t>
  </si>
  <si>
    <t>coal</t>
  </si>
  <si>
    <t>GJ electricity/GJ fuel</t>
  </si>
  <si>
    <t>wood</t>
  </si>
  <si>
    <t>oxygen demand</t>
  </si>
  <si>
    <t>PCI coal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</si>
  <si>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</si>
  <si>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</si>
  <si>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</si>
  <si>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</si>
  <si>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</si>
  <si>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</si>
  <si>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eff from IEA 2016</t>
  </si>
  <si>
    <t>Mbtu/ton in GJ/tonne</t>
  </si>
  <si>
    <t>meta-units</t>
  </si>
  <si>
    <t>continuous casting+hot rolling</t>
  </si>
  <si>
    <t>short ton in metric tonnes</t>
  </si>
  <si>
    <t>steel loss</t>
  </si>
  <si>
    <t>% to scrap</t>
  </si>
  <si>
    <t>from https://www.energystar.gov/ia/business/industry/Iron_Steel_Guide.pdf</t>
  </si>
  <si>
    <t>meta-source</t>
  </si>
  <si>
    <t>http://www.infomine.ru/files/catalog/223/file_223_eng.pdf (rotary)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</si>
  <si>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</si>
  <si>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</si>
  <si>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</si>
  <si>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</si>
  <si>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</si>
  <si>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</si>
  <si>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</si>
  <si>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</si>
  <si>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</si>
  <si>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</si>
  <si>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</si>
  <si>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</si>
  <si>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</si>
  <si>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Birat 2010-VSPA</t>
  </si>
  <si>
    <t>VSPA+compression+cryo flash</t>
  </si>
  <si>
    <t>Birat 2010-amine</t>
  </si>
  <si>
    <t>amine + compression</t>
  </si>
  <si>
    <t>Birat 2010-PSA</t>
  </si>
  <si>
    <t>PSA+cryo distil+compression</t>
  </si>
  <si>
    <t>Losses</t>
  </si>
  <si>
    <t>Ancillary Emissions</t>
  </si>
  <si>
    <t>CO2 lost  / CO2 in</t>
  </si>
  <si>
    <t>t CO2 / t CO2 stored</t>
  </si>
  <si>
    <t>amine average from Kuromochi et al 2012</t>
  </si>
  <si>
    <t>China-BF-base</t>
  </si>
  <si>
    <t>EU-BF-base</t>
  </si>
  <si>
    <t>Japan-BF-base</t>
  </si>
  <si>
    <t>Russia-BF-base</t>
  </si>
  <si>
    <t>USA-BF-base</t>
  </si>
  <si>
    <t>coke - IPCC</t>
  </si>
  <si>
    <t>coke - CN</t>
  </si>
  <si>
    <t>coal coking - CN</t>
  </si>
  <si>
    <t>coal coking - IPCC</t>
  </si>
  <si>
    <t>coke - JP IPCC</t>
  </si>
  <si>
    <t>coal PCI - JP IPCC</t>
  </si>
  <si>
    <t>natural gas - RU</t>
  </si>
  <si>
    <t>coke - US</t>
  </si>
  <si>
    <t>natural gas - US</t>
  </si>
  <si>
    <t>coal coking - JP IPCC</t>
  </si>
  <si>
    <t>coal hard - RU</t>
  </si>
  <si>
    <t>coal coking - US</t>
  </si>
  <si>
    <t>electricity PROXY - CN</t>
  </si>
  <si>
    <t>natural gas - IPCC</t>
  </si>
  <si>
    <t>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</si>
</sst>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2" fillId="0" borderId="0" applyNumberFormat="0" applyFill="0" applyBorder="0" applyAlignment="0" applyProtection="0"/>
    <xf numFmtId="0" fontId="3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7" fillId="0" borderId="0" xfId="0" applyFont="1"/>
    <xf numFmtId="165" fontId="0" fillId="0" borderId="0" xfId="0" applyNumberFormat="1"/>
    <xf numFmtId="165" fontId="0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8" fillId="0" borderId="0" xfId="1" applyFont="1"/>
    <xf numFmtId="2" fontId="9" fillId="0" borderId="0" xfId="0" applyNumberFormat="1" applyFont="1"/>
    <xf numFmtId="2" fontId="0" fillId="0" borderId="0" xfId="0" applyNumberFormat="1" applyAlignment="1">
      <alignment horizontal="right"/>
    </xf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9" fillId="0" borderId="0" xfId="0" applyFont="1"/>
    <xf numFmtId="165" fontId="9" fillId="0" borderId="0" xfId="0" applyNumberFormat="1" applyFont="1"/>
    <xf numFmtId="0" fontId="12" fillId="0" borderId="0" xfId="2"/>
    <xf numFmtId="165" fontId="0" fillId="2" borderId="0" xfId="0" applyNumberFormat="1" applyFill="1"/>
    <xf numFmtId="0" fontId="0" fillId="2" borderId="0" xfId="0" applyFill="1"/>
    <xf numFmtId="0" fontId="9" fillId="0" borderId="0" xfId="1" applyFont="1"/>
    <xf numFmtId="0" fontId="15" fillId="0" borderId="0" xfId="3" applyFont="1"/>
    <xf numFmtId="0" fontId="1" fillId="0" borderId="0" xfId="3" applyFont="1"/>
    <xf numFmtId="0" fontId="16" fillId="0" borderId="0" xfId="3" applyFont="1"/>
    <xf numFmtId="0" fontId="17" fillId="0" borderId="0" xfId="3" applyFont="1"/>
    <xf numFmtId="0" fontId="0" fillId="0" borderId="0" xfId="3" applyFont="1"/>
    <xf numFmtId="0" fontId="3" fillId="0" borderId="0" xfId="3"/>
    <xf numFmtId="0" fontId="18" fillId="0" borderId="0" xfId="1" applyFont="1"/>
    <xf numFmtId="0" fontId="8" fillId="0" borderId="0" xfId="0" applyFont="1" applyAlignment="1">
      <alignment wrapText="1"/>
    </xf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fomine.ru/files/catalog/223/file_223_eng.pdf%20(rotary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5" sqref="D5"/>
    </sheetView>
  </sheetViews>
  <sheetFormatPr defaultColWidth="8.85546875" defaultRowHeight="15" x14ac:dyDescent="0.25"/>
  <cols>
    <col min="2" max="2" width="18" bestFit="1" customWidth="1"/>
    <col min="3" max="3" width="17.85546875" bestFit="1" customWidth="1"/>
  </cols>
  <sheetData>
    <row r="1" spans="1:4" x14ac:dyDescent="0.25">
      <c r="A1" s="1" t="s">
        <v>0</v>
      </c>
      <c r="B1" t="s">
        <v>5</v>
      </c>
      <c r="C1" t="s">
        <v>7</v>
      </c>
      <c r="D1" t="s">
        <v>61</v>
      </c>
    </row>
    <row r="2" spans="1:4" s="2" customFormat="1" x14ac:dyDescent="0.25">
      <c r="A2" s="2" t="s">
        <v>1</v>
      </c>
      <c r="B2" s="2" t="s">
        <v>6</v>
      </c>
      <c r="C2" s="2" t="s">
        <v>64</v>
      </c>
    </row>
    <row r="3" spans="1:4" s="2" customFormat="1" x14ac:dyDescent="0.25">
      <c r="A3" s="2" t="s">
        <v>2</v>
      </c>
      <c r="B3" s="2" t="s">
        <v>63</v>
      </c>
    </row>
    <row r="4" spans="1:4" x14ac:dyDescent="0.25">
      <c r="A4" t="s">
        <v>3</v>
      </c>
    </row>
    <row r="5" spans="1:4" x14ac:dyDescent="0.25">
      <c r="A5" t="s">
        <v>56</v>
      </c>
      <c r="B5">
        <v>0.8</v>
      </c>
      <c r="C5">
        <v>0.1</v>
      </c>
      <c r="D5" t="s">
        <v>57</v>
      </c>
    </row>
    <row r="6" spans="1:4" x14ac:dyDescent="0.25">
      <c r="A6" t="s">
        <v>112</v>
      </c>
      <c r="B6">
        <v>0.754</v>
      </c>
      <c r="C6">
        <v>0</v>
      </c>
      <c r="D6" t="s">
        <v>119</v>
      </c>
    </row>
    <row r="7" spans="1:4" x14ac:dyDescent="0.25">
      <c r="A7" t="s">
        <v>113</v>
      </c>
      <c r="B7" s="21">
        <f>1/1.2852</f>
        <v>0.77808901338313108</v>
      </c>
      <c r="C7">
        <v>0.126</v>
      </c>
      <c r="D7" t="s">
        <v>120</v>
      </c>
    </row>
    <row r="8" spans="1:4" x14ac:dyDescent="0.25">
      <c r="A8" t="s">
        <v>114</v>
      </c>
      <c r="B8" s="21">
        <f>1/1.43</f>
        <v>0.69930069930069938</v>
      </c>
      <c r="C8">
        <v>0.19</v>
      </c>
      <c r="D8" t="s">
        <v>126</v>
      </c>
    </row>
    <row r="9" spans="1:4" x14ac:dyDescent="0.25">
      <c r="A9" t="s">
        <v>115</v>
      </c>
      <c r="B9" s="24">
        <v>0.7</v>
      </c>
      <c r="C9" s="23">
        <v>0.2</v>
      </c>
      <c r="D9" t="s">
        <v>127</v>
      </c>
    </row>
    <row r="10" spans="1:4" x14ac:dyDescent="0.25">
      <c r="A10" t="s">
        <v>116</v>
      </c>
      <c r="B10" s="36">
        <f>24.7/32</f>
        <v>0.77187499999999998</v>
      </c>
      <c r="C10" s="37">
        <f>0.02*Ref!B20</f>
        <v>2.3259999999999999E-2</v>
      </c>
      <c r="D10" t="s">
        <v>128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7" sqref="C7"/>
    </sheetView>
  </sheetViews>
  <sheetFormatPr defaultRowHeight="15" x14ac:dyDescent="0.25"/>
  <sheetData>
    <row r="1" spans="1:4" x14ac:dyDescent="0.25">
      <c r="A1" s="1" t="s">
        <v>0</v>
      </c>
      <c r="B1" s="17" t="s">
        <v>59</v>
      </c>
      <c r="C1" s="1" t="s">
        <v>61</v>
      </c>
      <c r="D1" s="1" t="s">
        <v>2</v>
      </c>
    </row>
    <row r="2" spans="1:4" x14ac:dyDescent="0.25">
      <c r="A2" s="2" t="s">
        <v>1</v>
      </c>
      <c r="B2" s="19" t="s">
        <v>68</v>
      </c>
      <c r="C2" s="5"/>
      <c r="D2" s="5"/>
    </row>
    <row r="3" spans="1:4" x14ac:dyDescent="0.25">
      <c r="A3" s="2" t="s">
        <v>2</v>
      </c>
      <c r="B3" s="5"/>
      <c r="C3" s="5"/>
      <c r="D3" s="5"/>
    </row>
    <row r="4" spans="1:4" x14ac:dyDescent="0.25">
      <c r="A4" t="s">
        <v>3</v>
      </c>
      <c r="B4" s="5"/>
      <c r="C4" s="5"/>
      <c r="D4" s="5"/>
    </row>
    <row r="5" spans="1:4" x14ac:dyDescent="0.25">
      <c r="A5" t="s">
        <v>56</v>
      </c>
      <c r="B5" s="5">
        <v>0.8</v>
      </c>
      <c r="C5" s="19" t="s">
        <v>131</v>
      </c>
      <c r="D5" s="5"/>
    </row>
    <row r="6" spans="1:4" x14ac:dyDescent="0.25">
      <c r="A6" t="s">
        <v>112</v>
      </c>
      <c r="B6" s="5">
        <v>0.8</v>
      </c>
      <c r="C6" t="s">
        <v>129</v>
      </c>
      <c r="D6" s="5"/>
    </row>
    <row r="7" spans="1:4" x14ac:dyDescent="0.25">
      <c r="A7" t="s">
        <v>113</v>
      </c>
      <c r="B7" s="5">
        <v>0.8</v>
      </c>
      <c r="C7" t="s">
        <v>130</v>
      </c>
      <c r="D7" s="5"/>
    </row>
    <row r="8" spans="1:4" x14ac:dyDescent="0.25">
      <c r="A8" t="s">
        <v>114</v>
      </c>
      <c r="B8" s="5">
        <v>0.8</v>
      </c>
      <c r="C8" t="s">
        <v>130</v>
      </c>
      <c r="D8" s="19" t="s">
        <v>78</v>
      </c>
    </row>
    <row r="9" spans="1:4" x14ac:dyDescent="0.25">
      <c r="A9" t="s">
        <v>115</v>
      </c>
      <c r="B9" s="5">
        <v>0.8</v>
      </c>
      <c r="C9" t="s">
        <v>123</v>
      </c>
      <c r="D9" s="19" t="s">
        <v>78</v>
      </c>
    </row>
    <row r="10" spans="1:4" x14ac:dyDescent="0.25">
      <c r="A10" t="s">
        <v>116</v>
      </c>
      <c r="B10" s="5">
        <v>0.8</v>
      </c>
      <c r="C10" t="s">
        <v>125</v>
      </c>
      <c r="D10" s="5"/>
    </row>
    <row r="11" spans="1:4" x14ac:dyDescent="0.25">
      <c r="B11" s="5"/>
      <c r="C11" s="5"/>
      <c r="D11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F13" sqref="F13"/>
    </sheetView>
  </sheetViews>
  <sheetFormatPr defaultRowHeight="15" x14ac:dyDescent="0.25"/>
  <cols>
    <col min="1" max="1" width="23" bestFit="1" customWidth="1"/>
    <col min="2" max="2" width="13.7109375" customWidth="1"/>
  </cols>
  <sheetData>
    <row r="1" spans="1:6" x14ac:dyDescent="0.25">
      <c r="A1" s="39" t="s">
        <v>90</v>
      </c>
      <c r="B1" s="39" t="s">
        <v>91</v>
      </c>
      <c r="C1" s="40" t="s">
        <v>92</v>
      </c>
      <c r="D1" s="40" t="s">
        <v>9</v>
      </c>
      <c r="E1" s="40" t="s">
        <v>93</v>
      </c>
      <c r="F1" s="40" t="s">
        <v>94</v>
      </c>
    </row>
    <row r="2" spans="1:6" x14ac:dyDescent="0.25">
      <c r="A2" s="41" t="s">
        <v>80</v>
      </c>
      <c r="B2" s="42" t="s">
        <v>95</v>
      </c>
      <c r="C2" s="43" t="s">
        <v>96</v>
      </c>
      <c r="D2" s="43" t="s">
        <v>97</v>
      </c>
      <c r="E2" s="43" t="s">
        <v>98</v>
      </c>
      <c r="F2" s="44"/>
    </row>
    <row r="3" spans="1:6" x14ac:dyDescent="0.25">
      <c r="A3" s="41" t="s">
        <v>2</v>
      </c>
      <c r="B3" s="42" t="s">
        <v>99</v>
      </c>
      <c r="C3" s="43" t="s">
        <v>100</v>
      </c>
      <c r="D3" s="44"/>
      <c r="E3" s="44"/>
      <c r="F3" s="44"/>
    </row>
    <row r="4" spans="1:6" x14ac:dyDescent="0.25">
      <c r="A4" s="42" t="s">
        <v>3</v>
      </c>
      <c r="B4" s="42">
        <v>1</v>
      </c>
      <c r="C4" s="44">
        <f>C5</f>
        <v>0.9</v>
      </c>
      <c r="D4" s="44">
        <f>D5</f>
        <v>1.05</v>
      </c>
      <c r="E4" s="44">
        <f>E5</f>
        <v>0</v>
      </c>
      <c r="F4" s="44"/>
    </row>
    <row r="5" spans="1:6" x14ac:dyDescent="0.25">
      <c r="A5" s="43" t="s">
        <v>101</v>
      </c>
      <c r="B5" s="43">
        <v>0.63</v>
      </c>
      <c r="C5" s="44">
        <v>0.9</v>
      </c>
      <c r="D5" s="43">
        <v>1.05</v>
      </c>
      <c r="E5" s="44">
        <v>0</v>
      </c>
      <c r="F5" s="43" t="s">
        <v>102</v>
      </c>
    </row>
    <row r="6" spans="1:6" x14ac:dyDescent="0.25">
      <c r="A6" s="43" t="s">
        <v>103</v>
      </c>
      <c r="B6" s="43">
        <v>0.63</v>
      </c>
      <c r="C6" s="44">
        <v>0.9</v>
      </c>
      <c r="D6" s="43">
        <v>0.61</v>
      </c>
      <c r="E6" s="44">
        <v>3.2</v>
      </c>
      <c r="F6" s="43" t="s">
        <v>104</v>
      </c>
    </row>
    <row r="7" spans="1:6" x14ac:dyDescent="0.25">
      <c r="A7" s="43" t="s">
        <v>105</v>
      </c>
      <c r="B7" s="43">
        <v>0.63</v>
      </c>
      <c r="C7" s="44">
        <v>0.8</v>
      </c>
      <c r="D7" s="44">
        <v>1.1200000000000001</v>
      </c>
      <c r="E7" s="44">
        <v>0</v>
      </c>
      <c r="F7" s="43" t="s">
        <v>106</v>
      </c>
    </row>
    <row r="8" spans="1:6" x14ac:dyDescent="0.25">
      <c r="A8" t="s">
        <v>112</v>
      </c>
      <c r="B8" s="44">
        <v>1</v>
      </c>
      <c r="C8" s="44">
        <v>0.9</v>
      </c>
      <c r="D8" s="44">
        <v>0.5</v>
      </c>
      <c r="E8" s="44">
        <v>3</v>
      </c>
      <c r="F8" s="43" t="s">
        <v>104</v>
      </c>
    </row>
    <row r="9" spans="1:6" x14ac:dyDescent="0.25">
      <c r="A9" t="s">
        <v>113</v>
      </c>
      <c r="B9" s="44">
        <v>1</v>
      </c>
      <c r="C9" s="44">
        <v>0.9</v>
      </c>
      <c r="D9" s="44">
        <v>0.5</v>
      </c>
      <c r="E9" s="44">
        <v>3</v>
      </c>
      <c r="F9" s="43" t="s">
        <v>111</v>
      </c>
    </row>
    <row r="10" spans="1:6" x14ac:dyDescent="0.25">
      <c r="A10" t="s">
        <v>114</v>
      </c>
      <c r="B10" s="44">
        <v>1</v>
      </c>
      <c r="C10" s="44">
        <v>0.9</v>
      </c>
      <c r="D10" s="44">
        <v>0.5</v>
      </c>
      <c r="E10" s="44">
        <v>3</v>
      </c>
      <c r="F10" s="43" t="s">
        <v>111</v>
      </c>
    </row>
    <row r="11" spans="1:6" x14ac:dyDescent="0.25">
      <c r="A11" t="s">
        <v>115</v>
      </c>
      <c r="B11" s="44">
        <v>1</v>
      </c>
      <c r="C11" s="44">
        <v>0.9</v>
      </c>
      <c r="D11" s="44">
        <v>0.5</v>
      </c>
      <c r="E11" s="44">
        <v>3</v>
      </c>
      <c r="F11" s="43" t="s">
        <v>111</v>
      </c>
    </row>
    <row r="12" spans="1:6" x14ac:dyDescent="0.25">
      <c r="A12" t="s">
        <v>116</v>
      </c>
      <c r="B12" s="44">
        <v>1</v>
      </c>
      <c r="C12" s="44">
        <v>0.9</v>
      </c>
      <c r="D12" s="44">
        <v>0.5</v>
      </c>
      <c r="E12" s="44">
        <v>3</v>
      </c>
      <c r="F12" s="43" t="s">
        <v>111</v>
      </c>
    </row>
    <row r="13" spans="1:6" x14ac:dyDescent="0.25">
      <c r="A13" s="43" t="s">
        <v>56</v>
      </c>
      <c r="B13" s="44">
        <v>1</v>
      </c>
      <c r="C13" s="44">
        <v>0.9</v>
      </c>
      <c r="D13" s="44">
        <v>0.5</v>
      </c>
      <c r="E13" s="44">
        <v>3</v>
      </c>
      <c r="F13" s="44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5" sqref="A5:A9"/>
    </sheetView>
  </sheetViews>
  <sheetFormatPr defaultRowHeight="15" x14ac:dyDescent="0.25"/>
  <sheetData>
    <row r="1" spans="1:3" x14ac:dyDescent="0.25">
      <c r="A1" s="39" t="s">
        <v>90</v>
      </c>
      <c r="B1" t="s">
        <v>107</v>
      </c>
      <c r="C1" t="s">
        <v>108</v>
      </c>
    </row>
    <row r="2" spans="1:3" x14ac:dyDescent="0.25">
      <c r="A2" s="41" t="s">
        <v>80</v>
      </c>
      <c r="B2" t="s">
        <v>109</v>
      </c>
      <c r="C2" t="s">
        <v>110</v>
      </c>
    </row>
    <row r="3" spans="1:3" x14ac:dyDescent="0.25">
      <c r="A3" s="41" t="s">
        <v>2</v>
      </c>
    </row>
    <row r="4" spans="1:3" x14ac:dyDescent="0.25">
      <c r="A4" s="42" t="s">
        <v>3</v>
      </c>
      <c r="B4">
        <v>0</v>
      </c>
      <c r="C4">
        <v>0</v>
      </c>
    </row>
    <row r="5" spans="1:3" x14ac:dyDescent="0.25">
      <c r="A5" t="s">
        <v>112</v>
      </c>
      <c r="B5">
        <v>0.01</v>
      </c>
      <c r="C5">
        <v>0</v>
      </c>
    </row>
    <row r="6" spans="1:3" x14ac:dyDescent="0.25">
      <c r="A6" t="s">
        <v>113</v>
      </c>
      <c r="B6">
        <v>0.01</v>
      </c>
      <c r="C6">
        <v>0</v>
      </c>
    </row>
    <row r="7" spans="1:3" x14ac:dyDescent="0.25">
      <c r="A7" t="s">
        <v>114</v>
      </c>
      <c r="B7">
        <v>0.01</v>
      </c>
      <c r="C7">
        <v>0</v>
      </c>
    </row>
    <row r="8" spans="1:3" x14ac:dyDescent="0.25">
      <c r="A8" t="s">
        <v>115</v>
      </c>
      <c r="B8">
        <v>0.01</v>
      </c>
      <c r="C8">
        <v>0</v>
      </c>
    </row>
    <row r="9" spans="1:3" x14ac:dyDescent="0.25">
      <c r="A9" t="s">
        <v>116</v>
      </c>
      <c r="B9">
        <v>0.01</v>
      </c>
      <c r="C9">
        <v>0</v>
      </c>
    </row>
    <row r="10" spans="1:3" x14ac:dyDescent="0.25">
      <c r="A10" t="s">
        <v>56</v>
      </c>
      <c r="B10">
        <v>0.01</v>
      </c>
      <c r="C10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2" sqref="B12"/>
    </sheetView>
  </sheetViews>
  <sheetFormatPr defaultColWidth="8.85546875" defaultRowHeight="15" x14ac:dyDescent="0.25"/>
  <cols>
    <col min="1" max="1" width="14.85546875" bestFit="1" customWidth="1"/>
    <col min="2" max="2" width="8.42578125" bestFit="1" customWidth="1"/>
    <col min="3" max="3" width="12" bestFit="1" customWidth="1"/>
    <col min="4" max="4" width="13.42578125" bestFit="1" customWidth="1"/>
  </cols>
  <sheetData>
    <row r="1" spans="1:4" ht="15.75" x14ac:dyDescent="0.25">
      <c r="A1" s="1" t="s">
        <v>0</v>
      </c>
      <c r="B1" s="20" t="s">
        <v>61</v>
      </c>
      <c r="C1" s="20" t="s">
        <v>12</v>
      </c>
      <c r="D1" s="20" t="s">
        <v>62</v>
      </c>
    </row>
    <row r="2" spans="1:4" x14ac:dyDescent="0.25">
      <c r="A2" s="2" t="s">
        <v>1</v>
      </c>
    </row>
    <row r="3" spans="1:4" x14ac:dyDescent="0.25">
      <c r="A3" s="2" t="s">
        <v>2</v>
      </c>
    </row>
    <row r="4" spans="1:4" x14ac:dyDescent="0.25">
      <c r="A4" t="s">
        <v>3</v>
      </c>
    </row>
    <row r="5" spans="1:4" x14ac:dyDescent="0.25">
      <c r="A5" t="s">
        <v>56</v>
      </c>
      <c r="B5" s="46" t="s">
        <v>67</v>
      </c>
      <c r="C5" s="23" t="s">
        <v>23</v>
      </c>
      <c r="D5" s="23" t="s">
        <v>69</v>
      </c>
    </row>
    <row r="6" spans="1:4" x14ac:dyDescent="0.25">
      <c r="A6" t="s">
        <v>112</v>
      </c>
      <c r="B6" s="46" t="s">
        <v>67</v>
      </c>
      <c r="C6" s="23" t="s">
        <v>23</v>
      </c>
      <c r="D6" s="23" t="s">
        <v>69</v>
      </c>
    </row>
    <row r="7" spans="1:4" x14ac:dyDescent="0.25">
      <c r="A7" t="s">
        <v>113</v>
      </c>
      <c r="B7" s="46" t="s">
        <v>67</v>
      </c>
      <c r="C7" s="23" t="s">
        <v>23</v>
      </c>
      <c r="D7" s="23" t="s">
        <v>69</v>
      </c>
    </row>
    <row r="8" spans="1:4" x14ac:dyDescent="0.25">
      <c r="A8" t="s">
        <v>114</v>
      </c>
      <c r="B8" s="46" t="s">
        <v>67</v>
      </c>
      <c r="C8" s="23" t="s">
        <v>23</v>
      </c>
      <c r="D8" s="23" t="s">
        <v>69</v>
      </c>
    </row>
    <row r="9" spans="1:4" x14ac:dyDescent="0.25">
      <c r="A9" t="s">
        <v>115</v>
      </c>
      <c r="B9" s="46" t="s">
        <v>67</v>
      </c>
      <c r="C9" s="23" t="s">
        <v>23</v>
      </c>
      <c r="D9" s="23" t="s">
        <v>69</v>
      </c>
    </row>
    <row r="10" spans="1:4" x14ac:dyDescent="0.25">
      <c r="A10" t="s">
        <v>116</v>
      </c>
      <c r="B10" s="46" t="s">
        <v>67</v>
      </c>
      <c r="C10" s="23" t="s">
        <v>23</v>
      </c>
      <c r="D10" s="23" t="s">
        <v>69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C21" sqref="C21"/>
    </sheetView>
  </sheetViews>
  <sheetFormatPr defaultColWidth="8.85546875" defaultRowHeight="15" x14ac:dyDescent="0.25"/>
  <cols>
    <col min="1" max="1" width="24.28515625" bestFit="1" customWidth="1"/>
  </cols>
  <sheetData>
    <row r="1" spans="1:3" x14ac:dyDescent="0.25">
      <c r="A1" s="4" t="s">
        <v>28</v>
      </c>
      <c r="B1" s="5"/>
      <c r="C1" s="5"/>
    </row>
    <row r="2" spans="1:3" x14ac:dyDescent="0.25">
      <c r="A2" s="4" t="s">
        <v>29</v>
      </c>
      <c r="B2" s="5"/>
      <c r="C2" s="5"/>
    </row>
    <row r="3" spans="1:3" x14ac:dyDescent="0.25">
      <c r="A3" s="6"/>
      <c r="B3" s="7" t="s">
        <v>30</v>
      </c>
      <c r="C3" s="8" t="s">
        <v>31</v>
      </c>
    </row>
    <row r="4" spans="1:3" x14ac:dyDescent="0.25">
      <c r="A4" s="9" t="s">
        <v>32</v>
      </c>
      <c r="B4" s="10">
        <v>12</v>
      </c>
      <c r="C4" s="11">
        <f>(B4*$B$19)/1000/1000</f>
        <v>5.3537967341839917E-4</v>
      </c>
    </row>
    <row r="5" spans="1:3" x14ac:dyDescent="0.25">
      <c r="A5" s="9" t="s">
        <v>33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5">
      <c r="A6" s="9" t="s">
        <v>34</v>
      </c>
      <c r="B6" s="10">
        <v>28.010100000000001</v>
      </c>
      <c r="C6" s="11">
        <f t="shared" si="0"/>
        <v>1.2496698492013921E-3</v>
      </c>
    </row>
    <row r="7" spans="1:3" x14ac:dyDescent="0.25">
      <c r="A7" s="9" t="s">
        <v>35</v>
      </c>
      <c r="B7" s="10">
        <v>44.009500000000003</v>
      </c>
      <c r="C7" s="11">
        <f t="shared" si="0"/>
        <v>1.963482644775587E-3</v>
      </c>
    </row>
    <row r="8" spans="1:3" x14ac:dyDescent="0.25">
      <c r="A8" s="9" t="s">
        <v>36</v>
      </c>
      <c r="B8" s="10">
        <v>2.0158800000000001</v>
      </c>
      <c r="C8" s="11">
        <f t="shared" si="0"/>
        <v>8.9938431337556905E-5</v>
      </c>
    </row>
    <row r="9" spans="1:3" x14ac:dyDescent="0.25">
      <c r="A9" s="9" t="s">
        <v>37</v>
      </c>
      <c r="B9" s="10">
        <v>18.015280000000001</v>
      </c>
      <c r="C9" s="11">
        <f t="shared" si="0"/>
        <v>8.0375122691175155E-4</v>
      </c>
    </row>
    <row r="10" spans="1:3" x14ac:dyDescent="0.25">
      <c r="A10" s="9" t="s">
        <v>38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5">
      <c r="A11" s="9" t="s">
        <v>39</v>
      </c>
      <c r="B11" s="10">
        <v>28.013400000000001</v>
      </c>
      <c r="C11" s="11">
        <f t="shared" si="0"/>
        <v>1.2498170786115822E-3</v>
      </c>
    </row>
    <row r="12" spans="1:3" x14ac:dyDescent="0.25">
      <c r="A12" s="9" t="s">
        <v>40</v>
      </c>
      <c r="B12" s="10">
        <v>31.998799999999999</v>
      </c>
      <c r="C12" s="11">
        <f t="shared" si="0"/>
        <v>1.4276255911483892E-3</v>
      </c>
    </row>
    <row r="13" spans="1:3" x14ac:dyDescent="0.25">
      <c r="A13" s="12"/>
      <c r="B13" s="13"/>
      <c r="C13" s="14"/>
    </row>
    <row r="14" spans="1:3" x14ac:dyDescent="0.25">
      <c r="A14" s="5"/>
      <c r="B14" s="15"/>
      <c r="C14" s="15"/>
    </row>
    <row r="15" spans="1:3" x14ac:dyDescent="0.25">
      <c r="A15" s="4" t="s">
        <v>41</v>
      </c>
      <c r="B15" s="15"/>
      <c r="C15" s="15"/>
    </row>
    <row r="16" spans="1:3" x14ac:dyDescent="0.25">
      <c r="A16" s="29"/>
      <c r="B16" s="16" t="s">
        <v>42</v>
      </c>
      <c r="C16" s="16"/>
    </row>
    <row r="17" spans="1:3" x14ac:dyDescent="0.25">
      <c r="A17" s="29" t="s">
        <v>43</v>
      </c>
      <c r="B17" s="32">
        <v>3.6</v>
      </c>
      <c r="C17" s="10"/>
    </row>
    <row r="18" spans="1:3" x14ac:dyDescent="0.25">
      <c r="A18" s="29" t="s">
        <v>44</v>
      </c>
      <c r="B18" s="32">
        <f>B17/1000</f>
        <v>3.5999999999999999E-3</v>
      </c>
      <c r="C18" s="10"/>
    </row>
    <row r="19" spans="1:3" x14ac:dyDescent="0.25">
      <c r="A19" s="29" t="s">
        <v>45</v>
      </c>
      <c r="B19" s="32">
        <f>1/0.022414</f>
        <v>44.614972784866602</v>
      </c>
      <c r="C19" s="10"/>
    </row>
    <row r="20" spans="1:3" x14ac:dyDescent="0.25">
      <c r="A20" s="28" t="s">
        <v>79</v>
      </c>
      <c r="B20" s="30">
        <f>1.163</f>
        <v>1.163</v>
      </c>
    </row>
    <row r="21" spans="1:3" x14ac:dyDescent="0.25">
      <c r="A21" s="28" t="s">
        <v>82</v>
      </c>
      <c r="B21" s="31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6" sqref="C6"/>
    </sheetView>
  </sheetViews>
  <sheetFormatPr defaultColWidth="8.85546875" defaultRowHeight="15" x14ac:dyDescent="0.25"/>
  <cols>
    <col min="2" max="2" width="8.42578125" bestFit="1" customWidth="1"/>
  </cols>
  <sheetData>
    <row r="1" spans="1:4" x14ac:dyDescent="0.25">
      <c r="A1" s="1" t="s">
        <v>0</v>
      </c>
      <c r="B1" t="s">
        <v>8</v>
      </c>
      <c r="C1" t="s">
        <v>9</v>
      </c>
      <c r="D1" t="s">
        <v>86</v>
      </c>
    </row>
    <row r="2" spans="1:4" x14ac:dyDescent="0.25">
      <c r="A2" s="2" t="s">
        <v>1</v>
      </c>
      <c r="B2" t="s">
        <v>65</v>
      </c>
      <c r="C2" t="s">
        <v>66</v>
      </c>
    </row>
    <row r="3" spans="1:4" x14ac:dyDescent="0.25">
      <c r="A3" s="2" t="s">
        <v>2</v>
      </c>
    </row>
    <row r="4" spans="1:4" x14ac:dyDescent="0.25">
      <c r="A4" t="s">
        <v>3</v>
      </c>
    </row>
    <row r="5" spans="1:4" x14ac:dyDescent="0.25">
      <c r="A5" t="s">
        <v>56</v>
      </c>
      <c r="B5">
        <v>0.1</v>
      </c>
      <c r="C5">
        <v>0.1</v>
      </c>
    </row>
    <row r="6" spans="1:4" x14ac:dyDescent="0.25">
      <c r="A6" t="s">
        <v>112</v>
      </c>
      <c r="B6" s="23">
        <v>7.0000000000000007E-2</v>
      </c>
      <c r="C6" s="23">
        <v>0.108</v>
      </c>
    </row>
    <row r="7" spans="1:4" x14ac:dyDescent="0.25">
      <c r="A7" t="s">
        <v>113</v>
      </c>
      <c r="B7">
        <v>7.0000000000000007E-2</v>
      </c>
      <c r="C7">
        <v>0.108</v>
      </c>
    </row>
    <row r="8" spans="1:4" x14ac:dyDescent="0.25">
      <c r="A8" t="s">
        <v>114</v>
      </c>
      <c r="B8" s="23">
        <v>7.0000000000000007E-2</v>
      </c>
      <c r="C8" s="23">
        <v>0.108</v>
      </c>
    </row>
    <row r="9" spans="1:4" x14ac:dyDescent="0.25">
      <c r="A9" t="s">
        <v>115</v>
      </c>
      <c r="B9" s="23">
        <v>7.0000000000000007E-2</v>
      </c>
      <c r="C9">
        <f>17*Ref!B18</f>
        <v>6.1199999999999997E-2</v>
      </c>
      <c r="D9" s="35" t="s">
        <v>87</v>
      </c>
    </row>
    <row r="10" spans="1:4" x14ac:dyDescent="0.25">
      <c r="A10" t="s">
        <v>116</v>
      </c>
      <c r="B10" s="23">
        <v>7.0000000000000007E-2</v>
      </c>
      <c r="C10" s="23">
        <v>0.108</v>
      </c>
    </row>
  </sheetData>
  <hyperlinks>
    <hyperlink ref="D9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E18" sqref="E18"/>
    </sheetView>
  </sheetViews>
  <sheetFormatPr defaultColWidth="8.85546875" defaultRowHeight="15" x14ac:dyDescent="0.25"/>
  <cols>
    <col min="2" max="2" width="12.28515625" bestFit="1" customWidth="1"/>
    <col min="4" max="4" width="17.28515625" bestFit="1" customWidth="1"/>
    <col min="5" max="5" width="11.85546875" bestFit="1" customWidth="1"/>
    <col min="6" max="6" width="13.42578125" bestFit="1" customWidth="1"/>
  </cols>
  <sheetData>
    <row r="1" spans="1:7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13</v>
      </c>
      <c r="G1" t="s">
        <v>7</v>
      </c>
    </row>
    <row r="2" spans="1:7" x14ac:dyDescent="0.25">
      <c r="A2" s="2" t="s">
        <v>1</v>
      </c>
    </row>
    <row r="3" spans="1:7" x14ac:dyDescent="0.25">
      <c r="A3" s="2" t="s">
        <v>2</v>
      </c>
    </row>
    <row r="4" spans="1:7" x14ac:dyDescent="0.25">
      <c r="A4" t="s">
        <v>3</v>
      </c>
    </row>
    <row r="5" spans="1:7" x14ac:dyDescent="0.25">
      <c r="A5" t="s">
        <v>56</v>
      </c>
      <c r="B5">
        <v>0.01</v>
      </c>
      <c r="C5" t="s">
        <v>117</v>
      </c>
      <c r="D5">
        <v>0</v>
      </c>
      <c r="E5" t="s">
        <v>23</v>
      </c>
      <c r="F5">
        <v>0</v>
      </c>
      <c r="G5">
        <v>0.1</v>
      </c>
    </row>
    <row r="6" spans="1:7" x14ac:dyDescent="0.25">
      <c r="A6" t="s">
        <v>112</v>
      </c>
      <c r="B6">
        <v>0</v>
      </c>
      <c r="C6" t="s">
        <v>118</v>
      </c>
      <c r="D6">
        <v>0</v>
      </c>
      <c r="E6" t="s">
        <v>23</v>
      </c>
      <c r="F6">
        <v>0</v>
      </c>
      <c r="G6">
        <v>0</v>
      </c>
    </row>
    <row r="7" spans="1:7" x14ac:dyDescent="0.25">
      <c r="A7" t="s">
        <v>113</v>
      </c>
      <c r="B7">
        <v>0</v>
      </c>
      <c r="C7" t="s">
        <v>117</v>
      </c>
      <c r="D7">
        <v>0</v>
      </c>
      <c r="E7" t="s">
        <v>23</v>
      </c>
      <c r="F7">
        <v>0</v>
      </c>
      <c r="G7">
        <v>0</v>
      </c>
    </row>
    <row r="8" spans="1:7" x14ac:dyDescent="0.25">
      <c r="A8" t="s">
        <v>114</v>
      </c>
      <c r="B8">
        <v>0.01</v>
      </c>
      <c r="C8" t="s">
        <v>121</v>
      </c>
      <c r="D8">
        <v>0</v>
      </c>
      <c r="E8" t="s">
        <v>23</v>
      </c>
      <c r="F8">
        <v>0.3</v>
      </c>
      <c r="G8">
        <v>0.14000000000000001</v>
      </c>
    </row>
    <row r="9" spans="1:7" x14ac:dyDescent="0.25">
      <c r="A9" t="s">
        <v>115</v>
      </c>
      <c r="B9" s="23">
        <v>0.01</v>
      </c>
      <c r="C9" t="s">
        <v>117</v>
      </c>
      <c r="D9">
        <v>0</v>
      </c>
      <c r="E9" t="s">
        <v>23</v>
      </c>
      <c r="F9" s="23">
        <v>0</v>
      </c>
      <c r="G9" s="23">
        <v>0</v>
      </c>
    </row>
    <row r="10" spans="1:7" x14ac:dyDescent="0.25">
      <c r="A10" t="s">
        <v>116</v>
      </c>
      <c r="B10" s="33">
        <v>2.5999999999999999E-2</v>
      </c>
      <c r="C10" t="s">
        <v>120</v>
      </c>
      <c r="D10">
        <v>0</v>
      </c>
      <c r="E10" t="s">
        <v>23</v>
      </c>
      <c r="F10" s="23">
        <v>0.1</v>
      </c>
      <c r="G10" s="34">
        <f>26*Ref!B21*Ref!B18</f>
        <v>8.4912592646351759E-2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workbookViewId="0">
      <selection activeCell="E27" sqref="E27"/>
    </sheetView>
  </sheetViews>
  <sheetFormatPr defaultColWidth="8.85546875" defaultRowHeight="15" x14ac:dyDescent="0.25"/>
  <cols>
    <col min="1" max="1" width="16.42578125" bestFit="1" customWidth="1"/>
    <col min="2" max="2" width="17.85546875" bestFit="1" customWidth="1"/>
    <col min="3" max="3" width="9" bestFit="1" customWidth="1"/>
    <col min="4" max="4" width="17.85546875" bestFit="1" customWidth="1"/>
    <col min="5" max="5" width="11.85546875" bestFit="1" customWidth="1"/>
    <col min="6" max="6" width="12.7109375" bestFit="1" customWidth="1"/>
    <col min="7" max="7" width="17.85546875" bestFit="1" customWidth="1"/>
  </cols>
  <sheetData>
    <row r="1" spans="1:8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14</v>
      </c>
      <c r="G1" t="s">
        <v>7</v>
      </c>
      <c r="H1" t="s">
        <v>2</v>
      </c>
    </row>
    <row r="2" spans="1:8" x14ac:dyDescent="0.25">
      <c r="A2" s="2" t="s">
        <v>1</v>
      </c>
      <c r="B2" t="s">
        <v>24</v>
      </c>
      <c r="D2" t="s">
        <v>24</v>
      </c>
      <c r="F2" t="s">
        <v>25</v>
      </c>
      <c r="G2" t="s">
        <v>46</v>
      </c>
    </row>
    <row r="3" spans="1:8" x14ac:dyDescent="0.25">
      <c r="A3" s="2" t="s">
        <v>2</v>
      </c>
    </row>
    <row r="4" spans="1:8" x14ac:dyDescent="0.25">
      <c r="A4" t="s">
        <v>3</v>
      </c>
    </row>
    <row r="5" spans="1:8" x14ac:dyDescent="0.25">
      <c r="A5" t="s">
        <v>56</v>
      </c>
      <c r="B5">
        <v>0.04</v>
      </c>
      <c r="C5" t="s">
        <v>117</v>
      </c>
      <c r="D5">
        <v>0</v>
      </c>
      <c r="E5" t="s">
        <v>23</v>
      </c>
      <c r="F5">
        <v>0.1</v>
      </c>
      <c r="G5">
        <v>0.14000000000000001</v>
      </c>
    </row>
    <row r="6" spans="1:8" x14ac:dyDescent="0.25">
      <c r="A6" t="s">
        <v>112</v>
      </c>
      <c r="B6">
        <v>5.1040000000000002E-2</v>
      </c>
      <c r="C6" t="s">
        <v>118</v>
      </c>
      <c r="D6">
        <v>0</v>
      </c>
      <c r="E6" t="s">
        <v>23</v>
      </c>
      <c r="F6">
        <v>0.14069999999999999</v>
      </c>
      <c r="G6">
        <f>4.93*Ref!B18</f>
        <v>1.7748E-2</v>
      </c>
    </row>
    <row r="7" spans="1:8" x14ac:dyDescent="0.25">
      <c r="A7" t="s">
        <v>113</v>
      </c>
      <c r="B7">
        <v>0.05</v>
      </c>
      <c r="C7" t="s">
        <v>117</v>
      </c>
      <c r="D7">
        <v>0</v>
      </c>
      <c r="E7" t="s">
        <v>23</v>
      </c>
      <c r="F7">
        <v>9.4E-2</v>
      </c>
      <c r="G7">
        <v>1.1520000000000001E-2</v>
      </c>
    </row>
    <row r="8" spans="1:8" x14ac:dyDescent="0.25">
      <c r="A8" t="s">
        <v>114</v>
      </c>
      <c r="B8">
        <v>0.04</v>
      </c>
      <c r="C8" t="s">
        <v>121</v>
      </c>
      <c r="D8">
        <v>0</v>
      </c>
      <c r="E8" t="s">
        <v>23</v>
      </c>
      <c r="F8" s="23">
        <v>0.1</v>
      </c>
      <c r="G8">
        <v>0.14000000000000001</v>
      </c>
    </row>
    <row r="9" spans="1:8" x14ac:dyDescent="0.25">
      <c r="A9" t="s">
        <v>115</v>
      </c>
      <c r="B9" s="23">
        <v>0.05</v>
      </c>
      <c r="C9" t="s">
        <v>117</v>
      </c>
      <c r="D9">
        <v>0</v>
      </c>
      <c r="E9" t="s">
        <v>23</v>
      </c>
      <c r="F9" s="33">
        <v>8.4699999999999998E-2</v>
      </c>
      <c r="G9" s="23">
        <v>0.05</v>
      </c>
    </row>
    <row r="10" spans="1:8" x14ac:dyDescent="0.25">
      <c r="A10" t="s">
        <v>116</v>
      </c>
      <c r="B10" s="33">
        <f>1.4*Ref!B20/28</f>
        <v>5.8149999999999993E-2</v>
      </c>
      <c r="C10" t="s">
        <v>124</v>
      </c>
      <c r="D10" s="33">
        <v>0</v>
      </c>
      <c r="E10" s="33" t="s">
        <v>23</v>
      </c>
      <c r="F10" s="23">
        <v>0.1</v>
      </c>
      <c r="G10" s="34">
        <f>26*Ref!B21*Ref!B18</f>
        <v>8.4912592646351759E-2</v>
      </c>
      <c r="H10" t="s">
        <v>85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"/>
  <sheetViews>
    <sheetView tabSelected="1" topLeftCell="B1" zoomScale="99" workbookViewId="0">
      <selection activeCell="L19" sqref="L19"/>
    </sheetView>
  </sheetViews>
  <sheetFormatPr defaultColWidth="8.85546875" defaultRowHeight="15" x14ac:dyDescent="0.25"/>
  <cols>
    <col min="1" max="1" width="14.85546875" bestFit="1" customWidth="1"/>
    <col min="2" max="2" width="14" bestFit="1" customWidth="1"/>
    <col min="3" max="3" width="14.140625" bestFit="1" customWidth="1"/>
    <col min="4" max="4" width="12.28515625" style="3" bestFit="1" customWidth="1"/>
    <col min="5" max="5" width="19.85546875" bestFit="1" customWidth="1"/>
    <col min="6" max="6" width="16.42578125" bestFit="1" customWidth="1"/>
    <col min="7" max="7" width="14.42578125" bestFit="1" customWidth="1"/>
    <col min="9" max="9" width="22.140625" bestFit="1" customWidth="1"/>
    <col min="10" max="10" width="18.7109375" bestFit="1" customWidth="1"/>
    <col min="11" max="11" width="19.42578125" bestFit="1" customWidth="1"/>
    <col min="12" max="12" width="21.7109375" bestFit="1" customWidth="1"/>
    <col min="13" max="13" width="17.85546875" bestFit="1" customWidth="1"/>
  </cols>
  <sheetData>
    <row r="1" spans="1:13" x14ac:dyDescent="0.25">
      <c r="A1" s="1" t="s">
        <v>0</v>
      </c>
      <c r="B1" s="3" t="s">
        <v>26</v>
      </c>
      <c r="C1" s="3" t="s">
        <v>27</v>
      </c>
      <c r="D1" s="3" t="s">
        <v>19</v>
      </c>
      <c r="E1" t="s">
        <v>51</v>
      </c>
      <c r="F1" t="s">
        <v>52</v>
      </c>
      <c r="G1" t="s">
        <v>53</v>
      </c>
      <c r="H1" t="s">
        <v>12</v>
      </c>
      <c r="I1" s="19" t="s">
        <v>16</v>
      </c>
      <c r="J1" t="s">
        <v>15</v>
      </c>
      <c r="K1" t="s">
        <v>17</v>
      </c>
      <c r="L1" t="s">
        <v>18</v>
      </c>
      <c r="M1" t="s">
        <v>7</v>
      </c>
    </row>
    <row r="2" spans="1:13" x14ac:dyDescent="0.25">
      <c r="A2" s="2" t="s">
        <v>1</v>
      </c>
      <c r="B2" s="2" t="s">
        <v>47</v>
      </c>
      <c r="C2" s="2" t="s">
        <v>48</v>
      </c>
      <c r="D2" s="2" t="s">
        <v>49</v>
      </c>
      <c r="E2" s="2" t="s">
        <v>50</v>
      </c>
      <c r="G2" s="2" t="s">
        <v>54</v>
      </c>
      <c r="I2" s="2" t="s">
        <v>55</v>
      </c>
      <c r="K2" t="s">
        <v>54</v>
      </c>
      <c r="M2" t="s">
        <v>58</v>
      </c>
    </row>
    <row r="3" spans="1:13" x14ac:dyDescent="0.25">
      <c r="A3" s="2" t="s">
        <v>2</v>
      </c>
      <c r="B3" s="2"/>
      <c r="C3" s="2"/>
      <c r="D3" s="2"/>
    </row>
    <row r="4" spans="1:13" x14ac:dyDescent="0.25">
      <c r="A4" t="s">
        <v>3</v>
      </c>
    </row>
    <row r="5" spans="1:13" x14ac:dyDescent="0.25">
      <c r="A5" t="s">
        <v>56</v>
      </c>
      <c r="B5">
        <v>1.1499999999999999</v>
      </c>
      <c r="C5">
        <v>0.15</v>
      </c>
      <c r="D5" s="3">
        <v>0.15</v>
      </c>
      <c r="E5" s="3">
        <v>0.3</v>
      </c>
      <c r="F5" t="s">
        <v>117</v>
      </c>
      <c r="G5">
        <v>0.5</v>
      </c>
      <c r="H5" t="s">
        <v>23</v>
      </c>
      <c r="I5">
        <v>0.2</v>
      </c>
      <c r="J5" t="s">
        <v>71</v>
      </c>
      <c r="K5">
        <v>0.3</v>
      </c>
      <c r="L5" t="s">
        <v>23</v>
      </c>
      <c r="M5">
        <v>0.24</v>
      </c>
    </row>
    <row r="6" spans="1:13" x14ac:dyDescent="0.25">
      <c r="A6" t="s">
        <v>112</v>
      </c>
      <c r="B6">
        <v>1.3141700000000001</v>
      </c>
      <c r="C6">
        <v>0</v>
      </c>
      <c r="D6" s="23">
        <v>0.01</v>
      </c>
      <c r="E6">
        <v>0.28799999999999998</v>
      </c>
      <c r="F6" t="s">
        <v>118</v>
      </c>
      <c r="G6">
        <v>0</v>
      </c>
      <c r="H6" t="s">
        <v>23</v>
      </c>
      <c r="I6">
        <v>0.20499999999999999</v>
      </c>
      <c r="J6" t="s">
        <v>119</v>
      </c>
      <c r="K6">
        <v>0</v>
      </c>
      <c r="L6" t="s">
        <v>23</v>
      </c>
      <c r="M6">
        <f>(110-36.44)*Ref!B18</f>
        <v>0.264816</v>
      </c>
    </row>
    <row r="7" spans="1:13" x14ac:dyDescent="0.25">
      <c r="A7" t="s">
        <v>113</v>
      </c>
      <c r="B7">
        <v>1.1200000000000001</v>
      </c>
      <c r="C7">
        <v>0</v>
      </c>
      <c r="D7" s="22">
        <f>0.013*(56/100)</f>
        <v>7.28E-3</v>
      </c>
      <c r="E7">
        <v>0.3548</v>
      </c>
      <c r="F7" t="s">
        <v>117</v>
      </c>
      <c r="G7">
        <v>0</v>
      </c>
      <c r="H7" t="s">
        <v>23</v>
      </c>
      <c r="I7">
        <v>0.152</v>
      </c>
      <c r="J7" t="s">
        <v>120</v>
      </c>
      <c r="K7">
        <v>0</v>
      </c>
      <c r="L7" t="s">
        <v>23</v>
      </c>
      <c r="M7" s="21">
        <v>0.10444000000000001</v>
      </c>
    </row>
    <row r="8" spans="1:13" x14ac:dyDescent="0.25">
      <c r="A8" t="s">
        <v>114</v>
      </c>
      <c r="B8">
        <v>1.17</v>
      </c>
      <c r="C8">
        <v>0.12</v>
      </c>
      <c r="D8" s="23">
        <v>0.01</v>
      </c>
      <c r="E8" s="3">
        <v>0.36499999999999999</v>
      </c>
      <c r="F8" t="s">
        <v>121</v>
      </c>
      <c r="G8">
        <v>0</v>
      </c>
      <c r="H8" t="s">
        <v>23</v>
      </c>
      <c r="I8">
        <v>0.14000000000000001</v>
      </c>
      <c r="J8" t="s">
        <v>122</v>
      </c>
      <c r="K8">
        <v>0</v>
      </c>
      <c r="L8" t="s">
        <v>23</v>
      </c>
      <c r="M8">
        <v>0.24</v>
      </c>
    </row>
    <row r="9" spans="1:13" x14ac:dyDescent="0.25">
      <c r="A9" t="s">
        <v>115</v>
      </c>
      <c r="B9" s="33">
        <f>0.85*1.15</f>
        <v>0.97749999999999992</v>
      </c>
      <c r="C9" s="33">
        <f>0.15*1.15</f>
        <v>0.17249999999999999</v>
      </c>
      <c r="D9" s="23">
        <v>0.01</v>
      </c>
      <c r="E9" s="3">
        <v>0.45300000000000001</v>
      </c>
      <c r="F9" t="s">
        <v>117</v>
      </c>
      <c r="G9" s="3">
        <v>0</v>
      </c>
      <c r="H9" t="s">
        <v>23</v>
      </c>
      <c r="I9" s="3">
        <v>9.1600000000000001E-2</v>
      </c>
      <c r="J9" t="s">
        <v>123</v>
      </c>
      <c r="K9">
        <v>0</v>
      </c>
      <c r="L9" t="s">
        <v>23</v>
      </c>
      <c r="M9" s="23">
        <v>0.2</v>
      </c>
    </row>
    <row r="10" spans="1:13" x14ac:dyDescent="0.25">
      <c r="A10" t="s">
        <v>116</v>
      </c>
      <c r="B10">
        <v>0</v>
      </c>
      <c r="C10" s="26">
        <f>70.2/54.4</f>
        <v>1.2904411764705883</v>
      </c>
      <c r="D10" s="33">
        <f>0.25*0.56</f>
        <v>0.14000000000000001</v>
      </c>
      <c r="E10" s="33">
        <v>0.32500000000000001</v>
      </c>
      <c r="F10" t="s">
        <v>124</v>
      </c>
      <c r="G10" s="3">
        <v>0</v>
      </c>
      <c r="H10" t="s">
        <v>23</v>
      </c>
      <c r="I10" s="33">
        <v>0.16</v>
      </c>
      <c r="J10" t="s">
        <v>125</v>
      </c>
      <c r="K10">
        <v>0</v>
      </c>
      <c r="L10" t="s">
        <v>23</v>
      </c>
      <c r="M10">
        <f>0.06*Ref!B20</f>
        <v>6.9779999999999995E-2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I23" sqref="I23:I24"/>
    </sheetView>
  </sheetViews>
  <sheetFormatPr defaultColWidth="8.85546875" defaultRowHeight="15" x14ac:dyDescent="0.25"/>
  <cols>
    <col min="1" max="1" width="14.85546875" bestFit="1" customWidth="1"/>
    <col min="2" max="2" width="11.7109375" customWidth="1"/>
    <col min="3" max="3" width="14.140625" bestFit="1" customWidth="1"/>
    <col min="4" max="4" width="17.7109375" bestFit="1" customWidth="1"/>
    <col min="5" max="5" width="14.28515625" bestFit="1" customWidth="1"/>
    <col min="6" max="6" width="18.140625" bestFit="1" customWidth="1"/>
    <col min="7" max="7" width="11.85546875" bestFit="1" customWidth="1"/>
    <col min="8" max="8" width="12.28515625" bestFit="1" customWidth="1"/>
    <col min="9" max="9" width="17.85546875" bestFit="1" customWidth="1"/>
  </cols>
  <sheetData>
    <row r="1" spans="1:10" x14ac:dyDescent="0.25">
      <c r="A1" s="1" t="s">
        <v>0</v>
      </c>
      <c r="B1" s="3" t="s">
        <v>75</v>
      </c>
      <c r="C1" t="s">
        <v>20</v>
      </c>
      <c r="D1" t="s">
        <v>4</v>
      </c>
      <c r="E1" t="s">
        <v>21</v>
      </c>
      <c r="F1" t="s">
        <v>22</v>
      </c>
      <c r="G1" t="s">
        <v>12</v>
      </c>
      <c r="H1" t="s">
        <v>19</v>
      </c>
      <c r="I1" t="s">
        <v>7</v>
      </c>
      <c r="J1" t="s">
        <v>70</v>
      </c>
    </row>
    <row r="2" spans="1:10" x14ac:dyDescent="0.25">
      <c r="A2" s="2" t="s">
        <v>1</v>
      </c>
      <c r="B2" s="2" t="s">
        <v>76</v>
      </c>
      <c r="C2" t="s">
        <v>72</v>
      </c>
      <c r="I2" t="s">
        <v>74</v>
      </c>
      <c r="J2" t="s">
        <v>73</v>
      </c>
    </row>
    <row r="3" spans="1:10" x14ac:dyDescent="0.25">
      <c r="A3" s="2" t="s">
        <v>2</v>
      </c>
      <c r="B3" s="2"/>
    </row>
    <row r="4" spans="1:10" x14ac:dyDescent="0.25">
      <c r="A4" t="s">
        <v>3</v>
      </c>
    </row>
    <row r="5" spans="1:10" x14ac:dyDescent="0.25">
      <c r="A5" t="s">
        <v>56</v>
      </c>
      <c r="B5">
        <f>0.95</f>
        <v>0.95</v>
      </c>
      <c r="C5">
        <v>0.155</v>
      </c>
      <c r="D5">
        <v>0.01</v>
      </c>
      <c r="E5" t="s">
        <v>117</v>
      </c>
      <c r="F5">
        <v>0</v>
      </c>
      <c r="G5" t="s">
        <v>23</v>
      </c>
      <c r="H5">
        <v>0.1</v>
      </c>
      <c r="I5">
        <v>0.1</v>
      </c>
      <c r="J5">
        <v>7.0000000000000007E-2</v>
      </c>
    </row>
    <row r="6" spans="1:10" x14ac:dyDescent="0.25">
      <c r="A6" t="s">
        <v>112</v>
      </c>
      <c r="B6">
        <f>0.95</f>
        <v>0.95</v>
      </c>
      <c r="C6">
        <v>0.14000000000000001</v>
      </c>
      <c r="D6">
        <v>0</v>
      </c>
      <c r="E6" t="s">
        <v>118</v>
      </c>
      <c r="F6">
        <v>0</v>
      </c>
      <c r="G6" t="s">
        <v>23</v>
      </c>
      <c r="H6" s="24">
        <f>H7</f>
        <v>6.9159520000000002E-2</v>
      </c>
      <c r="I6">
        <f>35.5*Ref!B18</f>
        <v>0.1278</v>
      </c>
      <c r="J6">
        <f>51.08*Ref!C12</f>
        <v>7.2923115195859714E-2</v>
      </c>
    </row>
    <row r="7" spans="1:10" x14ac:dyDescent="0.25">
      <c r="A7" t="s">
        <v>113</v>
      </c>
      <c r="B7">
        <f>0.9058</f>
        <v>0.90580000000000005</v>
      </c>
      <c r="C7">
        <f>0.1169+0.0731</f>
        <v>0.19</v>
      </c>
      <c r="D7">
        <v>0</v>
      </c>
      <c r="E7" t="s">
        <v>117</v>
      </c>
      <c r="F7">
        <v>0</v>
      </c>
      <c r="G7" t="s">
        <v>23</v>
      </c>
      <c r="H7" s="21">
        <f>0.9136*0.0757</f>
        <v>6.9159520000000002E-2</v>
      </c>
      <c r="I7">
        <v>7.1999999999999995E-2</v>
      </c>
      <c r="J7">
        <v>7.4236999999999997E-2</v>
      </c>
    </row>
    <row r="8" spans="1:10" x14ac:dyDescent="0.25">
      <c r="A8" t="s">
        <v>114</v>
      </c>
      <c r="B8">
        <v>0.95</v>
      </c>
      <c r="C8">
        <v>0.155</v>
      </c>
      <c r="D8">
        <v>0.01</v>
      </c>
      <c r="E8" t="s">
        <v>121</v>
      </c>
      <c r="F8">
        <v>0</v>
      </c>
      <c r="G8" t="s">
        <v>23</v>
      </c>
      <c r="H8" s="23">
        <v>6.9000000000000006E-2</v>
      </c>
      <c r="I8">
        <v>0.2</v>
      </c>
      <c r="J8" s="23">
        <v>7.0000000000000007E-2</v>
      </c>
    </row>
    <row r="9" spans="1:10" x14ac:dyDescent="0.25">
      <c r="A9" t="s">
        <v>115</v>
      </c>
      <c r="B9" s="23">
        <v>0.95</v>
      </c>
      <c r="C9" s="23">
        <v>0.155</v>
      </c>
      <c r="D9">
        <v>0</v>
      </c>
      <c r="E9" t="s">
        <v>117</v>
      </c>
      <c r="F9">
        <v>0</v>
      </c>
      <c r="G9" t="s">
        <v>23</v>
      </c>
      <c r="H9" s="23">
        <v>6.9000000000000006E-2</v>
      </c>
      <c r="J9" s="23">
        <v>7.0000000000000007E-2</v>
      </c>
    </row>
    <row r="10" spans="1:10" x14ac:dyDescent="0.25">
      <c r="A10" t="s">
        <v>116</v>
      </c>
      <c r="B10" s="27">
        <f>53.4/62.7</f>
        <v>0.85167464114832525</v>
      </c>
      <c r="C10" s="27">
        <f>17/62.7</f>
        <v>0.27113237639553428</v>
      </c>
      <c r="D10">
        <v>0</v>
      </c>
      <c r="E10" t="s">
        <v>124</v>
      </c>
      <c r="F10">
        <v>0</v>
      </c>
      <c r="G10" t="s">
        <v>23</v>
      </c>
      <c r="H10" s="23">
        <v>0.04</v>
      </c>
      <c r="I10">
        <f>0.04*Ref!B20</f>
        <v>4.6519999999999999E-2</v>
      </c>
      <c r="J10" s="23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"/>
  <sheetViews>
    <sheetView workbookViewId="0">
      <selection activeCell="E29" sqref="E29"/>
    </sheetView>
  </sheetViews>
  <sheetFormatPr defaultColWidth="11.42578125" defaultRowHeight="15" x14ac:dyDescent="0.25"/>
  <cols>
    <col min="1" max="1" width="23.42578125" bestFit="1" customWidth="1"/>
    <col min="2" max="2" width="18.5703125" customWidth="1"/>
    <col min="3" max="3" width="13.7109375" bestFit="1" customWidth="1"/>
  </cols>
  <sheetData>
    <row r="1" spans="1:3" s="1" customFormat="1" x14ac:dyDescent="0.25">
      <c r="A1" s="1" t="s">
        <v>0</v>
      </c>
      <c r="B1" s="3" t="s">
        <v>7</v>
      </c>
      <c r="C1" s="3" t="s">
        <v>83</v>
      </c>
    </row>
    <row r="2" spans="1:3" s="2" customFormat="1" x14ac:dyDescent="0.25">
      <c r="A2" s="2" t="s">
        <v>80</v>
      </c>
      <c r="C2" s="2" t="s">
        <v>84</v>
      </c>
    </row>
    <row r="3" spans="1:3" s="2" customFormat="1" x14ac:dyDescent="0.25">
      <c r="A3" s="2" t="s">
        <v>2</v>
      </c>
      <c r="B3" s="2" t="s">
        <v>81</v>
      </c>
    </row>
    <row r="4" spans="1:3" x14ac:dyDescent="0.25">
      <c r="A4" t="s">
        <v>3</v>
      </c>
    </row>
    <row r="5" spans="1:3" x14ac:dyDescent="0.25">
      <c r="A5" t="s">
        <v>56</v>
      </c>
    </row>
    <row r="6" spans="1:3" x14ac:dyDescent="0.25">
      <c r="A6" t="s">
        <v>112</v>
      </c>
      <c r="B6">
        <f>0.75*Electricity!B6</f>
        <v>0.24480000000000002</v>
      </c>
    </row>
    <row r="7" spans="1:3" x14ac:dyDescent="0.25">
      <c r="A7" t="s">
        <v>113</v>
      </c>
    </row>
    <row r="8" spans="1:3" x14ac:dyDescent="0.25">
      <c r="A8" t="s">
        <v>114</v>
      </c>
    </row>
    <row r="9" spans="1:3" x14ac:dyDescent="0.25">
      <c r="A9" t="s">
        <v>115</v>
      </c>
    </row>
    <row r="10" spans="1:3" x14ac:dyDescent="0.25">
      <c r="A10" t="s">
        <v>116</v>
      </c>
      <c r="B10">
        <f>(0.05+0.33)*Ref!B20</f>
        <v>0.44194</v>
      </c>
      <c r="C10" s="21">
        <f>(1-81.9/86.4)</f>
        <v>5.208333333333337E-2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"/>
  <sheetViews>
    <sheetView workbookViewId="0">
      <selection activeCell="E24" sqref="E24"/>
    </sheetView>
  </sheetViews>
  <sheetFormatPr defaultColWidth="10.140625" defaultRowHeight="15" x14ac:dyDescent="0.25"/>
  <cols>
    <col min="1" max="1" width="14.85546875" bestFit="1" customWidth="1"/>
    <col min="2" max="2" width="21.42578125" style="5" bestFit="1" customWidth="1"/>
    <col min="3" max="3" width="17.85546875" style="5" bestFit="1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16384" width="10.140625" style="5"/>
  </cols>
  <sheetData>
    <row r="1" spans="1:3" s="1" customFormat="1" x14ac:dyDescent="0.25">
      <c r="A1" s="1" t="s">
        <v>0</v>
      </c>
      <c r="B1" s="19" t="s">
        <v>60</v>
      </c>
      <c r="C1" s="18" t="s">
        <v>9</v>
      </c>
    </row>
    <row r="2" spans="1:3" x14ac:dyDescent="0.25">
      <c r="A2" s="2" t="s">
        <v>1</v>
      </c>
      <c r="C2" s="19" t="s">
        <v>77</v>
      </c>
    </row>
    <row r="3" spans="1:3" x14ac:dyDescent="0.25">
      <c r="A3" s="2" t="s">
        <v>2</v>
      </c>
    </row>
    <row r="4" spans="1:3" x14ac:dyDescent="0.25">
      <c r="A4" t="s">
        <v>3</v>
      </c>
    </row>
    <row r="5" spans="1:3" x14ac:dyDescent="0.25">
      <c r="A5" t="s">
        <v>56</v>
      </c>
      <c r="B5" s="5">
        <f>B6</f>
        <v>0.87</v>
      </c>
      <c r="C5" s="5">
        <v>2</v>
      </c>
    </row>
    <row r="6" spans="1:3" x14ac:dyDescent="0.25">
      <c r="A6" t="s">
        <v>112</v>
      </c>
      <c r="B6" s="5">
        <f>B7</f>
        <v>0.87</v>
      </c>
      <c r="C6" s="5">
        <f>8.2*0.3264</f>
        <v>2.6764799999999997</v>
      </c>
    </row>
    <row r="7" spans="1:3" x14ac:dyDescent="0.25">
      <c r="A7" t="s">
        <v>113</v>
      </c>
      <c r="B7" s="5">
        <v>0.87</v>
      </c>
      <c r="C7" s="5">
        <v>1.3869199999999999</v>
      </c>
    </row>
    <row r="8" spans="1:3" x14ac:dyDescent="0.25">
      <c r="A8" t="s">
        <v>114</v>
      </c>
      <c r="B8" s="25">
        <f>B7</f>
        <v>0.87</v>
      </c>
      <c r="C8" s="25">
        <f>C7</f>
        <v>1.3869199999999999</v>
      </c>
    </row>
    <row r="9" spans="1:3" x14ac:dyDescent="0.25">
      <c r="A9" t="s">
        <v>115</v>
      </c>
      <c r="B9" s="25">
        <f>B8</f>
        <v>0.87</v>
      </c>
      <c r="C9" s="25">
        <f>8.2*0.3264</f>
        <v>2.6764799999999997</v>
      </c>
    </row>
    <row r="10" spans="1:3" x14ac:dyDescent="0.25">
      <c r="A10" t="s">
        <v>116</v>
      </c>
      <c r="B10" s="25">
        <f>B9</f>
        <v>0.87</v>
      </c>
      <c r="C10" s="25">
        <v>1.3869199999999999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D5" sqref="D5"/>
    </sheetView>
  </sheetViews>
  <sheetFormatPr defaultColWidth="10.140625" defaultRowHeight="15" x14ac:dyDescent="0.25"/>
  <cols>
    <col min="1" max="1" width="14.85546875" bestFit="1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8" width="20.42578125" style="5" bestFit="1" customWidth="1"/>
    <col min="9" max="9" width="11" style="5" bestFit="1" customWidth="1"/>
    <col min="10" max="16384" width="10.140625" style="5"/>
  </cols>
  <sheetData>
    <row r="1" spans="1:10" x14ac:dyDescent="0.25">
      <c r="A1" s="1" t="s">
        <v>0</v>
      </c>
      <c r="B1" s="17" t="s">
        <v>59</v>
      </c>
      <c r="C1" s="17" t="s">
        <v>88</v>
      </c>
      <c r="D1" s="1" t="s">
        <v>61</v>
      </c>
      <c r="E1" s="1" t="s">
        <v>2</v>
      </c>
      <c r="F1" s="1"/>
      <c r="G1" s="1"/>
      <c r="H1" s="1"/>
      <c r="I1" s="1"/>
      <c r="J1" s="1"/>
    </row>
    <row r="2" spans="1:10" x14ac:dyDescent="0.25">
      <c r="A2" s="2" t="s">
        <v>1</v>
      </c>
      <c r="B2" s="19" t="s">
        <v>68</v>
      </c>
      <c r="C2" s="19" t="s">
        <v>89</v>
      </c>
      <c r="G2" s="17"/>
    </row>
    <row r="3" spans="1:10" x14ac:dyDescent="0.25">
      <c r="A3" s="2" t="s">
        <v>2</v>
      </c>
    </row>
    <row r="4" spans="1:10" x14ac:dyDescent="0.25">
      <c r="A4" t="s">
        <v>3</v>
      </c>
    </row>
    <row r="5" spans="1:10" x14ac:dyDescent="0.25">
      <c r="A5" t="s">
        <v>56</v>
      </c>
      <c r="B5" s="5">
        <v>0.32</v>
      </c>
      <c r="C5" s="5">
        <v>0</v>
      </c>
      <c r="D5" s="19" t="s">
        <v>130</v>
      </c>
    </row>
    <row r="6" spans="1:10" x14ac:dyDescent="0.25">
      <c r="A6" t="s">
        <v>112</v>
      </c>
      <c r="B6" s="5">
        <v>0.32640000000000002</v>
      </c>
      <c r="C6" s="5">
        <v>0</v>
      </c>
      <c r="D6" t="s">
        <v>129</v>
      </c>
    </row>
    <row r="7" spans="1:10" x14ac:dyDescent="0.25">
      <c r="A7" t="s">
        <v>113</v>
      </c>
      <c r="B7" s="5">
        <v>0.32</v>
      </c>
      <c r="C7" s="5">
        <v>0</v>
      </c>
      <c r="D7" t="s">
        <v>130</v>
      </c>
    </row>
    <row r="8" spans="1:10" x14ac:dyDescent="0.25">
      <c r="A8" t="s">
        <v>114</v>
      </c>
      <c r="B8" s="38">
        <v>0.4773</v>
      </c>
      <c r="C8" s="45">
        <v>0</v>
      </c>
      <c r="D8" t="s">
        <v>130</v>
      </c>
      <c r="E8" s="19" t="s">
        <v>78</v>
      </c>
    </row>
    <row r="9" spans="1:10" x14ac:dyDescent="0.25">
      <c r="A9" t="s">
        <v>115</v>
      </c>
      <c r="B9" s="38">
        <v>0.27550000000000002</v>
      </c>
      <c r="C9" s="45">
        <v>0</v>
      </c>
      <c r="D9" t="s">
        <v>123</v>
      </c>
      <c r="E9" s="19" t="s">
        <v>78</v>
      </c>
    </row>
    <row r="10" spans="1:10" x14ac:dyDescent="0.25">
      <c r="A10" t="s">
        <v>116</v>
      </c>
      <c r="B10" s="5">
        <f>18/39</f>
        <v>0.46153846153846156</v>
      </c>
      <c r="C10" s="5">
        <v>0</v>
      </c>
      <c r="D10" t="s">
        <v>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Coke</vt:lpstr>
      <vt:lpstr>Lime</vt:lpstr>
      <vt:lpstr>Pellets</vt:lpstr>
      <vt:lpstr>Sinter</vt:lpstr>
      <vt:lpstr>Iron</vt:lpstr>
      <vt:lpstr>Steel</vt:lpstr>
      <vt:lpstr>Finishing</vt:lpstr>
      <vt:lpstr>Oxygen</vt:lpstr>
      <vt:lpstr>Electricity</vt:lpstr>
      <vt:lpstr>Heat</vt:lpstr>
      <vt:lpstr>CO2 Capture</vt:lpstr>
      <vt:lpstr>CO2 Storage</vt:lpstr>
      <vt:lpstr>Fuel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2019-04-29T16:27:44Z</dcterms:modified>
</cp:coreProperties>
</file>