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tanzer\GitHub\BlackBlox\data\shared\"/>
    </mc:Choice>
  </mc:AlternateContent>
  <bookViews>
    <workbookView xWindow="6360" yWindow="465" windowWidth="20865" windowHeight="16845"/>
  </bookViews>
  <sheets>
    <sheet name="Fuels" sheetId="2" r:id="rId1"/>
  </sheets>
  <definedNames>
    <definedName name="fuels" localSheetId="0">Fuels!$A$1:$E$8</definedName>
  </definedNames>
  <calcPr calcId="162913"/>
</workbook>
</file>

<file path=xl/calcChain.xml><?xml version="1.0" encoding="utf-8"?>
<calcChain xmlns="http://schemas.openxmlformats.org/spreadsheetml/2006/main">
  <c r="M43" i="2" l="1"/>
  <c r="D45" i="2" l="1"/>
  <c r="D43" i="2"/>
  <c r="D36" i="2" l="1"/>
  <c r="D35" i="2"/>
  <c r="D34" i="2"/>
  <c r="D33" i="2"/>
  <c r="D32" i="2"/>
  <c r="D31" i="2"/>
  <c r="D30" i="2"/>
  <c r="D37" i="2"/>
  <c r="D38" i="2"/>
  <c r="D29" i="2"/>
  <c r="D28" i="2" l="1"/>
  <c r="D19" i="2"/>
  <c r="D13" i="2"/>
  <c r="K23" i="2" l="1"/>
  <c r="O24" i="2"/>
  <c r="O5" i="2"/>
  <c r="O17" i="2"/>
  <c r="O12" i="2"/>
  <c r="O10" i="2"/>
  <c r="O7" i="2"/>
  <c r="O26" i="2"/>
  <c r="O18" i="2"/>
  <c r="O8" i="2"/>
  <c r="O15" i="2"/>
  <c r="O25" i="2"/>
  <c r="O9" i="2"/>
  <c r="O16" i="2"/>
  <c r="O46" i="2"/>
  <c r="O11" i="2"/>
  <c r="O6" i="2"/>
  <c r="O39" i="2"/>
  <c r="O14" i="2"/>
  <c r="O4" i="2"/>
  <c r="C25" i="2" l="1"/>
  <c r="D25" i="2" s="1"/>
  <c r="D26" i="2"/>
  <c r="D24" i="2"/>
  <c r="D5" i="2" l="1"/>
  <c r="B25" i="2"/>
  <c r="D17" i="2"/>
  <c r="D12" i="2"/>
  <c r="D10" i="2"/>
  <c r="D7" i="2"/>
  <c r="D11" i="2"/>
  <c r="D16" i="2"/>
  <c r="D6" i="2"/>
  <c r="D18" i="2"/>
  <c r="C8" i="2"/>
  <c r="D8" i="2" s="1"/>
  <c r="D15" i="2" l="1"/>
  <c r="D9" i="2"/>
  <c r="D39" i="2" l="1"/>
  <c r="D4" i="2"/>
  <c r="O41" i="2" l="1"/>
  <c r="O42" i="2"/>
  <c r="O28" i="2" l="1"/>
  <c r="O19" i="2"/>
  <c r="O13" i="2"/>
  <c r="O40" i="2"/>
  <c r="O44" i="2"/>
  <c r="O47" i="2"/>
  <c r="O20" i="2"/>
  <c r="O23" i="2"/>
  <c r="O2" i="2"/>
  <c r="O3" i="2"/>
  <c r="D20" i="2" l="1"/>
  <c r="D2" i="2"/>
  <c r="E28" i="2"/>
  <c r="E19" i="2"/>
  <c r="E13" i="2"/>
  <c r="D3" i="2"/>
  <c r="J13" i="2" l="1"/>
  <c r="J28" i="2"/>
  <c r="J19" i="2"/>
</calcChain>
</file>

<file path=xl/comments1.xml><?xml version="1.0" encoding="utf-8"?>
<comments xmlns="http://schemas.openxmlformats.org/spreadsheetml/2006/main">
  <authors>
    <author>S.E. Tanzer</author>
  </authors>
  <commentList>
    <comment ref="D7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gCO2/gC * gC/MJ * MJ/kg * g/kg</t>
        </r>
      </text>
    </comment>
    <comment ref="D10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gCO2/gC * gC/MJ * MJ/kg * g/kg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gCO2/gC * gC/MJ * MJ/kg * g/kg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gCO2/gC * gC/MJ * MJ/kg * g/kg</t>
        </r>
      </text>
    </comment>
  </commentList>
</comments>
</file>

<file path=xl/connections.xml><?xml version="1.0" encoding="utf-8"?>
<connections xmlns="http://schemas.openxmlformats.org/spreadsheetml/2006/main">
  <connection id="1" name="fuels" type="6" refreshedVersion="6" background="1" saveData="1">
    <textPr sourceFile="/Users/Tanzer/GitHub/BlackBlox/globalData/fuels.tsv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<sst xmlns="http://schemas.openxmlformats.org/spreadsheetml/2006/main" count="107" uniqueCount="83">
  <si>
    <t>meta-notes</t>
  </si>
  <si>
    <t>CO2</t>
  </si>
  <si>
    <t>fuel</t>
  </si>
  <si>
    <t>HHV</t>
  </si>
  <si>
    <t>meta-units</t>
  </si>
  <si>
    <t>(t/t combusted)</t>
  </si>
  <si>
    <t>coal</t>
  </si>
  <si>
    <t>charcoal</t>
  </si>
  <si>
    <t>natural gas</t>
  </si>
  <si>
    <t>diesel</t>
  </si>
  <si>
    <t>wood chips</t>
  </si>
  <si>
    <t>H2O</t>
  </si>
  <si>
    <t>steam</t>
  </si>
  <si>
    <t>coke</t>
  </si>
  <si>
    <t>(gj/t)</t>
  </si>
  <si>
    <t>meta-source</t>
  </si>
  <si>
    <t>EUROFER</t>
  </si>
  <si>
    <t>Moisture Content</t>
  </si>
  <si>
    <t>t / t wet</t>
  </si>
  <si>
    <t>coking coal</t>
  </si>
  <si>
    <t>IEAGHG 2013</t>
  </si>
  <si>
    <t>LHV</t>
  </si>
  <si>
    <t>(gj/t dry)</t>
  </si>
  <si>
    <t>PCI coal</t>
  </si>
  <si>
    <t>IEAGHG</t>
  </si>
  <si>
    <t>upstream CO2</t>
  </si>
  <si>
    <t>C %</t>
  </si>
  <si>
    <t>H %</t>
  </si>
  <si>
    <t>S %</t>
  </si>
  <si>
    <t>Ash %</t>
  </si>
  <si>
    <t>t CO2 / t fuel</t>
  </si>
  <si>
    <t>ecoinvent 2.2</t>
  </si>
  <si>
    <t>CO2 removal</t>
  </si>
  <si>
    <t>biomass-to-fuel ratio</t>
  </si>
  <si>
    <t>is fossil</t>
  </si>
  <si>
    <t>is biofuel</t>
  </si>
  <si>
    <t>PROXY fuel mix (1:1 energy:mass unit)- Eurofer Electricity 2010</t>
  </si>
  <si>
    <t>PROXY fuel mix (1:1 energy:mass unit)- Eurofer Electricity 2050</t>
  </si>
  <si>
    <t>PROXY fuel mix (1:1 energy:mass unit)- Eurofer Electricity 2030</t>
  </si>
  <si>
    <t>none</t>
  </si>
  <si>
    <t>n/a</t>
  </si>
  <si>
    <t>IPCC EFDB</t>
  </si>
  <si>
    <t>https://pdf.sciencedirectassets.com/271097/1-s2.0-S0301421500X01073/1-s2.0-S0301421501001434/main.pdf?x-amz-security-token=AgoJb3JpZ2luX2VjEC8aCXVzLWVhc3QtMSJHMEUCIDycNgcmzDGaem%2B8hqymQUr9KTZdItafx2%2BhltFWNPC6AiEA4sAQrcZ%2F%2BuQ1csgrpfNBYG%2Bv7vHS4HdcfivGxvIcRtoq2gMIGBACGgwwNTkwMDM1NDY4NjUiDOfIyLb7NBWK%2BYzk%2FCq3AxVVI7%2BCKCw9sa5ecoz%2BySXr9i98aqWRO1jaGXHKMhua1AReJbnM5QHrl3x0rsxfvJ5wE6r%2BRUDYrIxtHemLlaEXLTcedV0N1KWL4A2AXt8mdh0ye4n3uryLo5sTaC9Ppzeq%2Bt3nUGeE%2BE4r38w1vVU00uUJJpQYzfi5rv6RItic7nJoHOjtoUW6AB%2FYWqosmp0FqiWALGAu0NK10ThnZpVHTjbQBuorP9cLkYbiZ2PSTqRDi6kCaa0s0yLp8i1N2U5%2BTysZWRJhzUiHyVr4x2p9R7fgBIYkPId8kxlHksd%2BSz2NfVJLgu8Trmm3ctiwC9dLUinhc%2BuLP8BR7EmqTbcFKM6Lml12FSJf6599qox7%2Bxwi7bR5aFyRdcNblArY60oACk9Jc1XXgc105jEj20ynw6AqLrnW73zYyvOtIgkEA5cqJtiElididWTdV4ssEWi8olNymaJ%2BiL4Ei5v03F5rZX9FejOpu6zldO6WQDmtn7EgIjDBSg76i26MDl2UeGqqHocTNIiPupov%2F19v7F7SlT0L2gxKr5heV1rfN3kq1IeIzZVydFjQ4gcXMLEjhQwOkLPWhAswm6qM5gU6tAEwRu29%2F4FA70UDx9ZjIJaP8uSZIjem2QFJ3b%2BZeytYwTYtofqvJIcjWr8x8Qv85Hta66rX%2F9gwkekMoIu7NzWsqsHETFhcZM%2Fp0EFphKn0T5f2NYaNlKQZzXoMEUuyd6AO%2Fkcw3TaOY0WlmvvqDckwz7R2EO02dS0BcxKJkeZ7R%2FN3ykb1i16dUtgGFczv3WmC2BakbTeAK5pw2qao8KGbeQJLiyZ4Z7E8mOc2JNYHNcxy3W0%3D&amp;AWSAccessKeyId=ASIAQ3PHCVTYZDSYP5FM&amp;Expires=1556291036&amp;Signature=B3LotBMPDQQ5Z15FRvqdGSeqgsk%3D&amp;hash=66788d42786115b4239d0f98734c66c7709e09b612f6b0c0a8211ff0d1ae8f55&amp;host=68042c943591013ac2b2430a89b270f6af2c76d8dfd086a07176afe7c76c2c61&amp;pii=S0301421501001434&amp;tid=spdf-9a5bd69d-60c0-4a8b-933f-025252cf964f&amp;sid=a42536342417a14d688b7f856217c6c10482gxrqb&amp;type=client</t>
  </si>
  <si>
    <t>IPCC EFDB source: https://www.rieti.go.jp/users/kainou-kazunari/14j047_e.pdf</t>
  </si>
  <si>
    <t>IPCC EFDB, density calculated using https://www.unitrove.com/engineering/tools/gas/natural-gas-density</t>
  </si>
  <si>
    <t>IPCC EFDB for CO2/TJ: standard for stationary combution in manufacturing indusries and construction</t>
  </si>
  <si>
    <t>coal coking - CN</t>
  </si>
  <si>
    <t>coke - CN</t>
  </si>
  <si>
    <t>coal coking - JP</t>
  </si>
  <si>
    <t>coal steam - JP</t>
  </si>
  <si>
    <t>waste plastics - JP</t>
  </si>
  <si>
    <t>coke - JP</t>
  </si>
  <si>
    <t>coal hard - RU</t>
  </si>
  <si>
    <t>natural gas - RU</t>
  </si>
  <si>
    <t>coke - IPCC</t>
  </si>
  <si>
    <t>coal coking - US</t>
  </si>
  <si>
    <t>coke - US</t>
  </si>
  <si>
    <t>natural gas - US</t>
  </si>
  <si>
    <t>coal coking - JP IPCC</t>
  </si>
  <si>
    <t>coal PCI - JP IPCC</t>
  </si>
  <si>
    <t>coal steam - JP IPCC</t>
  </si>
  <si>
    <t>coke - JP IPCC</t>
  </si>
  <si>
    <t>coal coking - IPCC</t>
  </si>
  <si>
    <t>natural gas - IPCC</t>
  </si>
  <si>
    <t>t CO2 / t biomass</t>
  </si>
  <si>
    <t>PROXY electricity mix - CN</t>
  </si>
  <si>
    <t>http://www.fao.org/3/a-i6935e.pdf</t>
  </si>
  <si>
    <t>PROXY - CN 2030</t>
  </si>
  <si>
    <t>PROXY - EU 2030</t>
  </si>
  <si>
    <t>PROXY - CN 2016</t>
  </si>
  <si>
    <t>PROXY - EU 2016</t>
  </si>
  <si>
    <t>PROXY - IN 2016</t>
  </si>
  <si>
    <t>PROXY - JP 2016</t>
  </si>
  <si>
    <t>PROXY - RU 2016</t>
  </si>
  <si>
    <t>PROXY - US 2016</t>
  </si>
  <si>
    <t>PROXY - CN 2040</t>
  </si>
  <si>
    <t>PROXY - EU 2040</t>
  </si>
  <si>
    <t>WEO 2018</t>
  </si>
  <si>
    <t>https://www.sciencedirect.com/science/article/pii/S0960852412002088</t>
  </si>
  <si>
    <t>https://www.sciencedirect.com/science/article/pii/S0016236113009332</t>
  </si>
  <si>
    <t>rice husk</t>
  </si>
  <si>
    <t>torrified rice husk</t>
  </si>
  <si>
    <t>CO2 value from IPCC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</si>
</sst>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18" fillId="0" borderId="0" xfId="0" applyFont="1"/>
    <xf numFmtId="0" fontId="0" fillId="0" borderId="0" xfId="0" applyAlignment="1">
      <alignment horizontal="left" wrapText="1"/>
    </xf>
    <xf numFmtId="0" fontId="14" fillId="0" borderId="0" xfId="0" applyFont="1"/>
    <xf numFmtId="0" fontId="0" fillId="0" borderId="0" xfId="0" applyFont="1"/>
    <xf numFmtId="164" fontId="0" fillId="0" borderId="0" xfId="0" applyNumberFormat="1"/>
    <xf numFmtId="2" fontId="14" fillId="0" borderId="0" xfId="0" applyNumberFormat="1" applyFont="1"/>
    <xf numFmtId="0" fontId="23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fuel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sciencedirect.com/science/article/pii/S0016236113009332" TargetMode="External"/><Relationship Id="rId1" Type="http://schemas.openxmlformats.org/officeDocument/2006/relationships/hyperlink" Target="https://www.sciencedirect.com/science/article/pii/S0960852412002088" TargetMode="External"/><Relationship Id="rId6" Type="http://schemas.openxmlformats.org/officeDocument/2006/relationships/comments" Target="../comments1.xml"/><Relationship Id="rId5" Type="http://schemas.openxmlformats.org/officeDocument/2006/relationships/queryTable" Target="../queryTables/queryTable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ColWidth="11" defaultRowHeight="15.75" x14ac:dyDescent="0.25"/>
  <cols>
    <col min="1" max="1" width="18.125" customWidth="1"/>
    <col min="2" max="2" width="6.125" bestFit="1" customWidth="1"/>
    <col min="3" max="3" width="6.125" customWidth="1"/>
    <col min="4" max="4" width="6.625" customWidth="1"/>
    <col min="5" max="5" width="8.5" customWidth="1"/>
    <col min="6" max="6" width="8.625" customWidth="1"/>
    <col min="7" max="7" width="6.375" customWidth="1"/>
    <col min="8" max="8" width="6.125" customWidth="1"/>
    <col min="9" max="9" width="6" customWidth="1"/>
    <col min="10" max="10" width="8" customWidth="1"/>
    <col min="11" max="12" width="11.125" customWidth="1"/>
    <col min="13" max="15" width="13.5" customWidth="1"/>
  </cols>
  <sheetData>
    <row r="1" spans="1:17" s="2" customFormat="1" ht="35.25" customHeight="1" x14ac:dyDescent="0.25">
      <c r="A1" s="2" t="s">
        <v>2</v>
      </c>
      <c r="B1" s="2" t="s">
        <v>3</v>
      </c>
      <c r="C1" s="2" t="s">
        <v>21</v>
      </c>
      <c r="D1" s="2" t="s">
        <v>1</v>
      </c>
      <c r="E1" s="2" t="s">
        <v>11</v>
      </c>
      <c r="F1" s="4" t="s">
        <v>17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25</v>
      </c>
      <c r="L1" s="2" t="s">
        <v>33</v>
      </c>
      <c r="M1" s="2" t="s">
        <v>32</v>
      </c>
      <c r="N1" s="2" t="s">
        <v>34</v>
      </c>
      <c r="O1" s="2" t="s">
        <v>35</v>
      </c>
      <c r="P1" s="2" t="s">
        <v>0</v>
      </c>
      <c r="Q1" s="2" t="s">
        <v>15</v>
      </c>
    </row>
    <row r="2" spans="1:17" s="3" customFormat="1" x14ac:dyDescent="0.25">
      <c r="A2" t="s">
        <v>7</v>
      </c>
      <c r="B2">
        <v>29.6</v>
      </c>
      <c r="C2">
        <v>28.4</v>
      </c>
      <c r="D2">
        <f>G2*(44/12)</f>
        <v>2.9333333333333336</v>
      </c>
      <c r="E2">
        <v>0</v>
      </c>
      <c r="F2"/>
      <c r="G2">
        <v>0.8</v>
      </c>
      <c r="H2"/>
      <c r="I2"/>
      <c r="J2"/>
      <c r="K2">
        <v>1.5</v>
      </c>
      <c r="L2">
        <v>4</v>
      </c>
      <c r="M2" s="1">
        <v>1.25</v>
      </c>
      <c r="N2" s="1">
        <v>0</v>
      </c>
      <c r="O2">
        <f t="shared" ref="O2:O20" si="0">1-N2</f>
        <v>1</v>
      </c>
      <c r="P2"/>
      <c r="Q2" t="s">
        <v>66</v>
      </c>
    </row>
    <row r="3" spans="1:17" s="3" customFormat="1" x14ac:dyDescent="0.25">
      <c r="A3" t="s">
        <v>6</v>
      </c>
      <c r="B3">
        <v>31</v>
      </c>
      <c r="C3">
        <v>31</v>
      </c>
      <c r="D3">
        <f>G3*(44/12)</f>
        <v>2.97</v>
      </c>
      <c r="E3">
        <v>0</v>
      </c>
      <c r="F3"/>
      <c r="G3">
        <v>0.81</v>
      </c>
      <c r="H3"/>
      <c r="I3"/>
      <c r="J3"/>
      <c r="K3">
        <v>6.4000000000000001E-2</v>
      </c>
      <c r="L3">
        <v>0</v>
      </c>
      <c r="M3">
        <v>0</v>
      </c>
      <c r="N3">
        <v>1</v>
      </c>
      <c r="O3">
        <f t="shared" si="0"/>
        <v>0</v>
      </c>
      <c r="P3"/>
      <c r="Q3" t="s">
        <v>31</v>
      </c>
    </row>
    <row r="4" spans="1:17" x14ac:dyDescent="0.25">
      <c r="A4" t="s">
        <v>46</v>
      </c>
      <c r="B4">
        <v>26.34</v>
      </c>
      <c r="C4">
        <v>26.34</v>
      </c>
      <c r="D4">
        <f>(0.02657*C4)*(44/12)</f>
        <v>2.5661305999999997</v>
      </c>
      <c r="K4" s="5">
        <v>0.1</v>
      </c>
      <c r="M4">
        <v>0</v>
      </c>
      <c r="N4">
        <v>1</v>
      </c>
      <c r="O4">
        <f t="shared" si="0"/>
        <v>0</v>
      </c>
    </row>
    <row r="5" spans="1:17" x14ac:dyDescent="0.25">
      <c r="A5" t="s">
        <v>62</v>
      </c>
      <c r="B5">
        <v>28.2</v>
      </c>
      <c r="C5">
        <v>28.2</v>
      </c>
      <c r="D5">
        <f>94.6/C5</f>
        <v>3.354609929078014</v>
      </c>
      <c r="K5" s="5">
        <v>0.1</v>
      </c>
      <c r="M5">
        <v>0</v>
      </c>
      <c r="N5">
        <v>1</v>
      </c>
      <c r="O5">
        <f t="shared" si="0"/>
        <v>0</v>
      </c>
      <c r="Q5" t="s">
        <v>41</v>
      </c>
    </row>
    <row r="6" spans="1:17" x14ac:dyDescent="0.25">
      <c r="A6" t="s">
        <v>48</v>
      </c>
      <c r="B6">
        <v>31.7</v>
      </c>
      <c r="C6">
        <v>30.2</v>
      </c>
      <c r="D6">
        <f>0.094*C6</f>
        <v>2.8388</v>
      </c>
      <c r="K6" s="5">
        <v>0.1</v>
      </c>
      <c r="M6">
        <v>0</v>
      </c>
      <c r="N6">
        <v>1</v>
      </c>
      <c r="O6">
        <f t="shared" si="0"/>
        <v>0</v>
      </c>
      <c r="Q6" t="s">
        <v>42</v>
      </c>
    </row>
    <row r="7" spans="1:17" x14ac:dyDescent="0.25">
      <c r="A7" t="s">
        <v>58</v>
      </c>
      <c r="B7">
        <v>28.94</v>
      </c>
      <c r="C7">
        <v>26.68</v>
      </c>
      <c r="D7">
        <f>(((44/12)*26.5)*C7)/1000</f>
        <v>2.5924066666666663</v>
      </c>
      <c r="K7" s="5">
        <v>0.1</v>
      </c>
      <c r="M7">
        <v>0</v>
      </c>
      <c r="N7">
        <v>1</v>
      </c>
      <c r="O7">
        <f t="shared" si="0"/>
        <v>0</v>
      </c>
      <c r="Q7" t="s">
        <v>43</v>
      </c>
    </row>
    <row r="8" spans="1:17" x14ac:dyDescent="0.25">
      <c r="A8" t="s">
        <v>55</v>
      </c>
      <c r="C8">
        <f>13500/430</f>
        <v>31.395348837209301</v>
      </c>
      <c r="D8">
        <f>94.6/C8</f>
        <v>3.013185185185185</v>
      </c>
      <c r="K8" s="5">
        <v>0.1</v>
      </c>
      <c r="M8">
        <v>0</v>
      </c>
      <c r="N8">
        <v>1</v>
      </c>
      <c r="O8">
        <f t="shared" si="0"/>
        <v>0</v>
      </c>
      <c r="Q8" t="s">
        <v>45</v>
      </c>
    </row>
    <row r="9" spans="1:17" x14ac:dyDescent="0.25">
      <c r="A9" t="s">
        <v>52</v>
      </c>
      <c r="B9">
        <v>25.16</v>
      </c>
      <c r="C9">
        <v>25.16</v>
      </c>
      <c r="D9">
        <f>93.99/C9</f>
        <v>3.7356915739268679</v>
      </c>
      <c r="K9" s="5">
        <v>0.1</v>
      </c>
      <c r="M9">
        <v>0</v>
      </c>
      <c r="N9">
        <v>1</v>
      </c>
      <c r="O9">
        <f t="shared" si="0"/>
        <v>0</v>
      </c>
      <c r="Q9" t="s">
        <v>41</v>
      </c>
    </row>
    <row r="10" spans="1:17" x14ac:dyDescent="0.25">
      <c r="A10" t="s">
        <v>59</v>
      </c>
      <c r="B10">
        <v>28.01</v>
      </c>
      <c r="C10">
        <v>25.74</v>
      </c>
      <c r="D10">
        <f>(((44/12)*27.27)*C10)/1000</f>
        <v>2.5737425999999997</v>
      </c>
      <c r="K10" s="5">
        <v>0.1</v>
      </c>
      <c r="M10">
        <v>0</v>
      </c>
      <c r="N10">
        <v>1</v>
      </c>
      <c r="O10">
        <f t="shared" si="0"/>
        <v>0</v>
      </c>
      <c r="Q10" t="s">
        <v>43</v>
      </c>
    </row>
    <row r="11" spans="1:17" x14ac:dyDescent="0.25">
      <c r="A11" t="s">
        <v>49</v>
      </c>
      <c r="B11">
        <v>27.1</v>
      </c>
      <c r="C11">
        <v>25.8</v>
      </c>
      <c r="D11">
        <f>0.096*C11</f>
        <v>2.4768000000000003</v>
      </c>
      <c r="K11" s="5">
        <v>0.1</v>
      </c>
      <c r="M11">
        <v>0</v>
      </c>
      <c r="N11">
        <v>1</v>
      </c>
      <c r="O11">
        <f t="shared" si="0"/>
        <v>0</v>
      </c>
      <c r="Q11" t="s">
        <v>42</v>
      </c>
    </row>
    <row r="12" spans="1:17" x14ac:dyDescent="0.25">
      <c r="A12" t="s">
        <v>60</v>
      </c>
      <c r="B12">
        <v>25.97</v>
      </c>
      <c r="C12">
        <v>24.66</v>
      </c>
      <c r="D12">
        <f>(((44/12)*25.68)*C12)/1000</f>
        <v>2.3219856000000001</v>
      </c>
      <c r="K12" s="5">
        <v>0.1</v>
      </c>
      <c r="M12">
        <v>0</v>
      </c>
      <c r="N12">
        <v>1</v>
      </c>
      <c r="O12">
        <f t="shared" si="0"/>
        <v>0</v>
      </c>
      <c r="Q12" t="s">
        <v>43</v>
      </c>
    </row>
    <row r="13" spans="1:17" x14ac:dyDescent="0.25">
      <c r="A13" t="s">
        <v>13</v>
      </c>
      <c r="B13" s="6">
        <v>29.01</v>
      </c>
      <c r="C13" s="6">
        <v>29.01</v>
      </c>
      <c r="D13" s="6">
        <f>G13*3.7</f>
        <v>3.2578499999999999</v>
      </c>
      <c r="E13">
        <f>18/2*H13</f>
        <v>9.0000000000000011E-3</v>
      </c>
      <c r="F13">
        <v>0.04</v>
      </c>
      <c r="G13">
        <v>0.88049999999999995</v>
      </c>
      <c r="H13">
        <v>1E-3</v>
      </c>
      <c r="I13">
        <v>6.0000000000000001E-3</v>
      </c>
      <c r="J13">
        <f>1-SUM(G13:I13)</f>
        <v>0.11250000000000004</v>
      </c>
      <c r="L13">
        <v>0</v>
      </c>
      <c r="M13">
        <v>0</v>
      </c>
      <c r="N13">
        <v>1</v>
      </c>
      <c r="O13">
        <f t="shared" si="0"/>
        <v>0</v>
      </c>
      <c r="Q13" t="s">
        <v>20</v>
      </c>
    </row>
    <row r="14" spans="1:17" x14ac:dyDescent="0.25">
      <c r="A14" t="s">
        <v>47</v>
      </c>
      <c r="B14">
        <v>28.434999999999999</v>
      </c>
      <c r="C14">
        <v>28.434999999999999</v>
      </c>
      <c r="D14" s="5">
        <v>3.01</v>
      </c>
      <c r="K14" s="5">
        <v>0.1</v>
      </c>
      <c r="M14">
        <v>0</v>
      </c>
      <c r="N14">
        <v>1</v>
      </c>
      <c r="O14">
        <f t="shared" si="0"/>
        <v>0</v>
      </c>
      <c r="Q14" t="s">
        <v>82</v>
      </c>
    </row>
    <row r="15" spans="1:17" x14ac:dyDescent="0.25">
      <c r="A15" t="s">
        <v>54</v>
      </c>
      <c r="B15">
        <v>28.2</v>
      </c>
      <c r="C15">
        <v>28.434999999999999</v>
      </c>
      <c r="D15">
        <f>C15*29.2*(44/12)/1000</f>
        <v>3.0444406666666666</v>
      </c>
      <c r="K15" s="5">
        <v>0.2</v>
      </c>
      <c r="M15">
        <v>0</v>
      </c>
      <c r="N15">
        <v>1</v>
      </c>
      <c r="O15">
        <f t="shared" si="0"/>
        <v>0</v>
      </c>
    </row>
    <row r="16" spans="1:17" x14ac:dyDescent="0.25">
      <c r="A16" t="s">
        <v>51</v>
      </c>
      <c r="B16">
        <v>30</v>
      </c>
      <c r="C16">
        <v>28.434999999999999</v>
      </c>
      <c r="D16">
        <f>0.109*C16</f>
        <v>3.099415</v>
      </c>
      <c r="K16" s="5">
        <v>0.1</v>
      </c>
      <c r="M16">
        <v>0</v>
      </c>
      <c r="N16">
        <v>1</v>
      </c>
      <c r="O16">
        <f t="shared" si="0"/>
        <v>0</v>
      </c>
      <c r="Q16" t="s">
        <v>42</v>
      </c>
    </row>
    <row r="17" spans="1:17" x14ac:dyDescent="0.25">
      <c r="A17" t="s">
        <v>61</v>
      </c>
      <c r="B17">
        <v>29.18</v>
      </c>
      <c r="C17">
        <v>28.434999999999999</v>
      </c>
      <c r="D17">
        <f>(((44/12)*30.6)*C17)/1000</f>
        <v>3.190407</v>
      </c>
      <c r="K17" s="5">
        <v>0.1</v>
      </c>
      <c r="M17">
        <v>0</v>
      </c>
      <c r="N17">
        <v>1</v>
      </c>
      <c r="O17">
        <f t="shared" si="0"/>
        <v>0</v>
      </c>
      <c r="Q17" t="s">
        <v>43</v>
      </c>
    </row>
    <row r="18" spans="1:17" x14ac:dyDescent="0.25">
      <c r="A18" t="s">
        <v>56</v>
      </c>
      <c r="C18">
        <v>28.434999999999999</v>
      </c>
      <c r="D18">
        <f>C18*29.2*(44/12)/1000</f>
        <v>3.0444406666666666</v>
      </c>
      <c r="K18" s="5">
        <v>0.1</v>
      </c>
      <c r="M18">
        <v>0</v>
      </c>
      <c r="N18">
        <v>1</v>
      </c>
      <c r="O18">
        <f t="shared" si="0"/>
        <v>0</v>
      </c>
      <c r="Q18" t="s">
        <v>45</v>
      </c>
    </row>
    <row r="19" spans="1:17" x14ac:dyDescent="0.25">
      <c r="A19" t="s">
        <v>19</v>
      </c>
      <c r="B19" s="6">
        <v>31.1</v>
      </c>
      <c r="C19">
        <v>28.434999999999999</v>
      </c>
      <c r="D19" s="6">
        <f>G19*3.7</f>
        <v>2.9174500000000001</v>
      </c>
      <c r="E19">
        <f>18/2*H19</f>
        <v>0.40590000000000004</v>
      </c>
      <c r="F19">
        <v>0.08</v>
      </c>
      <c r="G19">
        <v>0.78849999999999998</v>
      </c>
      <c r="H19">
        <v>4.5100000000000001E-2</v>
      </c>
      <c r="I19">
        <v>0</v>
      </c>
      <c r="J19">
        <f>1-SUM(G19:I19)</f>
        <v>0.16639999999999999</v>
      </c>
      <c r="L19">
        <v>0</v>
      </c>
      <c r="M19">
        <v>0</v>
      </c>
      <c r="N19">
        <v>1</v>
      </c>
      <c r="O19">
        <f t="shared" si="0"/>
        <v>0</v>
      </c>
      <c r="Q19" t="s">
        <v>20</v>
      </c>
    </row>
    <row r="20" spans="1:17" x14ac:dyDescent="0.25">
      <c r="A20" t="s">
        <v>9</v>
      </c>
      <c r="B20">
        <v>45.6</v>
      </c>
      <c r="C20">
        <v>28.434999999999999</v>
      </c>
      <c r="D20">
        <f>G20*(44/12)</f>
        <v>3.1533333333333333</v>
      </c>
      <c r="E20">
        <v>0</v>
      </c>
      <c r="G20">
        <v>0.86</v>
      </c>
      <c r="K20">
        <v>0.438</v>
      </c>
      <c r="L20">
        <v>0</v>
      </c>
      <c r="M20">
        <v>0</v>
      </c>
      <c r="N20">
        <v>1</v>
      </c>
      <c r="O20">
        <f t="shared" si="0"/>
        <v>0</v>
      </c>
      <c r="Q20" t="s">
        <v>31</v>
      </c>
    </row>
    <row r="21" spans="1:17" x14ac:dyDescent="0.25">
      <c r="A21" s="3" t="s">
        <v>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>
        <v>0</v>
      </c>
      <c r="N21" s="3"/>
      <c r="O21" s="3"/>
      <c r="P21" s="3"/>
      <c r="Q21" s="3"/>
    </row>
    <row r="22" spans="1:17" x14ac:dyDescent="0.25">
      <c r="A22" s="3" t="s">
        <v>4</v>
      </c>
      <c r="B22" s="3" t="s">
        <v>14</v>
      </c>
      <c r="C22" s="3" t="s">
        <v>22</v>
      </c>
      <c r="D22" s="3" t="s">
        <v>5</v>
      </c>
      <c r="E22" s="3" t="s">
        <v>5</v>
      </c>
      <c r="F22" s="3" t="s">
        <v>18</v>
      </c>
      <c r="G22" s="3"/>
      <c r="H22" s="3"/>
      <c r="I22" s="3"/>
      <c r="J22" s="3"/>
      <c r="K22" s="3" t="s">
        <v>30</v>
      </c>
      <c r="L22" s="3"/>
      <c r="M22" s="3" t="s">
        <v>64</v>
      </c>
      <c r="N22" s="3"/>
      <c r="O22" s="3"/>
      <c r="P22" s="3"/>
      <c r="Q22" s="3"/>
    </row>
    <row r="23" spans="1:17" x14ac:dyDescent="0.25">
      <c r="A23" t="s">
        <v>8</v>
      </c>
      <c r="B23">
        <v>52</v>
      </c>
      <c r="C23">
        <v>47</v>
      </c>
      <c r="D23">
        <v>2.75</v>
      </c>
      <c r="E23">
        <v>0</v>
      </c>
      <c r="K23">
        <f>0.007*C23</f>
        <v>0.32900000000000001</v>
      </c>
      <c r="L23">
        <v>0</v>
      </c>
      <c r="M23">
        <v>0</v>
      </c>
      <c r="N23">
        <v>1</v>
      </c>
      <c r="O23">
        <f>1-N23</f>
        <v>0</v>
      </c>
      <c r="Q23" t="s">
        <v>31</v>
      </c>
    </row>
    <row r="24" spans="1:17" x14ac:dyDescent="0.25">
      <c r="A24" t="s">
        <v>63</v>
      </c>
      <c r="B24">
        <v>48</v>
      </c>
      <c r="C24">
        <v>48</v>
      </c>
      <c r="D24">
        <f>C24*15.3/1000*(44/12)</f>
        <v>2.6928000000000001</v>
      </c>
      <c r="K24" s="5">
        <v>0.1</v>
      </c>
      <c r="M24">
        <v>0</v>
      </c>
      <c r="N24">
        <v>1</v>
      </c>
      <c r="O24">
        <f>1-N24</f>
        <v>0</v>
      </c>
    </row>
    <row r="25" spans="1:17" ht="16.5" customHeight="1" x14ac:dyDescent="0.25">
      <c r="A25" t="s">
        <v>53</v>
      </c>
      <c r="B25">
        <f>40.36*(1/0.554)</f>
        <v>72.851985559566785</v>
      </c>
      <c r="C25">
        <f>36.4/0.7</f>
        <v>52</v>
      </c>
      <c r="D25">
        <f>55.2*C25/1000</f>
        <v>2.8704000000000001</v>
      </c>
      <c r="K25" s="5">
        <v>0.1</v>
      </c>
      <c r="M25">
        <v>0</v>
      </c>
      <c r="N25">
        <v>1</v>
      </c>
      <c r="O25">
        <f>1-N25</f>
        <v>0</v>
      </c>
      <c r="Q25" t="s">
        <v>44</v>
      </c>
    </row>
    <row r="26" spans="1:17" x14ac:dyDescent="0.25">
      <c r="A26" t="s">
        <v>57</v>
      </c>
      <c r="C26">
        <v>47.1</v>
      </c>
      <c r="D26">
        <f>56.1*C26/1000</f>
        <v>2.6423100000000002</v>
      </c>
      <c r="K26" s="5">
        <v>0.1</v>
      </c>
      <c r="M26">
        <v>0</v>
      </c>
      <c r="N26">
        <v>1</v>
      </c>
      <c r="O26">
        <f>1-N26</f>
        <v>0</v>
      </c>
      <c r="Q26" t="s">
        <v>45</v>
      </c>
    </row>
    <row r="27" spans="1:17" x14ac:dyDescent="0.25">
      <c r="A27" t="s">
        <v>39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t="s">
        <v>40</v>
      </c>
    </row>
    <row r="28" spans="1:17" x14ac:dyDescent="0.25">
      <c r="A28" t="s">
        <v>23</v>
      </c>
      <c r="B28" s="6">
        <v>33.369999999999997</v>
      </c>
      <c r="C28" s="6">
        <v>33.369999999999997</v>
      </c>
      <c r="D28" s="6">
        <f>G28*3.7</f>
        <v>3.2190000000000003</v>
      </c>
      <c r="E28">
        <f>18/2*H28</f>
        <v>0.36270000000000002</v>
      </c>
      <c r="F28">
        <v>0.01</v>
      </c>
      <c r="G28">
        <v>0.87</v>
      </c>
      <c r="H28">
        <v>4.0300000000000002E-2</v>
      </c>
      <c r="I28">
        <v>0</v>
      </c>
      <c r="J28">
        <f>1-SUM(G28:I28)</f>
        <v>8.9700000000000002E-2</v>
      </c>
      <c r="L28">
        <v>0</v>
      </c>
      <c r="M28">
        <v>0</v>
      </c>
      <c r="N28">
        <v>1</v>
      </c>
      <c r="O28">
        <f>1-N28</f>
        <v>0</v>
      </c>
      <c r="Q28" t="s">
        <v>24</v>
      </c>
    </row>
    <row r="29" spans="1:17" x14ac:dyDescent="0.25">
      <c r="A29" t="s">
        <v>69</v>
      </c>
      <c r="B29">
        <v>1</v>
      </c>
      <c r="C29">
        <v>1</v>
      </c>
      <c r="D29" s="7">
        <f>4356/6225/3.6</f>
        <v>0.19437751004016066</v>
      </c>
      <c r="Q29" t="s">
        <v>77</v>
      </c>
    </row>
    <row r="30" spans="1:17" x14ac:dyDescent="0.25">
      <c r="A30" t="s">
        <v>67</v>
      </c>
      <c r="B30">
        <v>1</v>
      </c>
      <c r="C30">
        <v>1</v>
      </c>
      <c r="D30" s="7">
        <f>4849/9534/3.6</f>
        <v>0.14127799920751463</v>
      </c>
      <c r="Q30" t="s">
        <v>77</v>
      </c>
    </row>
    <row r="31" spans="1:17" x14ac:dyDescent="0.25">
      <c r="A31" t="s">
        <v>75</v>
      </c>
      <c r="B31">
        <v>1</v>
      </c>
      <c r="C31">
        <v>1</v>
      </c>
      <c r="D31" s="7">
        <f>4625/11187/3.6</f>
        <v>0.11484063843945849</v>
      </c>
      <c r="Q31" t="s">
        <v>77</v>
      </c>
    </row>
    <row r="32" spans="1:17" x14ac:dyDescent="0.25">
      <c r="A32" t="s">
        <v>70</v>
      </c>
      <c r="B32">
        <v>1</v>
      </c>
      <c r="C32">
        <v>1</v>
      </c>
      <c r="D32" s="7">
        <f>1077/4079/3.6</f>
        <v>7.334313965841302E-2</v>
      </c>
      <c r="Q32" t="s">
        <v>77</v>
      </c>
    </row>
    <row r="33" spans="1:17" x14ac:dyDescent="0.25">
      <c r="A33" t="s">
        <v>68</v>
      </c>
      <c r="B33">
        <v>1</v>
      </c>
      <c r="C33">
        <v>1</v>
      </c>
      <c r="D33" s="7">
        <f>575/33753.6</f>
        <v>1.7035219946909368E-2</v>
      </c>
      <c r="Q33" t="s">
        <v>77</v>
      </c>
    </row>
    <row r="34" spans="1:17" x14ac:dyDescent="0.25">
      <c r="A34" t="s">
        <v>76</v>
      </c>
      <c r="B34">
        <v>1</v>
      </c>
      <c r="C34">
        <v>1</v>
      </c>
      <c r="D34" s="7">
        <f>410/3515/3.6</f>
        <v>3.2400821874506082E-2</v>
      </c>
      <c r="Q34" t="s">
        <v>77</v>
      </c>
    </row>
    <row r="35" spans="1:17" x14ac:dyDescent="0.25">
      <c r="A35" t="s">
        <v>71</v>
      </c>
      <c r="B35">
        <v>1</v>
      </c>
      <c r="C35">
        <v>1</v>
      </c>
      <c r="D35">
        <f>1071/1478/3.6</f>
        <v>0.20128552097428956</v>
      </c>
      <c r="Q35" t="s">
        <v>77</v>
      </c>
    </row>
    <row r="36" spans="1:17" x14ac:dyDescent="0.25">
      <c r="A36" t="s">
        <v>72</v>
      </c>
      <c r="B36">
        <v>1</v>
      </c>
      <c r="C36">
        <v>1</v>
      </c>
      <c r="D36">
        <f>553/1052/3.6</f>
        <v>0.14601816645542881</v>
      </c>
      <c r="Q36" t="s">
        <v>77</v>
      </c>
    </row>
    <row r="37" spans="1:17" x14ac:dyDescent="0.25">
      <c r="A37" t="s">
        <v>73</v>
      </c>
      <c r="B37">
        <v>1</v>
      </c>
      <c r="C37">
        <v>1</v>
      </c>
      <c r="D37">
        <f>754/1076/3.6</f>
        <v>0.1946509706732755</v>
      </c>
      <c r="Q37" t="s">
        <v>77</v>
      </c>
    </row>
    <row r="38" spans="1:17" x14ac:dyDescent="0.25">
      <c r="A38" t="s">
        <v>74</v>
      </c>
      <c r="B38">
        <v>1</v>
      </c>
      <c r="C38">
        <v>1</v>
      </c>
      <c r="D38">
        <f>1877/4300/3.6</f>
        <v>0.1212532299741602</v>
      </c>
      <c r="Q38" t="s">
        <v>77</v>
      </c>
    </row>
    <row r="39" spans="1:17" x14ac:dyDescent="0.25">
      <c r="A39" t="s">
        <v>65</v>
      </c>
      <c r="B39">
        <v>1</v>
      </c>
      <c r="C39">
        <v>1</v>
      </c>
      <c r="D39">
        <f>(2.9/127.8)*(44/12)</f>
        <v>8.3202921231090243E-2</v>
      </c>
      <c r="K39" s="5">
        <v>0.1</v>
      </c>
      <c r="M39">
        <v>0</v>
      </c>
      <c r="N39">
        <v>1</v>
      </c>
      <c r="O39">
        <f>1-N39</f>
        <v>0</v>
      </c>
    </row>
    <row r="40" spans="1:17" x14ac:dyDescent="0.25">
      <c r="A40" t="s">
        <v>36</v>
      </c>
      <c r="B40">
        <v>1</v>
      </c>
      <c r="C40">
        <v>1</v>
      </c>
      <c r="D40">
        <v>0.11</v>
      </c>
      <c r="E40">
        <v>0</v>
      </c>
      <c r="L40">
        <v>0</v>
      </c>
      <c r="M40">
        <v>0</v>
      </c>
      <c r="N40">
        <v>1</v>
      </c>
      <c r="O40">
        <f>1-N40</f>
        <v>0</v>
      </c>
      <c r="Q40" t="s">
        <v>16</v>
      </c>
    </row>
    <row r="41" spans="1:17" x14ac:dyDescent="0.25">
      <c r="A41" t="s">
        <v>38</v>
      </c>
      <c r="B41">
        <v>1</v>
      </c>
      <c r="C41">
        <v>1</v>
      </c>
      <c r="D41">
        <v>5.5E-2</v>
      </c>
      <c r="E41">
        <v>0</v>
      </c>
      <c r="L41">
        <v>0</v>
      </c>
      <c r="M41">
        <v>0</v>
      </c>
      <c r="N41">
        <v>1</v>
      </c>
      <c r="O41">
        <f>1-N41</f>
        <v>0</v>
      </c>
      <c r="Q41" t="s">
        <v>16</v>
      </c>
    </row>
    <row r="42" spans="1:17" x14ac:dyDescent="0.25">
      <c r="A42" t="s">
        <v>37</v>
      </c>
      <c r="B42">
        <v>1</v>
      </c>
      <c r="C42">
        <v>1</v>
      </c>
      <c r="D42">
        <v>0</v>
      </c>
      <c r="E42">
        <v>0</v>
      </c>
      <c r="L42">
        <v>0</v>
      </c>
      <c r="M42">
        <v>0</v>
      </c>
      <c r="N42">
        <v>1</v>
      </c>
      <c r="O42">
        <f>1-N42</f>
        <v>0</v>
      </c>
      <c r="Q42" t="s">
        <v>16</v>
      </c>
    </row>
    <row r="43" spans="1:17" x14ac:dyDescent="0.25">
      <c r="A43" t="s">
        <v>80</v>
      </c>
      <c r="B43">
        <v>15.7</v>
      </c>
      <c r="C43" s="5">
        <v>14.4</v>
      </c>
      <c r="D43">
        <f>G43*(44/12)</f>
        <v>1.4923333333333331</v>
      </c>
      <c r="F43">
        <v>9.4E-2</v>
      </c>
      <c r="G43">
        <v>0.40699999999999997</v>
      </c>
      <c r="H43">
        <v>0.06</v>
      </c>
      <c r="I43">
        <v>0.02</v>
      </c>
      <c r="J43">
        <v>0.105</v>
      </c>
      <c r="K43" s="5">
        <v>0.1</v>
      </c>
      <c r="L43" s="5">
        <v>1</v>
      </c>
      <c r="M43" s="8">
        <f>(44/12)*G43</f>
        <v>1.4923333333333331</v>
      </c>
      <c r="N43" s="8">
        <v>0</v>
      </c>
      <c r="O43">
        <v>1</v>
      </c>
      <c r="Q43" s="9" t="s">
        <v>79</v>
      </c>
    </row>
    <row r="44" spans="1:17" x14ac:dyDescent="0.25">
      <c r="A44" t="s">
        <v>12</v>
      </c>
      <c r="B44">
        <v>2.77</v>
      </c>
      <c r="C44">
        <v>2.77</v>
      </c>
      <c r="D44">
        <v>0</v>
      </c>
      <c r="E44">
        <v>1</v>
      </c>
      <c r="L44">
        <v>0</v>
      </c>
      <c r="M44">
        <v>0</v>
      </c>
      <c r="N44">
        <v>1</v>
      </c>
      <c r="O44">
        <f>1-N44</f>
        <v>0</v>
      </c>
    </row>
    <row r="45" spans="1:17" x14ac:dyDescent="0.25">
      <c r="A45" t="s">
        <v>81</v>
      </c>
      <c r="B45">
        <v>27.27</v>
      </c>
      <c r="C45" s="5">
        <v>27.27</v>
      </c>
      <c r="D45">
        <f>G45*(44/12)</f>
        <v>2.2843333333333331</v>
      </c>
      <c r="F45">
        <v>2.4E-2</v>
      </c>
      <c r="G45">
        <v>0.623</v>
      </c>
      <c r="H45">
        <v>3.7999999999999999E-2</v>
      </c>
      <c r="I45">
        <v>0</v>
      </c>
      <c r="J45">
        <v>0.2311</v>
      </c>
      <c r="K45" s="5">
        <v>0.4</v>
      </c>
      <c r="L45" s="5">
        <v>4</v>
      </c>
      <c r="M45" s="8">
        <v>1</v>
      </c>
      <c r="N45" s="8">
        <v>0</v>
      </c>
      <c r="O45">
        <v>1</v>
      </c>
      <c r="Q45" s="9" t="s">
        <v>78</v>
      </c>
    </row>
    <row r="46" spans="1:17" x14ac:dyDescent="0.25">
      <c r="A46" t="s">
        <v>50</v>
      </c>
      <c r="K46" s="5">
        <v>0.1</v>
      </c>
      <c r="M46">
        <v>0</v>
      </c>
      <c r="N46">
        <v>1</v>
      </c>
      <c r="O46">
        <f>1-N46</f>
        <v>0</v>
      </c>
    </row>
    <row r="47" spans="1:17" x14ac:dyDescent="0.25">
      <c r="A47" t="s">
        <v>10</v>
      </c>
      <c r="B47">
        <v>16.2</v>
      </c>
      <c r="C47">
        <v>15.4</v>
      </c>
      <c r="D47">
        <v>1.8</v>
      </c>
      <c r="E47">
        <v>0</v>
      </c>
      <c r="K47" s="5">
        <v>0.1</v>
      </c>
      <c r="L47" s="5">
        <v>2</v>
      </c>
      <c r="M47" s="8">
        <v>1.25</v>
      </c>
      <c r="N47" s="8">
        <v>0</v>
      </c>
      <c r="O47">
        <f>1-N47</f>
        <v>1</v>
      </c>
    </row>
  </sheetData>
  <sortState ref="A2:Q47">
    <sortCondition ref="A1"/>
  </sortState>
  <hyperlinks>
    <hyperlink ref="Q45" r:id="rId1"/>
    <hyperlink ref="Q43" r:id="rId2"/>
  </hyperlinks>
  <pageMargins left="0.7" right="0.7" top="0.75" bottom="0.75" header="0.3" footer="0.3"/>
  <pageSetup paperSize="9"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Fuels</vt:lpstr>
      <vt:lpstr>Fuels!fuels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S.E. Tanzer</cp:lastModifiedBy>
  <dcterms:created xsi:type="dcterms:W3CDTF">2019-02-09T15:17:07Z</dcterms:created>
  <dcterms:modified xsi:type="dcterms:W3CDTF">2019-05-17T20:06:31Z</dcterms:modified>
</cp:coreProperties>
</file>