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300" yWindow="465" windowWidth="27495" windowHeight="17535" tabRatio="598" firstSheet="7" activeTab="6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DRI" sheetId="19" r:id="rId12"/>
    <sheet name="EAF" sheetId="16" r:id="rId13"/>
    <sheet name="Fuel" sheetId="10" r:id="rId14"/>
    <sheet name="Ref" sheetId="7" r:id="rId1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6" l="1"/>
  <c r="C30" i="16"/>
  <c r="D29" i="16"/>
  <c r="C29" i="16"/>
  <c r="C28" i="16"/>
  <c r="D28" i="16"/>
  <c r="G7" i="19"/>
  <c r="E7" i="19"/>
  <c r="C7" i="19"/>
  <c r="B7" i="19"/>
  <c r="B6" i="19"/>
  <c r="B5" i="19"/>
  <c r="C6" i="19"/>
  <c r="C5" i="19"/>
  <c r="E6" i="19"/>
  <c r="E5" i="19"/>
  <c r="G6" i="19"/>
  <c r="G5" i="19"/>
  <c r="E29" i="12"/>
  <c r="L50" i="6"/>
  <c r="K50" i="6"/>
  <c r="J50" i="6"/>
  <c r="I50" i="6"/>
  <c r="H50" i="6"/>
  <c r="G50" i="6"/>
  <c r="F50" i="6"/>
  <c r="D50" i="6"/>
  <c r="L49" i="6"/>
  <c r="K49" i="6"/>
  <c r="J49" i="6"/>
  <c r="I49" i="6"/>
  <c r="H49" i="6"/>
  <c r="G49" i="6"/>
  <c r="F49" i="6"/>
  <c r="D49" i="6"/>
  <c r="L48" i="6"/>
  <c r="K48" i="6"/>
  <c r="J48" i="6"/>
  <c r="I48" i="6"/>
  <c r="H48" i="6"/>
  <c r="G48" i="6"/>
  <c r="F48" i="6"/>
  <c r="D48" i="6"/>
  <c r="E48" i="6" s="1"/>
  <c r="C48" i="6"/>
  <c r="C47" i="6"/>
  <c r="C49" i="6" s="1"/>
  <c r="B47" i="6"/>
  <c r="B48" i="6" s="1"/>
  <c r="L46" i="6"/>
  <c r="K46" i="6"/>
  <c r="J46" i="6"/>
  <c r="L45" i="6"/>
  <c r="K45" i="6"/>
  <c r="J45" i="6"/>
  <c r="L44" i="6"/>
  <c r="K44" i="6"/>
  <c r="J44" i="6"/>
  <c r="I46" i="6"/>
  <c r="H46" i="6"/>
  <c r="G46" i="6"/>
  <c r="F46" i="6"/>
  <c r="I45" i="6"/>
  <c r="H45" i="6"/>
  <c r="G45" i="6"/>
  <c r="F45" i="6"/>
  <c r="I44" i="6"/>
  <c r="H44" i="6"/>
  <c r="G44" i="6"/>
  <c r="F44" i="6"/>
  <c r="C43" i="6"/>
  <c r="C39" i="6"/>
  <c r="C35" i="6"/>
  <c r="D46" i="6"/>
  <c r="D45" i="6"/>
  <c r="D44" i="6"/>
  <c r="C46" i="6"/>
  <c r="C45" i="6"/>
  <c r="L42" i="6"/>
  <c r="K42" i="6"/>
  <c r="J42" i="6"/>
  <c r="I42" i="6"/>
  <c r="H42" i="6"/>
  <c r="G42" i="6"/>
  <c r="F42" i="6"/>
  <c r="D42" i="6"/>
  <c r="C42" i="6"/>
  <c r="L41" i="6"/>
  <c r="K41" i="6"/>
  <c r="J41" i="6"/>
  <c r="I41" i="6"/>
  <c r="H41" i="6"/>
  <c r="G41" i="6"/>
  <c r="F41" i="6"/>
  <c r="D41" i="6"/>
  <c r="C41" i="6"/>
  <c r="L40" i="6"/>
  <c r="K40" i="6"/>
  <c r="J40" i="6"/>
  <c r="I40" i="6"/>
  <c r="H40" i="6"/>
  <c r="G40" i="6"/>
  <c r="F40" i="6"/>
  <c r="D40" i="6"/>
  <c r="C40" i="6"/>
  <c r="G32" i="3"/>
  <c r="F32" i="3"/>
  <c r="G31" i="3"/>
  <c r="F31" i="3"/>
  <c r="G30" i="3"/>
  <c r="F30" i="3"/>
  <c r="E32" i="3"/>
  <c r="E31" i="3"/>
  <c r="E30" i="3"/>
  <c r="C32" i="3"/>
  <c r="C31" i="3"/>
  <c r="C30" i="3"/>
  <c r="B50" i="6" l="1"/>
  <c r="E50" i="6" s="1"/>
  <c r="E47" i="6"/>
  <c r="B49" i="6"/>
  <c r="E49" i="6" s="1"/>
  <c r="C50" i="6"/>
  <c r="C44" i="6"/>
  <c r="B63" i="10" l="1"/>
  <c r="B62" i="10"/>
  <c r="B61" i="10"/>
  <c r="B59" i="10"/>
  <c r="B58" i="10"/>
  <c r="B57" i="10"/>
  <c r="B55" i="10"/>
  <c r="B54" i="10"/>
  <c r="B53" i="10"/>
  <c r="B51" i="10"/>
  <c r="B50" i="10"/>
  <c r="B49" i="10"/>
  <c r="B47" i="10"/>
  <c r="B46" i="10"/>
  <c r="B45" i="10"/>
  <c r="B43" i="10"/>
  <c r="B42" i="10"/>
  <c r="B41" i="10"/>
  <c r="B39" i="10"/>
  <c r="B38" i="10"/>
  <c r="B37" i="10"/>
  <c r="B35" i="10"/>
  <c r="B34" i="10"/>
  <c r="B33" i="10"/>
  <c r="B31" i="10"/>
  <c r="B30" i="10"/>
  <c r="B29" i="10"/>
  <c r="B27" i="10"/>
  <c r="B26" i="10"/>
  <c r="B25" i="10"/>
  <c r="C61" i="13"/>
  <c r="C60" i="13"/>
  <c r="B60" i="13"/>
  <c r="C59" i="13"/>
  <c r="B58" i="13"/>
  <c r="B61" i="13" s="1"/>
  <c r="C57" i="13"/>
  <c r="B57" i="13"/>
  <c r="C56" i="13"/>
  <c r="B56" i="13"/>
  <c r="C55" i="13"/>
  <c r="B55" i="13"/>
  <c r="B54" i="13"/>
  <c r="C53" i="13"/>
  <c r="B53" i="13"/>
  <c r="C52" i="13"/>
  <c r="B52" i="13"/>
  <c r="C51" i="13"/>
  <c r="B51" i="13"/>
  <c r="B50" i="13"/>
  <c r="C49" i="13"/>
  <c r="C48" i="13"/>
  <c r="C47" i="13"/>
  <c r="B49" i="13"/>
  <c r="B48" i="13"/>
  <c r="B47" i="13"/>
  <c r="B46" i="13"/>
  <c r="E44" i="12"/>
  <c r="D44" i="12"/>
  <c r="C44" i="12"/>
  <c r="B44" i="12"/>
  <c r="E43" i="12"/>
  <c r="D43" i="12"/>
  <c r="C43" i="12"/>
  <c r="B43" i="12"/>
  <c r="E42" i="12"/>
  <c r="D42" i="12"/>
  <c r="C42" i="12"/>
  <c r="B42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32" i="12"/>
  <c r="D32" i="12"/>
  <c r="C32" i="12"/>
  <c r="E31" i="12"/>
  <c r="D31" i="12"/>
  <c r="C31" i="12"/>
  <c r="E30" i="12"/>
  <c r="D30" i="12"/>
  <c r="C30" i="12"/>
  <c r="B32" i="12"/>
  <c r="B31" i="12"/>
  <c r="B30" i="12"/>
  <c r="B5" i="8"/>
  <c r="C44" i="18"/>
  <c r="B44" i="18"/>
  <c r="C43" i="18"/>
  <c r="B43" i="18"/>
  <c r="C42" i="18"/>
  <c r="B42" i="18"/>
  <c r="C40" i="18"/>
  <c r="B40" i="18"/>
  <c r="C39" i="18"/>
  <c r="B39" i="18"/>
  <c r="C38" i="18"/>
  <c r="B38" i="18"/>
  <c r="C36" i="18"/>
  <c r="B36" i="18"/>
  <c r="C35" i="18"/>
  <c r="B35" i="18"/>
  <c r="C34" i="18"/>
  <c r="B34" i="18"/>
  <c r="C32" i="18"/>
  <c r="C31" i="18"/>
  <c r="C30" i="18"/>
  <c r="B32" i="18"/>
  <c r="B31" i="18"/>
  <c r="B30" i="18"/>
  <c r="C44" i="8"/>
  <c r="B44" i="8"/>
  <c r="C43" i="8"/>
  <c r="B43" i="8"/>
  <c r="C42" i="8"/>
  <c r="B42" i="8"/>
  <c r="C40" i="8"/>
  <c r="B40" i="8"/>
  <c r="C39" i="8"/>
  <c r="B39" i="8"/>
  <c r="C38" i="8"/>
  <c r="B38" i="8"/>
  <c r="C36" i="8"/>
  <c r="B36" i="8"/>
  <c r="C35" i="8"/>
  <c r="B35" i="8"/>
  <c r="C34" i="8"/>
  <c r="B34" i="8"/>
  <c r="C32" i="8"/>
  <c r="C31" i="8"/>
  <c r="C30" i="8"/>
  <c r="B32" i="8"/>
  <c r="B31" i="8"/>
  <c r="B30" i="8"/>
  <c r="D44" i="9"/>
  <c r="C44" i="9"/>
  <c r="B44" i="9"/>
  <c r="D43" i="9"/>
  <c r="C43" i="9"/>
  <c r="B43" i="9"/>
  <c r="D42" i="9"/>
  <c r="C42" i="9"/>
  <c r="B42" i="9"/>
  <c r="D40" i="9"/>
  <c r="C40" i="9"/>
  <c r="B40" i="9"/>
  <c r="D39" i="9"/>
  <c r="C39" i="9"/>
  <c r="B39" i="9"/>
  <c r="D38" i="9"/>
  <c r="C38" i="9"/>
  <c r="B38" i="9"/>
  <c r="D36" i="9"/>
  <c r="C36" i="9"/>
  <c r="B36" i="9"/>
  <c r="D35" i="9"/>
  <c r="C35" i="9"/>
  <c r="B35" i="9"/>
  <c r="D34" i="9"/>
  <c r="C34" i="9"/>
  <c r="B34" i="9"/>
  <c r="D32" i="9"/>
  <c r="D31" i="9"/>
  <c r="D30" i="9"/>
  <c r="C32" i="9"/>
  <c r="C31" i="9"/>
  <c r="C30" i="9"/>
  <c r="B32" i="9"/>
  <c r="B31" i="9"/>
  <c r="B30" i="9"/>
  <c r="B59" i="13" l="1"/>
  <c r="Q41" i="15"/>
  <c r="Q37" i="15"/>
  <c r="Q33" i="15"/>
  <c r="Q25" i="15"/>
  <c r="Q17" i="15"/>
  <c r="Q13" i="15"/>
  <c r="Q9" i="15"/>
  <c r="Q5" i="15"/>
  <c r="L38" i="6" l="1"/>
  <c r="K38" i="6"/>
  <c r="J38" i="6"/>
  <c r="I38" i="6"/>
  <c r="H38" i="6"/>
  <c r="G38" i="6"/>
  <c r="F38" i="6"/>
  <c r="D38" i="6"/>
  <c r="G4" i="6"/>
  <c r="F41" i="15"/>
  <c r="G44" i="15"/>
  <c r="G43" i="15"/>
  <c r="G42" i="15"/>
  <c r="G54" i="4"/>
  <c r="G53" i="4"/>
  <c r="G52" i="4"/>
  <c r="F63" i="4"/>
  <c r="B54" i="4"/>
  <c r="B53" i="4"/>
  <c r="B52" i="4"/>
  <c r="B32" i="3"/>
  <c r="B31" i="3"/>
  <c r="B30" i="3"/>
  <c r="D45" i="17"/>
  <c r="D44" i="17"/>
  <c r="D43" i="17"/>
  <c r="D33" i="17"/>
  <c r="D32" i="17"/>
  <c r="D31" i="17"/>
  <c r="D29" i="17"/>
  <c r="D28" i="17"/>
  <c r="D27" i="17"/>
  <c r="C29" i="3"/>
  <c r="C30" i="2"/>
  <c r="C29" i="2"/>
  <c r="C28" i="2"/>
  <c r="C26" i="2"/>
  <c r="C25" i="2"/>
  <c r="C24" i="2"/>
  <c r="C22" i="2"/>
  <c r="C21" i="2"/>
  <c r="C20" i="2"/>
  <c r="C18" i="2"/>
  <c r="C17" i="2"/>
  <c r="C16" i="2"/>
  <c r="C14" i="2"/>
  <c r="C13" i="2"/>
  <c r="C12" i="2"/>
  <c r="C10" i="2"/>
  <c r="C9" i="2"/>
  <c r="C8" i="2"/>
  <c r="G4" i="19" l="1"/>
  <c r="E16" i="15" l="1"/>
  <c r="G66" i="4" l="1"/>
  <c r="G65" i="4"/>
  <c r="G64" i="4"/>
  <c r="F66" i="4"/>
  <c r="F65" i="4"/>
  <c r="F64" i="4"/>
  <c r="E66" i="4"/>
  <c r="E65" i="4"/>
  <c r="E64" i="4"/>
  <c r="C66" i="4"/>
  <c r="C65" i="4"/>
  <c r="C64" i="4"/>
  <c r="B66" i="4"/>
  <c r="B65" i="4"/>
  <c r="B64" i="4"/>
  <c r="B62" i="4"/>
  <c r="B61" i="4"/>
  <c r="B60" i="4"/>
  <c r="C62" i="4"/>
  <c r="C61" i="4"/>
  <c r="C60" i="4"/>
  <c r="E62" i="4"/>
  <c r="E61" i="4"/>
  <c r="E60" i="4"/>
  <c r="F62" i="4"/>
  <c r="F61" i="4"/>
  <c r="F60" i="4"/>
  <c r="G62" i="4"/>
  <c r="G61" i="4"/>
  <c r="G60" i="4"/>
  <c r="G58" i="4"/>
  <c r="G57" i="4"/>
  <c r="G56" i="4"/>
  <c r="F58" i="4"/>
  <c r="F57" i="4"/>
  <c r="F56" i="4"/>
  <c r="E58" i="4"/>
  <c r="E57" i="4"/>
  <c r="E56" i="4"/>
  <c r="C58" i="4"/>
  <c r="C57" i="4"/>
  <c r="C56" i="4"/>
  <c r="B58" i="4"/>
  <c r="B57" i="4"/>
  <c r="B56" i="4"/>
  <c r="F54" i="4"/>
  <c r="E54" i="4"/>
  <c r="C54" i="4"/>
  <c r="F53" i="4"/>
  <c r="E53" i="4"/>
  <c r="C53" i="4"/>
  <c r="F52" i="4"/>
  <c r="E52" i="4"/>
  <c r="D52" i="4"/>
  <c r="C52" i="4"/>
  <c r="D64" i="4"/>
  <c r="D56" i="4"/>
  <c r="D60" i="4"/>
  <c r="G36" i="3"/>
  <c r="G35" i="3"/>
  <c r="G34" i="3"/>
  <c r="F36" i="3"/>
  <c r="F35" i="3"/>
  <c r="F34" i="3"/>
  <c r="E36" i="3"/>
  <c r="E35" i="3"/>
  <c r="E34" i="3"/>
  <c r="C36" i="3"/>
  <c r="C35" i="3"/>
  <c r="C34" i="3"/>
  <c r="D30" i="3"/>
  <c r="D34" i="3"/>
  <c r="D42" i="3"/>
  <c r="G40" i="3"/>
  <c r="G39" i="3"/>
  <c r="G38" i="3"/>
  <c r="F40" i="3"/>
  <c r="F39" i="3"/>
  <c r="F38" i="3"/>
  <c r="E40" i="3"/>
  <c r="E39" i="3"/>
  <c r="E38" i="3"/>
  <c r="C40" i="3"/>
  <c r="C39" i="3"/>
  <c r="C38" i="3"/>
  <c r="B44" i="3"/>
  <c r="B43" i="3"/>
  <c r="B42" i="3"/>
  <c r="C44" i="3"/>
  <c r="C43" i="3"/>
  <c r="C42" i="3"/>
  <c r="E44" i="3"/>
  <c r="E43" i="3"/>
  <c r="E42" i="3"/>
  <c r="G44" i="3"/>
  <c r="G43" i="3"/>
  <c r="G42" i="3"/>
  <c r="F44" i="3"/>
  <c r="F43" i="3"/>
  <c r="F42" i="3"/>
  <c r="D38" i="3"/>
  <c r="G10" i="3"/>
  <c r="F10" i="3"/>
  <c r="D10" i="3"/>
  <c r="C10" i="3"/>
  <c r="B10" i="3"/>
  <c r="C46" i="2"/>
  <c r="C45" i="2"/>
  <c r="C44" i="2"/>
  <c r="B46" i="2"/>
  <c r="B45" i="2"/>
  <c r="B44" i="2"/>
  <c r="C42" i="2"/>
  <c r="C41" i="2"/>
  <c r="C40" i="2"/>
  <c r="B42" i="2"/>
  <c r="B41" i="2"/>
  <c r="B40" i="2"/>
  <c r="C38" i="2"/>
  <c r="C37" i="2"/>
  <c r="C36" i="2"/>
  <c r="B38" i="2"/>
  <c r="B37" i="2"/>
  <c r="B36" i="2"/>
  <c r="C34" i="2"/>
  <c r="C33" i="2"/>
  <c r="C32" i="2"/>
  <c r="B34" i="2"/>
  <c r="B33" i="2"/>
  <c r="B32" i="2"/>
  <c r="D17" i="17"/>
  <c r="D16" i="17"/>
  <c r="C17" i="17"/>
  <c r="C16" i="17"/>
  <c r="C15" i="17"/>
  <c r="B17" i="17"/>
  <c r="B16" i="17"/>
  <c r="B15" i="17"/>
  <c r="D13" i="17"/>
  <c r="D12" i="17"/>
  <c r="D11" i="17"/>
  <c r="D14" i="17" s="1"/>
  <c r="D15" i="17" s="1"/>
  <c r="C13" i="17"/>
  <c r="D9" i="17"/>
  <c r="D8" i="17"/>
  <c r="D7" i="17"/>
  <c r="D6" i="17"/>
  <c r="C9" i="17"/>
  <c r="C8" i="17"/>
  <c r="C7" i="17"/>
  <c r="C6" i="17"/>
  <c r="C43" i="17"/>
  <c r="C44" i="17" s="1"/>
  <c r="C45" i="17" s="1"/>
  <c r="B43" i="17"/>
  <c r="B44" i="17" s="1"/>
  <c r="B45" i="17" s="1"/>
  <c r="F33" i="17"/>
  <c r="C33" i="17"/>
  <c r="F32" i="17"/>
  <c r="C32" i="17"/>
  <c r="F31" i="17"/>
  <c r="C31" i="17"/>
  <c r="F41" i="17"/>
  <c r="F40" i="17"/>
  <c r="F39" i="17"/>
  <c r="D41" i="17"/>
  <c r="D40" i="17"/>
  <c r="D39" i="17"/>
  <c r="C41" i="17"/>
  <c r="C40" i="17"/>
  <c r="C39" i="17"/>
  <c r="D35" i="17"/>
  <c r="D36" i="17" s="1"/>
  <c r="D37" i="17" s="1"/>
  <c r="C35" i="17"/>
  <c r="C36" i="17" s="1"/>
  <c r="C37" i="17" s="1"/>
  <c r="B35" i="17"/>
  <c r="B36" i="17" s="1"/>
  <c r="B37" i="17" s="1"/>
  <c r="F21" i="17"/>
  <c r="F20" i="17"/>
  <c r="F19" i="17"/>
  <c r="D21" i="17"/>
  <c r="D20" i="17"/>
  <c r="D19" i="17"/>
  <c r="C21" i="17"/>
  <c r="C20" i="17"/>
  <c r="C19" i="17"/>
  <c r="B21" i="17"/>
  <c r="B20" i="17"/>
  <c r="B19" i="17"/>
  <c r="F25" i="17"/>
  <c r="F24" i="17"/>
  <c r="F23" i="17"/>
  <c r="D25" i="17"/>
  <c r="D24" i="17"/>
  <c r="D23" i="17"/>
  <c r="C25" i="17"/>
  <c r="C24" i="17"/>
  <c r="C23" i="17"/>
  <c r="C29" i="17"/>
  <c r="C28" i="17"/>
  <c r="C27" i="17"/>
  <c r="B27" i="17"/>
  <c r="B32" i="17"/>
  <c r="B25" i="17"/>
  <c r="B10" i="17"/>
  <c r="B13" i="17" s="1"/>
  <c r="B38" i="17"/>
  <c r="B7" i="17"/>
  <c r="L44" i="15"/>
  <c r="K44" i="15"/>
  <c r="Q44" i="15" s="1"/>
  <c r="H44" i="15"/>
  <c r="F44" i="15"/>
  <c r="E44" i="15"/>
  <c r="D44" i="15"/>
  <c r="C44" i="15"/>
  <c r="L43" i="15"/>
  <c r="K43" i="15"/>
  <c r="Q43" i="15" s="1"/>
  <c r="H43" i="15"/>
  <c r="F43" i="15"/>
  <c r="E43" i="15"/>
  <c r="D43" i="15"/>
  <c r="C43" i="15"/>
  <c r="L42" i="15"/>
  <c r="K42" i="15"/>
  <c r="Q42" i="15" s="1"/>
  <c r="H42" i="15"/>
  <c r="F42" i="15"/>
  <c r="E42" i="15"/>
  <c r="D42" i="15"/>
  <c r="C42" i="15"/>
  <c r="B44" i="15"/>
  <c r="B43" i="15"/>
  <c r="B42" i="15"/>
  <c r="N44" i="15"/>
  <c r="N43" i="15"/>
  <c r="N42" i="15"/>
  <c r="K35" i="15"/>
  <c r="K34" i="15"/>
  <c r="K36" i="15"/>
  <c r="G35" i="15"/>
  <c r="Q35" i="15" s="1"/>
  <c r="G34" i="15"/>
  <c r="N36" i="15"/>
  <c r="L36" i="15"/>
  <c r="J36" i="15"/>
  <c r="I36" i="15"/>
  <c r="H36" i="15"/>
  <c r="G36" i="15"/>
  <c r="Q36" i="15" s="1"/>
  <c r="F36" i="15"/>
  <c r="E36" i="15"/>
  <c r="C36" i="15"/>
  <c r="B36" i="15"/>
  <c r="B35" i="15"/>
  <c r="B34" i="15"/>
  <c r="K29" i="15"/>
  <c r="K32" i="15" s="1"/>
  <c r="G29" i="15"/>
  <c r="N40" i="15"/>
  <c r="L40" i="15"/>
  <c r="K40" i="15"/>
  <c r="J40" i="15"/>
  <c r="I40" i="15"/>
  <c r="H40" i="15"/>
  <c r="G40" i="15"/>
  <c r="Q40" i="15" s="1"/>
  <c r="E40" i="15"/>
  <c r="C40" i="15"/>
  <c r="B40" i="15"/>
  <c r="N32" i="15"/>
  <c r="L32" i="15"/>
  <c r="J32" i="15"/>
  <c r="I32" i="15"/>
  <c r="H32" i="15"/>
  <c r="F32" i="15"/>
  <c r="E32" i="15"/>
  <c r="D32" i="15"/>
  <c r="C32" i="15"/>
  <c r="N31" i="15"/>
  <c r="L31" i="15"/>
  <c r="J31" i="15"/>
  <c r="I31" i="15"/>
  <c r="H31" i="15"/>
  <c r="F31" i="15"/>
  <c r="E31" i="15"/>
  <c r="D31" i="15"/>
  <c r="C31" i="15"/>
  <c r="N30" i="15"/>
  <c r="L30" i="15"/>
  <c r="J30" i="15"/>
  <c r="I30" i="15"/>
  <c r="H30" i="15"/>
  <c r="F30" i="15"/>
  <c r="E30" i="15"/>
  <c r="D30" i="15"/>
  <c r="C30" i="15"/>
  <c r="B32" i="15"/>
  <c r="B31" i="15"/>
  <c r="B30" i="15"/>
  <c r="B23" i="15"/>
  <c r="B22" i="15"/>
  <c r="B24" i="15"/>
  <c r="E23" i="15"/>
  <c r="H23" i="15"/>
  <c r="I23" i="15"/>
  <c r="J23" i="15"/>
  <c r="E22" i="15"/>
  <c r="H22" i="15"/>
  <c r="I22" i="15"/>
  <c r="J22" i="15"/>
  <c r="E24" i="15"/>
  <c r="H24" i="15"/>
  <c r="I24" i="15"/>
  <c r="J24" i="15"/>
  <c r="L23" i="15"/>
  <c r="L22" i="15"/>
  <c r="L24" i="15"/>
  <c r="K6" i="15"/>
  <c r="H6" i="15"/>
  <c r="G6" i="15"/>
  <c r="Q6" i="15" s="1"/>
  <c r="D6" i="15"/>
  <c r="C6" i="15"/>
  <c r="B6" i="15"/>
  <c r="G30" i="15" l="1"/>
  <c r="Q29" i="15"/>
  <c r="Q34" i="15"/>
  <c r="B11" i="17"/>
  <c r="C11" i="17"/>
  <c r="B12" i="17"/>
  <c r="C12" i="17"/>
  <c r="B6" i="17"/>
  <c r="B8" i="17"/>
  <c r="B9" i="17"/>
  <c r="B33" i="17"/>
  <c r="B39" i="17"/>
  <c r="B40" i="17"/>
  <c r="B31" i="17"/>
  <c r="B41" i="17"/>
  <c r="B23" i="17"/>
  <c r="B24" i="17"/>
  <c r="B28" i="17"/>
  <c r="B29" i="17"/>
  <c r="K31" i="15"/>
  <c r="K30" i="15"/>
  <c r="G32" i="15"/>
  <c r="Q32" i="15" s="1"/>
  <c r="G31" i="15"/>
  <c r="Q31" i="15" l="1"/>
  <c r="Q30" i="15"/>
  <c r="B43" i="6"/>
  <c r="E43" i="6" s="1"/>
  <c r="B51" i="4"/>
  <c r="C51" i="4"/>
  <c r="B45" i="6" l="1"/>
  <c r="E45" i="6" s="1"/>
  <c r="B46" i="6"/>
  <c r="E46" i="6" s="1"/>
  <c r="B44" i="6"/>
  <c r="E44" i="6" s="1"/>
  <c r="D15" i="6" l="1"/>
  <c r="F25" i="15"/>
  <c r="F17" i="15"/>
  <c r="F13" i="15"/>
  <c r="F37" i="15"/>
  <c r="F40" i="15" s="1"/>
  <c r="F9" i="15"/>
  <c r="F6" i="15" s="1"/>
  <c r="D31" i="6" l="1"/>
  <c r="F23" i="15"/>
  <c r="F22" i="15"/>
  <c r="F24" i="15"/>
  <c r="F34" i="15"/>
  <c r="D8" i="15" l="1"/>
  <c r="D7" i="15"/>
  <c r="D11" i="15"/>
  <c r="D10" i="15"/>
  <c r="D12" i="15"/>
  <c r="B10" i="6" l="1"/>
  <c r="B9" i="6"/>
  <c r="B7" i="6"/>
  <c r="B4" i="6" l="1"/>
  <c r="E4" i="6" s="1"/>
  <c r="B31" i="6"/>
  <c r="E31" i="6" s="1"/>
  <c r="B23" i="6"/>
  <c r="E23" i="6" s="1"/>
  <c r="B19" i="6"/>
  <c r="E19" i="6" s="1"/>
  <c r="B15" i="6"/>
  <c r="E15" i="6" s="1"/>
  <c r="B11" i="6"/>
  <c r="E11" i="6" l="1"/>
  <c r="B12" i="6"/>
  <c r="B14" i="6"/>
  <c r="B13" i="6"/>
  <c r="B24" i="6"/>
  <c r="B26" i="6"/>
  <c r="B25" i="6"/>
  <c r="B22" i="6"/>
  <c r="B21" i="6"/>
  <c r="B20" i="6"/>
  <c r="B33" i="6"/>
  <c r="B32" i="6"/>
  <c r="B34" i="6"/>
  <c r="B18" i="6"/>
  <c r="B16" i="6"/>
  <c r="B17" i="6"/>
  <c r="E14" i="3"/>
  <c r="F27" i="15"/>
  <c r="F19" i="15"/>
  <c r="F15" i="15"/>
  <c r="F26" i="15"/>
  <c r="F11" i="15"/>
  <c r="F10" i="15"/>
  <c r="F12" i="15"/>
  <c r="J30" i="6"/>
  <c r="F16" i="15" l="1"/>
  <c r="F20" i="15"/>
  <c r="F28" i="15"/>
  <c r="F14" i="15"/>
  <c r="F18" i="15"/>
  <c r="F4" i="4"/>
  <c r="D4" i="15"/>
  <c r="B4" i="4"/>
  <c r="G4" i="15"/>
  <c r="B4" i="3"/>
  <c r="B34" i="4" l="1"/>
  <c r="E38" i="15" l="1"/>
  <c r="E27" i="15" s="1"/>
  <c r="E39" i="15"/>
  <c r="E35" i="15"/>
  <c r="E14" i="15"/>
  <c r="E15" i="15"/>
  <c r="E18" i="15"/>
  <c r="E19" i="15"/>
  <c r="E20" i="15"/>
  <c r="E26" i="15" l="1"/>
  <c r="E28" i="15"/>
  <c r="D5" i="18"/>
  <c r="B39" i="6"/>
  <c r="E39" i="6" s="1"/>
  <c r="B40" i="6" l="1"/>
  <c r="E40" i="6" s="1"/>
  <c r="B42" i="6"/>
  <c r="E42" i="6" s="1"/>
  <c r="B41" i="6"/>
  <c r="E41" i="6" s="1"/>
  <c r="C45" i="13"/>
  <c r="B45" i="13"/>
  <c r="C44" i="13"/>
  <c r="B44" i="13"/>
  <c r="C43" i="13"/>
  <c r="B43" i="13"/>
  <c r="C41" i="13"/>
  <c r="B41" i="13"/>
  <c r="C40" i="13"/>
  <c r="B40" i="13"/>
  <c r="C39" i="13"/>
  <c r="B39" i="13"/>
  <c r="C37" i="13"/>
  <c r="B37" i="13"/>
  <c r="C36" i="13"/>
  <c r="B36" i="13"/>
  <c r="C35" i="13"/>
  <c r="B35" i="13"/>
  <c r="C33" i="13"/>
  <c r="B33" i="13"/>
  <c r="C32" i="13"/>
  <c r="B32" i="13"/>
  <c r="C31" i="13"/>
  <c r="B31" i="13"/>
  <c r="C29" i="13"/>
  <c r="B29" i="13"/>
  <c r="C28" i="13"/>
  <c r="B28" i="13"/>
  <c r="C27" i="13"/>
  <c r="B27" i="13"/>
  <c r="C25" i="13"/>
  <c r="B25" i="13"/>
  <c r="C24" i="13"/>
  <c r="B24" i="13"/>
  <c r="C23" i="13"/>
  <c r="B23" i="13"/>
  <c r="E28" i="12"/>
  <c r="D28" i="12"/>
  <c r="C28" i="12"/>
  <c r="B28" i="12"/>
  <c r="E27" i="12"/>
  <c r="D27" i="12"/>
  <c r="C27" i="12"/>
  <c r="B27" i="12"/>
  <c r="E26" i="12"/>
  <c r="D26" i="12"/>
  <c r="C26" i="12"/>
  <c r="B26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D8" i="12"/>
  <c r="C8" i="12"/>
  <c r="B8" i="12"/>
  <c r="E7" i="12"/>
  <c r="D7" i="12"/>
  <c r="C7" i="12"/>
  <c r="B7" i="12"/>
  <c r="E6" i="12"/>
  <c r="D6" i="12"/>
  <c r="C6" i="12"/>
  <c r="B6" i="12"/>
  <c r="B25" i="18"/>
  <c r="B21" i="18"/>
  <c r="B23" i="18" s="1"/>
  <c r="B17" i="18"/>
  <c r="B20" i="18" s="1"/>
  <c r="C28" i="18"/>
  <c r="C27" i="18"/>
  <c r="C26" i="18"/>
  <c r="C24" i="18"/>
  <c r="B24" i="18"/>
  <c r="C23" i="18"/>
  <c r="C22" i="18"/>
  <c r="C20" i="18"/>
  <c r="C19" i="18"/>
  <c r="C18" i="18"/>
  <c r="C16" i="18"/>
  <c r="B16" i="18"/>
  <c r="C15" i="18"/>
  <c r="B15" i="18"/>
  <c r="C14" i="18"/>
  <c r="B14" i="18"/>
  <c r="C12" i="18"/>
  <c r="B12" i="18"/>
  <c r="C11" i="18"/>
  <c r="B11" i="18"/>
  <c r="C10" i="18"/>
  <c r="B10" i="18"/>
  <c r="C8" i="18"/>
  <c r="B8" i="18"/>
  <c r="C7" i="18"/>
  <c r="B7" i="18"/>
  <c r="C6" i="18"/>
  <c r="B6" i="18"/>
  <c r="D28" i="9"/>
  <c r="C28" i="9"/>
  <c r="B28" i="9"/>
  <c r="D27" i="9"/>
  <c r="C27" i="9"/>
  <c r="B27" i="9"/>
  <c r="D26" i="9"/>
  <c r="C26" i="9"/>
  <c r="B26" i="9"/>
  <c r="D24" i="9"/>
  <c r="C24" i="9"/>
  <c r="B24" i="9"/>
  <c r="D23" i="9"/>
  <c r="C23" i="9"/>
  <c r="B23" i="9"/>
  <c r="D22" i="9"/>
  <c r="C22" i="9"/>
  <c r="B22" i="9"/>
  <c r="D20" i="9"/>
  <c r="C20" i="9"/>
  <c r="B20" i="9"/>
  <c r="D19" i="9"/>
  <c r="C19" i="9"/>
  <c r="B19" i="9"/>
  <c r="D18" i="9"/>
  <c r="C18" i="9"/>
  <c r="B18" i="9"/>
  <c r="D16" i="9"/>
  <c r="C16" i="9"/>
  <c r="B16" i="9"/>
  <c r="D15" i="9"/>
  <c r="C15" i="9"/>
  <c r="B15" i="9"/>
  <c r="D14" i="9"/>
  <c r="C14" i="9"/>
  <c r="B14" i="9"/>
  <c r="D12" i="9"/>
  <c r="C12" i="9"/>
  <c r="B12" i="9"/>
  <c r="D11" i="9"/>
  <c r="C11" i="9"/>
  <c r="B11" i="9"/>
  <c r="D10" i="9"/>
  <c r="C10" i="9"/>
  <c r="B10" i="9"/>
  <c r="D8" i="9"/>
  <c r="C8" i="9"/>
  <c r="B8" i="9"/>
  <c r="D7" i="9"/>
  <c r="C7" i="9"/>
  <c r="B7" i="9"/>
  <c r="D6" i="9"/>
  <c r="C6" i="9"/>
  <c r="B6" i="9"/>
  <c r="C27" i="8"/>
  <c r="B14" i="8"/>
  <c r="C28" i="8"/>
  <c r="B25" i="8"/>
  <c r="C20" i="8"/>
  <c r="B17" i="8"/>
  <c r="B9" i="8"/>
  <c r="L34" i="6"/>
  <c r="K34" i="6"/>
  <c r="J34" i="6"/>
  <c r="I34" i="6"/>
  <c r="H34" i="6"/>
  <c r="G34" i="6"/>
  <c r="F34" i="6"/>
  <c r="D34" i="6"/>
  <c r="E34" i="6" s="1"/>
  <c r="C34" i="6"/>
  <c r="L33" i="6"/>
  <c r="K33" i="6"/>
  <c r="J33" i="6"/>
  <c r="I33" i="6"/>
  <c r="H33" i="6"/>
  <c r="G33" i="6"/>
  <c r="F33" i="6"/>
  <c r="D33" i="6"/>
  <c r="E33" i="6" s="1"/>
  <c r="C33" i="6"/>
  <c r="L32" i="6"/>
  <c r="K32" i="6"/>
  <c r="J32" i="6"/>
  <c r="I32" i="6"/>
  <c r="H32" i="6"/>
  <c r="G32" i="6"/>
  <c r="F32" i="6"/>
  <c r="D32" i="6"/>
  <c r="E32" i="6" s="1"/>
  <c r="C32" i="6"/>
  <c r="L30" i="6"/>
  <c r="K30" i="6"/>
  <c r="I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6" i="6"/>
  <c r="K26" i="6"/>
  <c r="J26" i="6"/>
  <c r="I26" i="6"/>
  <c r="H26" i="6"/>
  <c r="G26" i="6"/>
  <c r="F26" i="6"/>
  <c r="D26" i="6"/>
  <c r="E26" i="6" s="1"/>
  <c r="C26" i="6"/>
  <c r="L25" i="6"/>
  <c r="K25" i="6"/>
  <c r="J25" i="6"/>
  <c r="I25" i="6"/>
  <c r="H25" i="6"/>
  <c r="G25" i="6"/>
  <c r="F25" i="6"/>
  <c r="D25" i="6"/>
  <c r="E25" i="6" s="1"/>
  <c r="C25" i="6"/>
  <c r="L24" i="6"/>
  <c r="K24" i="6"/>
  <c r="J24" i="6"/>
  <c r="I24" i="6"/>
  <c r="H24" i="6"/>
  <c r="G24" i="6"/>
  <c r="F24" i="6"/>
  <c r="D24" i="6"/>
  <c r="E24" i="6" s="1"/>
  <c r="C24" i="6"/>
  <c r="L22" i="6"/>
  <c r="K22" i="6"/>
  <c r="J22" i="6"/>
  <c r="I22" i="6"/>
  <c r="H22" i="6"/>
  <c r="G22" i="6"/>
  <c r="F22" i="6"/>
  <c r="D22" i="6"/>
  <c r="E22" i="6" s="1"/>
  <c r="C22" i="6"/>
  <c r="L21" i="6"/>
  <c r="K21" i="6"/>
  <c r="J21" i="6"/>
  <c r="I21" i="6"/>
  <c r="H21" i="6"/>
  <c r="G21" i="6"/>
  <c r="F21" i="6"/>
  <c r="D21" i="6"/>
  <c r="E21" i="6" s="1"/>
  <c r="C21" i="6"/>
  <c r="L20" i="6"/>
  <c r="K20" i="6"/>
  <c r="J20" i="6"/>
  <c r="I20" i="6"/>
  <c r="H20" i="6"/>
  <c r="G20" i="6"/>
  <c r="F20" i="6"/>
  <c r="D20" i="6"/>
  <c r="E20" i="6" s="1"/>
  <c r="C20" i="6"/>
  <c r="L18" i="6"/>
  <c r="K18" i="6"/>
  <c r="J18" i="6"/>
  <c r="I18" i="6"/>
  <c r="H18" i="6"/>
  <c r="G18" i="6"/>
  <c r="F18" i="6"/>
  <c r="C18" i="6"/>
  <c r="L17" i="6"/>
  <c r="K17" i="6"/>
  <c r="I17" i="6"/>
  <c r="H17" i="6"/>
  <c r="G17" i="6"/>
  <c r="F17" i="6"/>
  <c r="L16" i="6"/>
  <c r="K16" i="6"/>
  <c r="J16" i="6"/>
  <c r="I16" i="6"/>
  <c r="H16" i="6"/>
  <c r="G16" i="6"/>
  <c r="F16" i="6"/>
  <c r="C16" i="6"/>
  <c r="J17" i="6"/>
  <c r="D18" i="6"/>
  <c r="E18" i="6" s="1"/>
  <c r="K37" i="6"/>
  <c r="J37" i="6"/>
  <c r="I37" i="6"/>
  <c r="H37" i="6"/>
  <c r="G37" i="6"/>
  <c r="F37" i="6"/>
  <c r="D37" i="6"/>
  <c r="K36" i="6"/>
  <c r="J36" i="6"/>
  <c r="I36" i="6"/>
  <c r="H36" i="6"/>
  <c r="G36" i="6"/>
  <c r="F36" i="6"/>
  <c r="D36" i="6"/>
  <c r="K14" i="6"/>
  <c r="J14" i="6"/>
  <c r="I14" i="6"/>
  <c r="H14" i="6"/>
  <c r="G14" i="6"/>
  <c r="D14" i="6"/>
  <c r="E14" i="6" s="1"/>
  <c r="C14" i="6"/>
  <c r="K13" i="6"/>
  <c r="J13" i="6"/>
  <c r="I13" i="6"/>
  <c r="H13" i="6"/>
  <c r="G13" i="6"/>
  <c r="D13" i="6"/>
  <c r="E13" i="6" s="1"/>
  <c r="C13" i="6"/>
  <c r="K12" i="6"/>
  <c r="J12" i="6"/>
  <c r="I12" i="6"/>
  <c r="H12" i="6"/>
  <c r="G12" i="6"/>
  <c r="D12" i="6"/>
  <c r="E12" i="6" s="1"/>
  <c r="C12" i="6"/>
  <c r="C38" i="6"/>
  <c r="F14" i="6"/>
  <c r="F7" i="6"/>
  <c r="L20" i="15"/>
  <c r="K20" i="15"/>
  <c r="J20" i="15"/>
  <c r="I20" i="15"/>
  <c r="H20" i="15"/>
  <c r="G20" i="15"/>
  <c r="Q20" i="15" s="1"/>
  <c r="L19" i="15"/>
  <c r="K19" i="15"/>
  <c r="J19" i="15"/>
  <c r="I19" i="15"/>
  <c r="H19" i="15"/>
  <c r="G19" i="15"/>
  <c r="Q19" i="15" s="1"/>
  <c r="L18" i="15"/>
  <c r="K18" i="15"/>
  <c r="J18" i="15"/>
  <c r="I18" i="15"/>
  <c r="H18" i="15"/>
  <c r="G18" i="15"/>
  <c r="Q18" i="15" s="1"/>
  <c r="L16" i="15"/>
  <c r="K16" i="15"/>
  <c r="J16" i="15"/>
  <c r="I16" i="15"/>
  <c r="H16" i="15"/>
  <c r="G16" i="15"/>
  <c r="Q16" i="15" s="1"/>
  <c r="L15" i="15"/>
  <c r="K15" i="15"/>
  <c r="J15" i="15"/>
  <c r="I15" i="15"/>
  <c r="H15" i="15"/>
  <c r="G15" i="15"/>
  <c r="Q15" i="15" s="1"/>
  <c r="C16" i="15"/>
  <c r="B16" i="15"/>
  <c r="C15" i="15"/>
  <c r="B15" i="15"/>
  <c r="K14" i="15"/>
  <c r="J14" i="15"/>
  <c r="I14" i="15"/>
  <c r="H14" i="15"/>
  <c r="G14" i="15"/>
  <c r="Q14" i="15" s="1"/>
  <c r="C14" i="15"/>
  <c r="B14" i="15"/>
  <c r="K12" i="15"/>
  <c r="K11" i="15"/>
  <c r="J12" i="15"/>
  <c r="I12" i="15"/>
  <c r="H12" i="15"/>
  <c r="G12" i="15"/>
  <c r="Q12" i="15" s="1"/>
  <c r="C12" i="15"/>
  <c r="B12" i="15"/>
  <c r="J11" i="15"/>
  <c r="I11" i="15"/>
  <c r="H11" i="15"/>
  <c r="G11" i="15"/>
  <c r="Q11" i="15" s="1"/>
  <c r="C11" i="15"/>
  <c r="B11" i="15"/>
  <c r="K10" i="15"/>
  <c r="J10" i="15"/>
  <c r="I10" i="15"/>
  <c r="H10" i="15"/>
  <c r="G10" i="15"/>
  <c r="Q10" i="15" s="1"/>
  <c r="C10" i="15"/>
  <c r="B10" i="15"/>
  <c r="I17" i="16"/>
  <c r="D17" i="16"/>
  <c r="F25" i="4"/>
  <c r="F26" i="4"/>
  <c r="B26" i="4"/>
  <c r="K21" i="15"/>
  <c r="G21" i="15"/>
  <c r="Q21" i="15" s="1"/>
  <c r="D21" i="15"/>
  <c r="D17" i="15"/>
  <c r="C18" i="15"/>
  <c r="D13" i="15"/>
  <c r="N35" i="15"/>
  <c r="L35" i="15"/>
  <c r="J35" i="15"/>
  <c r="I35" i="15"/>
  <c r="H35" i="15"/>
  <c r="F35" i="15"/>
  <c r="C35" i="15"/>
  <c r="N39" i="15"/>
  <c r="K39" i="15"/>
  <c r="J39" i="15"/>
  <c r="I39" i="15"/>
  <c r="H39" i="15"/>
  <c r="G39" i="15"/>
  <c r="Q39" i="15" s="1"/>
  <c r="B39" i="15"/>
  <c r="N38" i="15"/>
  <c r="L38" i="15"/>
  <c r="L26" i="15" s="1"/>
  <c r="K38" i="15"/>
  <c r="K26" i="15" s="1"/>
  <c r="J38" i="15"/>
  <c r="I38" i="15"/>
  <c r="H38" i="15"/>
  <c r="H26" i="15" s="1"/>
  <c r="G38" i="15"/>
  <c r="C38" i="15"/>
  <c r="C27" i="15" s="1"/>
  <c r="B38" i="15"/>
  <c r="B28" i="15" s="1"/>
  <c r="D34" i="15"/>
  <c r="D35" i="15" s="1"/>
  <c r="D37" i="15"/>
  <c r="D40" i="15" s="1"/>
  <c r="K8" i="15"/>
  <c r="H8" i="15"/>
  <c r="G8" i="15"/>
  <c r="Q8" i="15" s="1"/>
  <c r="F8" i="15"/>
  <c r="C8" i="15"/>
  <c r="B8" i="15"/>
  <c r="K7" i="15"/>
  <c r="H7" i="15"/>
  <c r="G7" i="15"/>
  <c r="F7" i="15"/>
  <c r="C7" i="15"/>
  <c r="B7" i="15"/>
  <c r="C45" i="4"/>
  <c r="E45" i="4"/>
  <c r="G50" i="4"/>
  <c r="G49" i="4"/>
  <c r="G48" i="4"/>
  <c r="C50" i="4"/>
  <c r="C49" i="4"/>
  <c r="C48" i="4"/>
  <c r="C46" i="4"/>
  <c r="C44" i="4"/>
  <c r="G42" i="4"/>
  <c r="F42" i="4"/>
  <c r="G41" i="4"/>
  <c r="F41" i="4"/>
  <c r="G40" i="4"/>
  <c r="F40" i="4"/>
  <c r="C42" i="4"/>
  <c r="B42" i="4"/>
  <c r="C41" i="4"/>
  <c r="B41" i="4"/>
  <c r="C40" i="4"/>
  <c r="B40" i="4"/>
  <c r="G38" i="4"/>
  <c r="G37" i="4"/>
  <c r="G36" i="4"/>
  <c r="C38" i="4"/>
  <c r="B38" i="4"/>
  <c r="C37" i="4"/>
  <c r="B37" i="4"/>
  <c r="C36" i="4"/>
  <c r="B36" i="4"/>
  <c r="G43" i="4"/>
  <c r="B21" i="4"/>
  <c r="C34" i="4"/>
  <c r="C33" i="4"/>
  <c r="B33" i="4"/>
  <c r="C32" i="4"/>
  <c r="B32" i="4"/>
  <c r="C30" i="4"/>
  <c r="C29" i="4"/>
  <c r="C28" i="4"/>
  <c r="E50" i="4"/>
  <c r="E49" i="4"/>
  <c r="E48" i="4"/>
  <c r="D48" i="4"/>
  <c r="E46" i="4"/>
  <c r="E44" i="4"/>
  <c r="D44" i="4"/>
  <c r="E42" i="4"/>
  <c r="E41" i="4"/>
  <c r="E40" i="4"/>
  <c r="D40" i="4"/>
  <c r="E38" i="4"/>
  <c r="E37" i="4"/>
  <c r="E36" i="4"/>
  <c r="D36" i="4"/>
  <c r="E34" i="4"/>
  <c r="E33" i="4"/>
  <c r="E32" i="4"/>
  <c r="D32" i="4"/>
  <c r="E30" i="4"/>
  <c r="E29" i="4"/>
  <c r="E28" i="4"/>
  <c r="D28" i="4"/>
  <c r="G27" i="4"/>
  <c r="G28" i="3"/>
  <c r="F28" i="3"/>
  <c r="G27" i="3"/>
  <c r="F27" i="3"/>
  <c r="G26" i="3"/>
  <c r="F26" i="3"/>
  <c r="C28" i="3"/>
  <c r="B28" i="3"/>
  <c r="C27" i="3"/>
  <c r="B27" i="3"/>
  <c r="C26" i="3"/>
  <c r="B26" i="3"/>
  <c r="G20" i="3"/>
  <c r="F20" i="3"/>
  <c r="G19" i="3"/>
  <c r="F19" i="3"/>
  <c r="G18" i="3"/>
  <c r="F18" i="3"/>
  <c r="C20" i="3"/>
  <c r="B20" i="3"/>
  <c r="C19" i="3"/>
  <c r="B19" i="3"/>
  <c r="C18" i="3"/>
  <c r="B18" i="3"/>
  <c r="G24" i="3"/>
  <c r="F24" i="3"/>
  <c r="G23" i="3"/>
  <c r="F23" i="3"/>
  <c r="G22" i="3"/>
  <c r="F22" i="3"/>
  <c r="C24" i="3"/>
  <c r="C23" i="3"/>
  <c r="C22" i="3"/>
  <c r="G16" i="3"/>
  <c r="F16" i="3"/>
  <c r="G15" i="3"/>
  <c r="F15" i="3"/>
  <c r="G14" i="3"/>
  <c r="F14" i="3"/>
  <c r="C16" i="3"/>
  <c r="B16" i="3"/>
  <c r="C15" i="3"/>
  <c r="B15" i="3"/>
  <c r="C14" i="3"/>
  <c r="B14" i="3"/>
  <c r="E28" i="3"/>
  <c r="E27" i="3"/>
  <c r="E26" i="3"/>
  <c r="D26" i="3"/>
  <c r="E24" i="3"/>
  <c r="E23" i="3"/>
  <c r="E22" i="3"/>
  <c r="D22" i="3"/>
  <c r="E20" i="3"/>
  <c r="E19" i="3"/>
  <c r="E18" i="3"/>
  <c r="D18" i="3"/>
  <c r="E16" i="3"/>
  <c r="E15" i="3"/>
  <c r="D14" i="3"/>
  <c r="G12" i="3"/>
  <c r="F12" i="3"/>
  <c r="C12" i="3"/>
  <c r="B12" i="3"/>
  <c r="G11" i="3"/>
  <c r="F11" i="3"/>
  <c r="C11" i="3"/>
  <c r="B11" i="3"/>
  <c r="E12" i="3"/>
  <c r="E11" i="3"/>
  <c r="E10" i="3"/>
  <c r="E8" i="3"/>
  <c r="C8" i="3"/>
  <c r="E7" i="3"/>
  <c r="C7" i="3"/>
  <c r="E6" i="3"/>
  <c r="D6" i="3"/>
  <c r="C6" i="3"/>
  <c r="G5" i="3"/>
  <c r="F5" i="3"/>
  <c r="F8" i="3" s="1"/>
  <c r="B18" i="2"/>
  <c r="B16" i="2"/>
  <c r="B17" i="2"/>
  <c r="B22" i="2"/>
  <c r="B20" i="2"/>
  <c r="B21" i="2"/>
  <c r="B30" i="2"/>
  <c r="B28" i="2"/>
  <c r="B29" i="2"/>
  <c r="B26" i="2"/>
  <c r="B24" i="2"/>
  <c r="B25" i="2"/>
  <c r="B10" i="2"/>
  <c r="B8" i="2"/>
  <c r="B9" i="2"/>
  <c r="B14" i="2"/>
  <c r="B12" i="2"/>
  <c r="B13" i="2"/>
  <c r="G26" i="15" l="1"/>
  <c r="Q26" i="15" s="1"/>
  <c r="Q38" i="15"/>
  <c r="Q7" i="15"/>
  <c r="B22" i="18"/>
  <c r="B18" i="18"/>
  <c r="B27" i="18"/>
  <c r="B19" i="18"/>
  <c r="B26" i="18"/>
  <c r="B28" i="18"/>
  <c r="I28" i="15"/>
  <c r="I41" i="15"/>
  <c r="J27" i="15"/>
  <c r="J41" i="15"/>
  <c r="D28" i="6"/>
  <c r="B38" i="3"/>
  <c r="B39" i="3"/>
  <c r="B40" i="3"/>
  <c r="B36" i="3"/>
  <c r="B34" i="3"/>
  <c r="B35" i="3"/>
  <c r="C24" i="15"/>
  <c r="C23" i="15"/>
  <c r="C22" i="15"/>
  <c r="D23" i="15"/>
  <c r="D22" i="15"/>
  <c r="D24" i="15"/>
  <c r="G24" i="15"/>
  <c r="Q24" i="15" s="1"/>
  <c r="G22" i="15"/>
  <c r="Q22" i="15" s="1"/>
  <c r="G23" i="15"/>
  <c r="K23" i="15"/>
  <c r="K24" i="15"/>
  <c r="K22" i="15"/>
  <c r="C39" i="15"/>
  <c r="K27" i="15"/>
  <c r="J28" i="15"/>
  <c r="I26" i="15"/>
  <c r="G27" i="15"/>
  <c r="B26" i="15"/>
  <c r="C26" i="15"/>
  <c r="C28" i="15"/>
  <c r="J26" i="15"/>
  <c r="H27" i="15"/>
  <c r="G28" i="15"/>
  <c r="K28" i="15"/>
  <c r="B27" i="15"/>
  <c r="I27" i="15"/>
  <c r="H28" i="15"/>
  <c r="C10" i="8"/>
  <c r="B35" i="6"/>
  <c r="C28" i="6"/>
  <c r="B27" i="6"/>
  <c r="E27" i="6" s="1"/>
  <c r="C12" i="8"/>
  <c r="C19" i="8"/>
  <c r="D20" i="15"/>
  <c r="D19" i="15"/>
  <c r="D18" i="15"/>
  <c r="F21" i="15"/>
  <c r="D15" i="15"/>
  <c r="D16" i="15"/>
  <c r="D14" i="15"/>
  <c r="D39" i="15"/>
  <c r="D38" i="15"/>
  <c r="D33" i="15" s="1"/>
  <c r="D36" i="15" s="1"/>
  <c r="B6" i="3"/>
  <c r="F12" i="6"/>
  <c r="C37" i="6"/>
  <c r="D16" i="6"/>
  <c r="E16" i="6" s="1"/>
  <c r="C17" i="6"/>
  <c r="F28" i="6"/>
  <c r="D29" i="6"/>
  <c r="C30" i="6"/>
  <c r="B11" i="8"/>
  <c r="B18" i="8"/>
  <c r="B20" i="8"/>
  <c r="B22" i="8"/>
  <c r="B26" i="8"/>
  <c r="B28" i="8"/>
  <c r="F13" i="6"/>
  <c r="D17" i="6"/>
  <c r="E17" i="6" s="1"/>
  <c r="F29" i="6"/>
  <c r="D30" i="6"/>
  <c r="C7" i="8"/>
  <c r="C11" i="8"/>
  <c r="C18" i="8"/>
  <c r="C22" i="8"/>
  <c r="C26" i="8"/>
  <c r="C36" i="6"/>
  <c r="C29" i="6"/>
  <c r="C24" i="8"/>
  <c r="F30" i="6"/>
  <c r="B10" i="8"/>
  <c r="B12" i="8"/>
  <c r="B19" i="8"/>
  <c r="B24" i="8"/>
  <c r="B27" i="8"/>
  <c r="B19" i="15"/>
  <c r="B18" i="15"/>
  <c r="C19" i="15"/>
  <c r="B20" i="15"/>
  <c r="C20" i="15"/>
  <c r="B6" i="8"/>
  <c r="B8" i="8"/>
  <c r="C14" i="8"/>
  <c r="C16" i="8"/>
  <c r="B16" i="8"/>
  <c r="C6" i="8"/>
  <c r="C8" i="8"/>
  <c r="B15" i="8"/>
  <c r="B23" i="8"/>
  <c r="B7" i="8"/>
  <c r="C15" i="8"/>
  <c r="C23" i="8"/>
  <c r="F45" i="4"/>
  <c r="G45" i="4"/>
  <c r="B45" i="4"/>
  <c r="F32" i="4"/>
  <c r="F34" i="4"/>
  <c r="F33" i="4"/>
  <c r="B28" i="4"/>
  <c r="B30" i="4"/>
  <c r="F30" i="4"/>
  <c r="G30" i="4"/>
  <c r="F28" i="4"/>
  <c r="B29" i="4"/>
  <c r="F29" i="4"/>
  <c r="G28" i="4"/>
  <c r="G29" i="4"/>
  <c r="F36" i="4"/>
  <c r="F37" i="4"/>
  <c r="F38" i="4"/>
  <c r="B44" i="4"/>
  <c r="B46" i="4"/>
  <c r="F44" i="4"/>
  <c r="F46" i="4"/>
  <c r="G44" i="4"/>
  <c r="G46" i="4"/>
  <c r="F48" i="4"/>
  <c r="F49" i="4"/>
  <c r="F50" i="4"/>
  <c r="G7" i="3"/>
  <c r="B8" i="3"/>
  <c r="B7" i="3"/>
  <c r="G8" i="3"/>
  <c r="G6" i="3"/>
  <c r="F6" i="3"/>
  <c r="F7" i="3"/>
  <c r="B22" i="3"/>
  <c r="B23" i="3"/>
  <c r="B24" i="3"/>
  <c r="B38" i="6" l="1"/>
  <c r="E38" i="6" s="1"/>
  <c r="E35" i="6"/>
  <c r="Q28" i="15"/>
  <c r="Q27" i="15"/>
  <c r="Q23" i="15"/>
  <c r="B28" i="6"/>
  <c r="E28" i="6" s="1"/>
  <c r="B30" i="6"/>
  <c r="E30" i="6" s="1"/>
  <c r="B29" i="6"/>
  <c r="E29" i="6" s="1"/>
  <c r="J42" i="15"/>
  <c r="J44" i="15"/>
  <c r="J43" i="15"/>
  <c r="I43" i="15"/>
  <c r="I42" i="15"/>
  <c r="I44" i="15"/>
  <c r="B37" i="6"/>
  <c r="E37" i="6" s="1"/>
  <c r="B36" i="6"/>
  <c r="E36" i="6" s="1"/>
  <c r="F38" i="15"/>
  <c r="F39" i="15"/>
  <c r="D27" i="15"/>
  <c r="D26" i="15"/>
  <c r="D28" i="15"/>
  <c r="B50" i="4"/>
  <c r="B49" i="4"/>
  <c r="B48" i="4"/>
  <c r="B24" i="4" l="1"/>
  <c r="G24" i="4"/>
  <c r="F24" i="4"/>
  <c r="J6" i="6"/>
  <c r="D6" i="6"/>
  <c r="C6" i="6"/>
  <c r="J5" i="6"/>
  <c r="D5" i="6"/>
  <c r="C5" i="6"/>
  <c r="B5" i="6" l="1"/>
  <c r="B6" i="6"/>
  <c r="B23" i="4" l="1"/>
  <c r="D14" i="16"/>
  <c r="D15" i="16"/>
  <c r="F10" i="6"/>
  <c r="C8" i="6"/>
  <c r="B8" i="6" s="1"/>
  <c r="B22" i="4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I4" i="15" l="1"/>
  <c r="J4" i="15"/>
  <c r="M4" i="15"/>
  <c r="N4" i="15"/>
  <c r="C14" i="13" l="1"/>
  <c r="B14" i="13"/>
  <c r="C13" i="13"/>
  <c r="B13" i="13"/>
  <c r="C12" i="13"/>
  <c r="B12" i="13"/>
  <c r="C11" i="13"/>
  <c r="B11" i="13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6" i="4"/>
  <c r="F8" i="4"/>
  <c r="F10" i="4"/>
  <c r="F11" i="4"/>
  <c r="F12" i="4" l="1"/>
  <c r="B21" i="7" l="1"/>
  <c r="B20" i="7" l="1"/>
  <c r="B12" i="4" l="1"/>
  <c r="B19" i="7" l="1"/>
  <c r="C7" i="7" s="1"/>
  <c r="B18" i="7"/>
  <c r="G6" i="4" s="1"/>
  <c r="B10" i="7"/>
  <c r="E9" i="15" l="1"/>
  <c r="E6" i="15" s="1"/>
  <c r="G31" i="4"/>
  <c r="C5" i="2"/>
  <c r="G25" i="4"/>
  <c r="C6" i="2"/>
  <c r="G12" i="4"/>
  <c r="C6" i="7"/>
  <c r="C10" i="7"/>
  <c r="C4" i="7"/>
  <c r="C8" i="7"/>
  <c r="C11" i="7"/>
  <c r="C5" i="7"/>
  <c r="C9" i="7"/>
  <c r="C12" i="7"/>
  <c r="E8" i="15" l="1"/>
  <c r="E7" i="15"/>
  <c r="J27" i="16"/>
  <c r="J23" i="16"/>
  <c r="J19" i="16"/>
  <c r="J26" i="16"/>
  <c r="J20" i="16"/>
  <c r="J18" i="16"/>
  <c r="J25" i="16"/>
  <c r="J22" i="16"/>
  <c r="J11" i="16"/>
  <c r="L7" i="6"/>
  <c r="J24" i="16"/>
  <c r="J21" i="16"/>
  <c r="J12" i="16"/>
  <c r="L8" i="6"/>
  <c r="E10" i="15"/>
  <c r="E11" i="15"/>
  <c r="E12" i="15"/>
  <c r="G33" i="4"/>
  <c r="G34" i="4"/>
  <c r="G32" i="4"/>
  <c r="L12" i="6" l="1"/>
  <c r="L14" i="6"/>
  <c r="L13" i="6"/>
  <c r="L36" i="6"/>
  <c r="L37" i="6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1/1.6 : http://ietd.iipnetwork.org/content/coke-making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bandwidth study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S.E. Tanzer</author>
  </authors>
  <commentList>
    <comment ref="F1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21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  <comment ref="B29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  <author>Microsoft Office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9" authorId="1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2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K4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  <scheme val="minor"/>
          </rPr>
          <t>doi:10.1088/1755-1315/233/5/052016</t>
        </r>
      </text>
    </comment>
  </commentList>
</comments>
</file>

<file path=xl/comments5.xml><?xml version="1.0" encoding="utf-8"?>
<comments xmlns="http://schemas.openxmlformats.org/spreadsheetml/2006/main">
  <authors>
    <author>S.E. Tanzer</author>
    <author>Microsoft Office User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L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J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L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1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3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>
  <authors>
    <author>S.E. Tanzer</author>
  </authors>
  <commentList>
    <comment ref="C29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</commentList>
</comments>
</file>

<file path=xl/comments7.xml><?xml version="1.0" encoding="utf-8"?>
<comments xmlns="http://schemas.openxmlformats.org/spreadsheetml/2006/main">
  <authors>
    <author>S.E. Tanzer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<sst xmlns="http://schemas.openxmlformats.org/spreadsheetml/2006/main" count="1295" uniqueCount="255">
  <si>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</si>
  <si>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</si>
  <si>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</si>
  <si>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</si>
  <si>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</si>
  <si>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</si>
  <si>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</si>
  <si>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</si>
  <si>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</si>
  <si>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</si>
  <si>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</si>
  <si>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</si>
  <si>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</si>
  <si>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</si>
  <si>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</si>
  <si>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</si>
  <si>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</si>
  <si>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</si>
  <si>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</si>
  <si>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</si>
  <si>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</si>
  <si>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</si>
  <si>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</si>
  <si>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</si>
  <si>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</si>
  <si>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</si>
  <si>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</si>
  <si>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</si>
  <si>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</si>
  <si>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</si>
  <si>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</si>
  <si>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</si>
  <si>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</si>
  <si>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</si>
  <si>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</si>
  <si>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</si>
  <si>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</si>
  <si>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</si>
  <si>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</si>
  <si>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</si>
  <si>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</si>
  <si>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</si>
  <si>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</si>
  <si>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</si>
  <si>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</si>
  <si>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</si>
  <si>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</si>
  <si>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</si>
  <si>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</si>
  <si>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</si>
  <si>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</si>
  <si>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</si>
  <si>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</si>
  <si>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</si>
  <si>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</si>
  <si>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</si>
  <si>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</si>
  <si>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</si>
  <si>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</si>
  <si>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</si>
  <si>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</si>
  <si>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</si>
  <si>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</si>
  <si>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</si>
  <si>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</si>
  <si>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</si>
  <si>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</si>
  <si>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</si>
  <si>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</si>
  <si>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</si>
  <si>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</si>
  <si>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</si>
  <si>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</si>
  <si>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</si>
  <si>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</si>
  <si>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</si>
  <si>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</si>
  <si>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</si>
  <si>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</si>
  <si>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</si>
  <si>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</si>
  <si>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</si>
  <si>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</si>
  <si>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</si>
  <si>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</si>
  <si>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</si>
  <si>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</si>
  <si>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</si>
  <si>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</si>
  <si>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</si>
  <si>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</si>
  <si>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</si>
  <si>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</si>
  <si>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</si>
  <si>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</si>
  <si>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</si>
  <si>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</si>
  <si>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</si>
  <si>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</si>
  <si>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</si>
  <si>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</si>
  <si>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</si>
  <si>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</si>
  <si>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</si>
  <si>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</si>
  <si>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IPCC</t>
  </si>
  <si>
    <t>coke - JP IPCC</t>
  </si>
  <si>
    <t>coke - US</t>
  </si>
  <si>
    <t>natural gas - US</t>
  </si>
  <si>
    <t>natural gas - IPCC</t>
  </si>
  <si>
    <t>multi-mean</t>
  </si>
  <si>
    <t>India-BF-base</t>
  </si>
  <si>
    <t>meta-IEA2016</t>
  </si>
  <si>
    <t>EU-BF-I</t>
  </si>
  <si>
    <t>EU-BF-C</t>
  </si>
  <si>
    <t>EU-BF-M</t>
  </si>
  <si>
    <t>EU-BF-F</t>
  </si>
  <si>
    <t>ieaghg-reference</t>
  </si>
  <si>
    <t>coke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</si>
  <si>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</si>
  <si>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</si>
  <si>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</si>
  <si>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</si>
  <si>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</si>
  <si>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</si>
  <si>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</si>
  <si>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</si>
  <si>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</si>
  <si>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</si>
  <si>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</si>
  <si>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</si>
  <si>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</si>
  <si>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</si>
  <si>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US-SOA</t>
  </si>
  <si>
    <t>t O2 / t hot metal</t>
  </si>
  <si>
    <t>EU-BF-base-2030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</si>
  <si>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</si>
  <si>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</si>
  <si>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</si>
  <si>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</si>
  <si>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</si>
  <si>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</si>
  <si>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</si>
  <si>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EU-EAF-base-2050</t>
  </si>
  <si>
    <t>EU-EAF-base-2030</t>
  </si>
  <si>
    <t>EU-EAF-2030</t>
  </si>
  <si>
    <t>EU-EAFB-2030</t>
  </si>
  <si>
    <t>EU-EAF-2050</t>
  </si>
  <si>
    <t>EU-EAFB-2050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</si>
  <si>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</si>
  <si>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</si>
  <si>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</si>
  <si>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</si>
  <si>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</si>
  <si>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</si>
  <si>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</si>
  <si>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</si>
  <si>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</si>
  <si>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</si>
  <si>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</si>
  <si>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</si>
  <si>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</si>
  <si>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</si>
  <si>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https://doi.org/10.1016/j.apenergy.2015.04.091</t>
  </si>
  <si>
    <t>http://www.infomine.ru/files/catalog/223/file_223_eng.pdf</t>
  </si>
  <si>
    <t>GJ/t Pellet</t>
  </si>
  <si>
    <t>China-HeEtAl2017</t>
  </si>
  <si>
    <t>China-LiEtAl2012</t>
  </si>
  <si>
    <t>coke -CN</t>
  </si>
  <si>
    <t>also 9.6 kg C in ignite gas</t>
  </si>
  <si>
    <t>coke-CH</t>
  </si>
  <si>
    <t>from Kurunov  2015</t>
  </si>
  <si>
    <t>IEA 2007</t>
  </si>
  <si>
    <t>Bandwith Study</t>
  </si>
  <si>
    <t>Bandwidth Study</t>
  </si>
  <si>
    <t>coal coking - Birat</t>
  </si>
  <si>
    <t>coke - Birat</t>
  </si>
  <si>
    <t>O2 demand</t>
  </si>
  <si>
    <t>electricity PROXY - EU 2016</t>
  </si>
  <si>
    <t>electricity PROXY - CN 2016</t>
  </si>
  <si>
    <t>electricity PROXY - JP 2016</t>
  </si>
  <si>
    <t>electricity PROXY - RU 2016</t>
  </si>
  <si>
    <t>electricity PROXY - US 2016</t>
  </si>
  <si>
    <t>electricity PROXY - IN 2016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</si>
  <si>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</si>
  <si>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</si>
  <si>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</si>
  <si>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</si>
  <si>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</si>
  <si>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</si>
  <si>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</si>
  <si>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TMIN-0B</t>
  </si>
  <si>
    <t>TMIN-IB</t>
  </si>
  <si>
    <t>TMIN-CB</t>
  </si>
  <si>
    <t>TMIN-TB</t>
  </si>
  <si>
    <t>TGR-0B</t>
  </si>
  <si>
    <t>TGR-IB</t>
  </si>
  <si>
    <t>TGR-CB</t>
  </si>
  <si>
    <t>TGR-TB</t>
  </si>
  <si>
    <t>SOA-0B</t>
  </si>
  <si>
    <t>SOA-IB</t>
  </si>
  <si>
    <t>SOA-CB</t>
  </si>
  <si>
    <t>SOA-TB</t>
  </si>
  <si>
    <t>Assumed 65% energy from coke, 35% from coal…roughly split from SOA</t>
  </si>
  <si>
    <t>HIS-0B</t>
  </si>
  <si>
    <t>HIS-IB</t>
  </si>
  <si>
    <t>HIS-TB</t>
  </si>
  <si>
    <t>meta- GJ in</t>
  </si>
  <si>
    <t>Iron Lost</t>
  </si>
  <si>
    <t>t HM to scrap / t steel</t>
  </si>
  <si>
    <t>bandwidth study; . 0.35GJ  from recovered heat excluded here</t>
  </si>
  <si>
    <t>meta-scrap rate</t>
  </si>
  <si>
    <t>https://www.mdpi.com/1099-4300/20/4/232/htm verified with http://cryogenmash.ru/en/catalog/cryogenic-ASUs/ and 10.4186/ej.2014.18.2.67</t>
  </si>
  <si>
    <t>EU-0B</t>
  </si>
  <si>
    <t>EU-IB</t>
  </si>
  <si>
    <t>EU-CB</t>
  </si>
  <si>
    <t>EU-TB</t>
  </si>
  <si>
    <t>CH-0B</t>
  </si>
  <si>
    <t>CH-IB</t>
  </si>
  <si>
    <t>CH-CB</t>
  </si>
  <si>
    <t>CH-TB</t>
  </si>
  <si>
    <t>JP-0B</t>
  </si>
  <si>
    <t>JP-IB</t>
  </si>
  <si>
    <t>JP-CB</t>
  </si>
  <si>
    <t>JP-TB</t>
  </si>
  <si>
    <t>RU-0B</t>
  </si>
  <si>
    <t>RU-IB</t>
  </si>
  <si>
    <t>RU-CB</t>
  </si>
  <si>
    <t>RU-TB</t>
  </si>
  <si>
    <t>US-0B</t>
  </si>
  <si>
    <t>US-IB</t>
  </si>
  <si>
    <t>US-CB</t>
  </si>
  <si>
    <t>US-TB</t>
  </si>
  <si>
    <t>IN-0B</t>
  </si>
  <si>
    <t>IN-IB</t>
  </si>
  <si>
    <t>IN-CB</t>
  </si>
  <si>
    <t>IN-TB</t>
  </si>
  <si>
    <t>EU-EAF</t>
  </si>
  <si>
    <t>https://www.degruyter.com/downloadpdf/j/aoter.2015.36.issue-1/aoter-0011/aoter-0011.pdf</t>
  </si>
  <si>
    <t>CH-EAF</t>
  </si>
  <si>
    <t>electricity PROXY - decarbonized</t>
  </si>
  <si>
    <t>HIS-CB</t>
  </si>
  <si>
    <t>hydrogen</t>
  </si>
  <si>
    <t>HDRI-0B</t>
  </si>
  <si>
    <t>HDRI-HB</t>
  </si>
  <si>
    <t>biohydrogen</t>
  </si>
  <si>
    <t>reductant demand</t>
  </si>
  <si>
    <t>reducing agent</t>
  </si>
  <si>
    <t>IPCC - natural gas</t>
  </si>
  <si>
    <t>biomethane</t>
  </si>
  <si>
    <t>t/ t HBI</t>
  </si>
  <si>
    <t>GJ fuel/t HBI</t>
  </si>
  <si>
    <t>HDRI-CB</t>
  </si>
  <si>
    <t>Fresh Metal Demand</t>
  </si>
  <si>
    <t>t fresh metal / t EAF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</si>
</sst>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165" fontId="9" fillId="0" borderId="0" xfId="0" applyNumberFormat="1" applyFont="1"/>
    <xf numFmtId="0" fontId="12" fillId="0" borderId="0" xfId="2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8" fillId="0" borderId="0" xfId="0" applyFont="1" applyAlignment="1">
      <alignment wrapText="1"/>
    </xf>
    <xf numFmtId="2" fontId="0" fillId="0" borderId="0" xfId="0" applyNumberFormat="1"/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165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22" fillId="0" borderId="2" xfId="0" applyFont="1" applyBorder="1"/>
    <xf numFmtId="2" fontId="0" fillId="0" borderId="0" xfId="0" applyNumberFormat="1" applyBorder="1"/>
    <xf numFmtId="0" fontId="18" fillId="0" borderId="2" xfId="0" applyFont="1" applyBorder="1"/>
    <xf numFmtId="9" fontId="1" fillId="0" borderId="0" xfId="0" applyNumberFormat="1" applyFont="1"/>
    <xf numFmtId="0" fontId="18" fillId="0" borderId="0" xfId="0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0" fillId="0" borderId="9" xfId="0" applyFont="1" applyFill="1" applyBorder="1"/>
    <xf numFmtId="0" fontId="0" fillId="0" borderId="2" xfId="0" applyFont="1" applyBorder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165" fontId="8" fillId="0" borderId="0" xfId="0" applyNumberFormat="1" applyFont="1" applyBorder="1"/>
    <xf numFmtId="165" fontId="16" fillId="0" borderId="0" xfId="0" applyNumberFormat="1" applyFont="1" applyBorder="1"/>
    <xf numFmtId="2" fontId="8" fillId="0" borderId="9" xfId="0" applyNumberFormat="1" applyFont="1" applyBorder="1"/>
    <xf numFmtId="165" fontId="8" fillId="0" borderId="9" xfId="0" applyNumberFormat="1" applyFont="1" applyBorder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4" fillId="0" borderId="0" xfId="0" applyFont="1"/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0" fillId="0" borderId="0" xfId="0" applyNumberFormat="1" applyBorder="1" applyAlignment="1">
      <alignment horizontal="right"/>
    </xf>
    <xf numFmtId="0" fontId="9" fillId="0" borderId="0" xfId="0" applyFont="1" applyBorder="1"/>
    <xf numFmtId="165" fontId="9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165" fontId="23" fillId="0" borderId="0" xfId="0" applyNumberFormat="1" applyFont="1" applyBorder="1"/>
    <xf numFmtId="0" fontId="22" fillId="0" borderId="0" xfId="0" applyFont="1" applyBorder="1"/>
    <xf numFmtId="0" fontId="12" fillId="0" borderId="2" xfId="2" applyBorder="1"/>
    <xf numFmtId="0" fontId="0" fillId="0" borderId="0" xfId="0" applyAlignment="1">
      <alignment wrapText="1"/>
    </xf>
    <xf numFmtId="0" fontId="0" fillId="2" borderId="0" xfId="0" applyFont="1" applyFill="1" applyBorder="1" applyAlignment="1">
      <alignment wrapText="1"/>
    </xf>
    <xf numFmtId="165" fontId="0" fillId="2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9" fontId="0" fillId="2" borderId="0" xfId="0" applyNumberFormat="1" applyFont="1" applyFill="1" applyBorder="1"/>
    <xf numFmtId="165" fontId="18" fillId="2" borderId="0" xfId="0" applyNumberFormat="1" applyFont="1" applyFill="1" applyBorder="1"/>
    <xf numFmtId="165" fontId="8" fillId="2" borderId="0" xfId="0" applyNumberFormat="1" applyFont="1" applyFill="1" applyBorder="1"/>
    <xf numFmtId="0" fontId="0" fillId="0" borderId="0" xfId="0" applyBorder="1" applyAlignment="1">
      <alignment wrapText="1"/>
    </xf>
    <xf numFmtId="165" fontId="20" fillId="0" borderId="0" xfId="0" applyNumberFormat="1" applyFont="1" applyBorder="1"/>
    <xf numFmtId="0" fontId="12" fillId="0" borderId="0" xfId="2" applyBorder="1"/>
    <xf numFmtId="0" fontId="15" fillId="0" borderId="0" xfId="0" applyFont="1" applyBorder="1"/>
    <xf numFmtId="165" fontId="16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20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2" fontId="0" fillId="0" borderId="0" xfId="0" applyNumberFormat="1" applyFont="1" applyBorder="1"/>
    <xf numFmtId="2" fontId="23" fillId="0" borderId="0" xfId="0" applyNumberFormat="1" applyFont="1" applyBorder="1"/>
    <xf numFmtId="2" fontId="18" fillId="2" borderId="0" xfId="0" applyNumberFormat="1" applyFont="1" applyFill="1" applyBorder="1"/>
    <xf numFmtId="167" fontId="24" fillId="0" borderId="0" xfId="0" applyNumberFormat="1" applyFont="1" applyBorder="1"/>
    <xf numFmtId="9" fontId="21" fillId="0" borderId="0" xfId="4" applyFont="1"/>
    <xf numFmtId="9" fontId="22" fillId="0" borderId="2" xfId="4" applyFont="1" applyBorder="1"/>
    <xf numFmtId="9" fontId="21" fillId="0" borderId="0" xfId="4" applyFont="1" applyBorder="1"/>
    <xf numFmtId="9" fontId="21" fillId="0" borderId="9" xfId="4" applyFont="1" applyBorder="1"/>
    <xf numFmtId="165" fontId="3" fillId="0" borderId="0" xfId="1" applyNumberFormat="1"/>
    <xf numFmtId="165" fontId="3" fillId="0" borderId="9" xfId="1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0" borderId="7" xfId="0" applyFont="1" applyBorder="1"/>
    <xf numFmtId="165" fontId="0" fillId="0" borderId="7" xfId="0" applyNumberFormat="1" applyBorder="1"/>
    <xf numFmtId="0" fontId="0" fillId="0" borderId="9" xfId="0" applyBorder="1" applyAlignment="1">
      <alignment wrapText="1"/>
    </xf>
    <xf numFmtId="166" fontId="0" fillId="0" borderId="9" xfId="0" applyNumberFormat="1" applyBorder="1"/>
    <xf numFmtId="166" fontId="0" fillId="0" borderId="9" xfId="0" applyNumberFormat="1" applyFill="1" applyBorder="1"/>
    <xf numFmtId="0" fontId="0" fillId="0" borderId="7" xfId="0" applyFill="1" applyBorder="1"/>
    <xf numFmtId="2" fontId="0" fillId="0" borderId="7" xfId="0" applyNumberFormat="1" applyBorder="1"/>
    <xf numFmtId="0" fontId="2" fillId="0" borderId="7" xfId="0" applyFont="1" applyBorder="1"/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24" fillId="0" borderId="9" xfId="0" applyNumberFormat="1" applyFont="1" applyBorder="1"/>
    <xf numFmtId="9" fontId="1" fillId="0" borderId="9" xfId="0" applyNumberFormat="1" applyFont="1" applyBorder="1"/>
    <xf numFmtId="0" fontId="18" fillId="0" borderId="0" xfId="0" applyFont="1" applyFill="1" applyBorder="1"/>
    <xf numFmtId="167" fontId="30" fillId="0" borderId="0" xfId="0" applyNumberFormat="1" applyFont="1" applyBorder="1"/>
    <xf numFmtId="165" fontId="8" fillId="0" borderId="0" xfId="0" applyNumberFormat="1" applyFont="1" applyFill="1" applyBorder="1"/>
    <xf numFmtId="2" fontId="8" fillId="0" borderId="0" xfId="0" applyNumberFormat="1" applyFont="1" applyFill="1" applyBorder="1"/>
    <xf numFmtId="2" fontId="8" fillId="0" borderId="9" xfId="0" applyNumberFormat="1" applyFont="1" applyFill="1" applyBorder="1"/>
    <xf numFmtId="165" fontId="8" fillId="0" borderId="9" xfId="0" applyNumberFormat="1" applyFont="1" applyFill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16/j.apenergy.2015.04.09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yogenmash.ru/en/catalog/cryogenic-ASUs/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49" sqref="B49"/>
    </sheetView>
  </sheetViews>
  <sheetFormatPr defaultColWidth="8.85546875" defaultRowHeight="15" x14ac:dyDescent="0.25"/>
  <cols>
    <col min="1" max="1" width="20.42578125" style="42" bestFit="1" customWidth="1"/>
    <col min="2" max="2" width="26.7109375" style="26" bestFit="1" customWidth="1"/>
    <col min="3" max="3" width="17.85546875" style="26" bestFit="1" customWidth="1"/>
    <col min="4" max="4" width="18.85546875" style="26" bestFit="1" customWidth="1"/>
    <col min="5" max="5" width="17.28515625" style="26" bestFit="1" customWidth="1"/>
    <col min="6" max="6" width="11.85546875" style="26" bestFit="1" customWidth="1"/>
    <col min="7" max="16384" width="8.85546875" style="26"/>
  </cols>
  <sheetData>
    <row r="1" spans="1:7" x14ac:dyDescent="0.25">
      <c r="A1" s="76" t="s">
        <v>0</v>
      </c>
      <c r="B1" s="26" t="s">
        <v>5</v>
      </c>
      <c r="C1" s="26" t="s">
        <v>7</v>
      </c>
      <c r="D1" s="26" t="s">
        <v>59</v>
      </c>
      <c r="E1" s="26" t="s">
        <v>11</v>
      </c>
      <c r="F1" s="26" t="s">
        <v>12</v>
      </c>
      <c r="G1" s="26" t="s">
        <v>78</v>
      </c>
    </row>
    <row r="2" spans="1:7" x14ac:dyDescent="0.25">
      <c r="A2" s="118" t="s">
        <v>1</v>
      </c>
      <c r="B2" s="118" t="s">
        <v>6</v>
      </c>
      <c r="C2" s="118" t="s">
        <v>62</v>
      </c>
      <c r="D2" s="118"/>
      <c r="E2" s="118"/>
      <c r="F2" s="118"/>
    </row>
    <row r="3" spans="1:7" x14ac:dyDescent="0.25">
      <c r="A3" s="118" t="s">
        <v>2</v>
      </c>
      <c r="B3" s="118" t="s">
        <v>61</v>
      </c>
      <c r="C3" s="118"/>
      <c r="D3" s="118"/>
      <c r="E3" s="118"/>
      <c r="F3" s="118"/>
    </row>
    <row r="4" spans="1:7" s="85" customFormat="1" x14ac:dyDescent="0.25">
      <c r="A4" s="161" t="s">
        <v>3</v>
      </c>
      <c r="B4" s="162">
        <v>0.8</v>
      </c>
      <c r="C4" s="162">
        <v>0</v>
      </c>
      <c r="D4" s="85" t="s">
        <v>105</v>
      </c>
      <c r="E4" s="85">
        <v>0</v>
      </c>
      <c r="F4" s="85" t="s">
        <v>184</v>
      </c>
    </row>
    <row r="5" spans="1:7" x14ac:dyDescent="0.25">
      <c r="A5" s="52" t="s">
        <v>213</v>
      </c>
      <c r="B5" s="123">
        <v>0.77</v>
      </c>
      <c r="C5" s="123">
        <v>0.12</v>
      </c>
      <c r="D5" s="76" t="s">
        <v>105</v>
      </c>
      <c r="E5" s="26">
        <v>0</v>
      </c>
      <c r="F5" s="26" t="s">
        <v>184</v>
      </c>
      <c r="G5" s="26" t="s">
        <v>153</v>
      </c>
    </row>
    <row r="6" spans="1:7" x14ac:dyDescent="0.25">
      <c r="A6" s="136" t="s">
        <v>214</v>
      </c>
      <c r="B6" s="27">
        <f>B5</f>
        <v>0.77</v>
      </c>
      <c r="C6" s="27">
        <f>C5</f>
        <v>0.12</v>
      </c>
      <c r="D6" s="27" t="str">
        <f>D5</f>
        <v>coal coking - IPCC</v>
      </c>
      <c r="E6" s="26">
        <v>0</v>
      </c>
      <c r="F6" s="26" t="s">
        <v>184</v>
      </c>
    </row>
    <row r="7" spans="1:7" x14ac:dyDescent="0.25">
      <c r="A7" s="136" t="s">
        <v>215</v>
      </c>
      <c r="B7" s="27">
        <f>B5</f>
        <v>0.77</v>
      </c>
      <c r="C7" s="27">
        <f>C5</f>
        <v>0.12</v>
      </c>
      <c r="D7" s="27" t="str">
        <f>D5</f>
        <v>coal coking - IPCC</v>
      </c>
      <c r="E7" s="114">
        <v>0.05</v>
      </c>
      <c r="F7" s="26" t="s">
        <v>184</v>
      </c>
    </row>
    <row r="8" spans="1:7" x14ac:dyDescent="0.25">
      <c r="A8" s="136" t="s">
        <v>216</v>
      </c>
      <c r="B8" s="27">
        <f>B5</f>
        <v>0.77</v>
      </c>
      <c r="C8" s="27">
        <f>C5</f>
        <v>0.12</v>
      </c>
      <c r="D8" s="27" t="str">
        <f>D5</f>
        <v>coal coking - IPCC</v>
      </c>
      <c r="E8" s="114">
        <v>1</v>
      </c>
      <c r="F8" s="26" t="s">
        <v>184</v>
      </c>
    </row>
    <row r="9" spans="1:7" s="48" customFormat="1" ht="15.75" thickBot="1" x14ac:dyDescent="0.3">
      <c r="A9" s="163" t="s">
        <v>237</v>
      </c>
      <c r="B9" s="47">
        <f>B5</f>
        <v>0.77</v>
      </c>
      <c r="C9" s="47">
        <f>C5</f>
        <v>0.12</v>
      </c>
      <c r="D9" s="47" t="str">
        <f>D5</f>
        <v>coal coking - IPCC</v>
      </c>
      <c r="E9" s="48">
        <v>0</v>
      </c>
      <c r="F9" s="48" t="s">
        <v>184</v>
      </c>
    </row>
    <row r="10" spans="1:7" x14ac:dyDescent="0.25">
      <c r="A10" s="52" t="s">
        <v>217</v>
      </c>
      <c r="B10" s="137">
        <f>0.7</f>
        <v>0.7</v>
      </c>
      <c r="C10" s="123">
        <v>0.12</v>
      </c>
      <c r="D10" s="76" t="s">
        <v>105</v>
      </c>
      <c r="E10" s="26">
        <v>0</v>
      </c>
      <c r="F10" s="26" t="s">
        <v>184</v>
      </c>
      <c r="G10" s="138" t="s">
        <v>186</v>
      </c>
    </row>
    <row r="11" spans="1:7" x14ac:dyDescent="0.25">
      <c r="A11" s="136" t="s">
        <v>218</v>
      </c>
      <c r="B11" s="27">
        <f>B10</f>
        <v>0.7</v>
      </c>
      <c r="C11" s="27">
        <f>C10</f>
        <v>0.12</v>
      </c>
      <c r="D11" s="27" t="str">
        <f>D10</f>
        <v>coal coking - IPCC</v>
      </c>
      <c r="E11" s="26">
        <v>0</v>
      </c>
      <c r="F11" s="26" t="s">
        <v>184</v>
      </c>
    </row>
    <row r="12" spans="1:7" x14ac:dyDescent="0.25">
      <c r="A12" s="136" t="s">
        <v>219</v>
      </c>
      <c r="B12" s="27">
        <f>B10</f>
        <v>0.7</v>
      </c>
      <c r="C12" s="27">
        <f>C10</f>
        <v>0.12</v>
      </c>
      <c r="D12" s="27" t="str">
        <f>D10</f>
        <v>coal coking - IPCC</v>
      </c>
      <c r="E12" s="114">
        <v>0.05</v>
      </c>
      <c r="F12" s="26" t="s">
        <v>184</v>
      </c>
    </row>
    <row r="13" spans="1:7" s="48" customFormat="1" ht="15.75" thickBot="1" x14ac:dyDescent="0.3">
      <c r="A13" s="163" t="s">
        <v>220</v>
      </c>
      <c r="B13" s="47">
        <f>B10</f>
        <v>0.7</v>
      </c>
      <c r="C13" s="47">
        <f>C10</f>
        <v>0.12</v>
      </c>
      <c r="D13" s="47" t="str">
        <f>D10</f>
        <v>coal coking - IPCC</v>
      </c>
      <c r="E13" s="50">
        <v>1</v>
      </c>
      <c r="F13" s="48" t="s">
        <v>184</v>
      </c>
    </row>
    <row r="14" spans="1:7" s="76" customFormat="1" x14ac:dyDescent="0.25">
      <c r="A14" s="53" t="s">
        <v>221</v>
      </c>
      <c r="B14" s="123">
        <v>0.7</v>
      </c>
      <c r="C14" s="123">
        <v>0.12</v>
      </c>
      <c r="D14" s="27" t="str">
        <f>D11</f>
        <v>coal coking - IPCC</v>
      </c>
      <c r="E14" s="76">
        <v>0</v>
      </c>
      <c r="F14" s="76" t="s">
        <v>184</v>
      </c>
    </row>
    <row r="15" spans="1:7" x14ac:dyDescent="0.25">
      <c r="A15" s="39" t="s">
        <v>222</v>
      </c>
      <c r="B15" s="27">
        <f>B14</f>
        <v>0.7</v>
      </c>
      <c r="C15" s="27">
        <f>C14</f>
        <v>0.12</v>
      </c>
      <c r="D15" s="27" t="str">
        <f>D14</f>
        <v>coal coking - IPCC</v>
      </c>
      <c r="E15" s="26">
        <v>0</v>
      </c>
      <c r="F15" s="26" t="s">
        <v>184</v>
      </c>
    </row>
    <row r="16" spans="1:7" x14ac:dyDescent="0.25">
      <c r="A16" s="39" t="s">
        <v>223</v>
      </c>
      <c r="B16" s="27">
        <f>B14</f>
        <v>0.7</v>
      </c>
      <c r="C16" s="27">
        <f>C14</f>
        <v>0.12</v>
      </c>
      <c r="D16" s="27" t="str">
        <f>D14</f>
        <v>coal coking - IPCC</v>
      </c>
      <c r="E16" s="114">
        <v>0.05</v>
      </c>
      <c r="F16" s="26" t="s">
        <v>184</v>
      </c>
    </row>
    <row r="17" spans="1:7" s="48" customFormat="1" ht="15.75" thickBot="1" x14ac:dyDescent="0.3">
      <c r="A17" s="51" t="s">
        <v>224</v>
      </c>
      <c r="B17" s="47">
        <f>B14</f>
        <v>0.7</v>
      </c>
      <c r="C17" s="47">
        <f>C14</f>
        <v>0.12</v>
      </c>
      <c r="D17" s="47" t="str">
        <f>D14</f>
        <v>coal coking - IPCC</v>
      </c>
      <c r="E17" s="50">
        <v>1</v>
      </c>
      <c r="F17" s="48" t="s">
        <v>184</v>
      </c>
    </row>
    <row r="18" spans="1:7" x14ac:dyDescent="0.25">
      <c r="A18" s="53" t="s">
        <v>225</v>
      </c>
      <c r="B18" s="82">
        <v>0.7</v>
      </c>
      <c r="C18" s="123">
        <v>0.12</v>
      </c>
      <c r="D18" s="76" t="s">
        <v>105</v>
      </c>
      <c r="E18" s="26">
        <v>0</v>
      </c>
      <c r="F18" s="26" t="s">
        <v>184</v>
      </c>
    </row>
    <row r="19" spans="1:7" x14ac:dyDescent="0.25">
      <c r="A19" s="39" t="s">
        <v>226</v>
      </c>
      <c r="B19" s="27">
        <f>B18</f>
        <v>0.7</v>
      </c>
      <c r="C19" s="27">
        <f>C18</f>
        <v>0.12</v>
      </c>
      <c r="D19" s="27" t="str">
        <f>D18</f>
        <v>coal coking - IPCC</v>
      </c>
      <c r="E19" s="26">
        <v>0</v>
      </c>
      <c r="F19" s="27" t="str">
        <f>F18</f>
        <v>charcoal - IPCC</v>
      </c>
    </row>
    <row r="20" spans="1:7" x14ac:dyDescent="0.25">
      <c r="A20" s="39" t="s">
        <v>227</v>
      </c>
      <c r="B20" s="27">
        <f>B18</f>
        <v>0.7</v>
      </c>
      <c r="C20" s="27">
        <f>C18</f>
        <v>0.12</v>
      </c>
      <c r="D20" s="27" t="str">
        <f>D18</f>
        <v>coal coking - IPCC</v>
      </c>
      <c r="E20" s="114">
        <v>0.05</v>
      </c>
      <c r="F20" s="27" t="str">
        <f>F18</f>
        <v>charcoal - IPCC</v>
      </c>
    </row>
    <row r="21" spans="1:7" s="48" customFormat="1" ht="15.75" thickBot="1" x14ac:dyDescent="0.3">
      <c r="A21" s="51" t="s">
        <v>228</v>
      </c>
      <c r="B21" s="47">
        <f>B18</f>
        <v>0.7</v>
      </c>
      <c r="C21" s="47">
        <f>C18</f>
        <v>0.12</v>
      </c>
      <c r="D21" s="47" t="str">
        <f>D18</f>
        <v>coal coking - IPCC</v>
      </c>
      <c r="E21" s="50">
        <v>1</v>
      </c>
      <c r="F21" s="47" t="str">
        <f>F18</f>
        <v>charcoal - IPCC</v>
      </c>
    </row>
    <row r="22" spans="1:7" x14ac:dyDescent="0.25">
      <c r="A22" s="53" t="s">
        <v>229</v>
      </c>
      <c r="B22" s="123">
        <v>0.77</v>
      </c>
      <c r="C22" s="123">
        <v>0.12</v>
      </c>
      <c r="D22" s="76" t="s">
        <v>105</v>
      </c>
      <c r="E22" s="26">
        <v>0</v>
      </c>
      <c r="F22" s="26" t="s">
        <v>184</v>
      </c>
      <c r="G22" s="26" t="s">
        <v>156</v>
      </c>
    </row>
    <row r="23" spans="1:7" x14ac:dyDescent="0.25">
      <c r="A23" s="39" t="s">
        <v>230</v>
      </c>
      <c r="B23" s="27">
        <f>B22</f>
        <v>0.77</v>
      </c>
      <c r="C23" s="27">
        <f>C22</f>
        <v>0.12</v>
      </c>
      <c r="D23" s="27" t="str">
        <f>D22</f>
        <v>coal coking - IPCC</v>
      </c>
      <c r="E23" s="26">
        <v>0</v>
      </c>
      <c r="F23" s="27" t="str">
        <f>F22</f>
        <v>charcoal - IPCC</v>
      </c>
    </row>
    <row r="24" spans="1:7" x14ac:dyDescent="0.25">
      <c r="A24" s="39" t="s">
        <v>231</v>
      </c>
      <c r="B24" s="27">
        <f>B22</f>
        <v>0.77</v>
      </c>
      <c r="C24" s="27">
        <f>C22</f>
        <v>0.12</v>
      </c>
      <c r="D24" s="27" t="str">
        <f>D22</f>
        <v>coal coking - IPCC</v>
      </c>
      <c r="E24" s="114">
        <v>0.05</v>
      </c>
      <c r="F24" s="27" t="str">
        <f>F22</f>
        <v>charcoal - IPCC</v>
      </c>
    </row>
    <row r="25" spans="1:7" s="48" customFormat="1" ht="15.75" thickBot="1" x14ac:dyDescent="0.3">
      <c r="A25" s="51" t="s">
        <v>232</v>
      </c>
      <c r="B25" s="47">
        <f>B22</f>
        <v>0.77</v>
      </c>
      <c r="C25" s="47">
        <f>C22</f>
        <v>0.12</v>
      </c>
      <c r="D25" s="47" t="str">
        <f>D22</f>
        <v>coal coking - IPCC</v>
      </c>
      <c r="E25" s="50">
        <v>1</v>
      </c>
      <c r="F25" s="47" t="str">
        <f>F22</f>
        <v>charcoal - IPCC</v>
      </c>
    </row>
    <row r="26" spans="1:7" x14ac:dyDescent="0.25">
      <c r="A26" s="53" t="s">
        <v>233</v>
      </c>
      <c r="B26" s="82">
        <v>0.7</v>
      </c>
      <c r="C26" s="123">
        <v>0.12</v>
      </c>
      <c r="D26" s="76" t="s">
        <v>105</v>
      </c>
      <c r="E26" s="26">
        <v>0</v>
      </c>
      <c r="F26" s="26" t="s">
        <v>184</v>
      </c>
    </row>
    <row r="27" spans="1:7" x14ac:dyDescent="0.25">
      <c r="A27" s="39" t="s">
        <v>234</v>
      </c>
      <c r="B27" s="27">
        <f>B26</f>
        <v>0.7</v>
      </c>
      <c r="C27" s="27">
        <f t="shared" ref="C27" si="0">C26</f>
        <v>0.12</v>
      </c>
      <c r="D27" s="27" t="str">
        <f>D26</f>
        <v>coal coking - IPCC</v>
      </c>
      <c r="E27" s="26">
        <v>0</v>
      </c>
      <c r="F27" s="26" t="s">
        <v>184</v>
      </c>
    </row>
    <row r="28" spans="1:7" x14ac:dyDescent="0.25">
      <c r="A28" s="39" t="s">
        <v>235</v>
      </c>
      <c r="B28" s="27">
        <f>B26</f>
        <v>0.7</v>
      </c>
      <c r="C28" s="27">
        <f t="shared" ref="C28" si="1">C26</f>
        <v>0.12</v>
      </c>
      <c r="D28" s="27" t="str">
        <f>D26</f>
        <v>coal coking - IPCC</v>
      </c>
      <c r="E28" s="114">
        <v>0.05</v>
      </c>
      <c r="F28" s="26" t="s">
        <v>184</v>
      </c>
    </row>
    <row r="29" spans="1:7" s="48" customFormat="1" ht="15.75" thickBot="1" x14ac:dyDescent="0.3">
      <c r="A29" s="51" t="s">
        <v>236</v>
      </c>
      <c r="B29" s="47">
        <f>B26</f>
        <v>0.7</v>
      </c>
      <c r="C29" s="47">
        <f t="shared" ref="C29" si="2">C26</f>
        <v>0.12</v>
      </c>
      <c r="D29" s="47" t="str">
        <f>D26</f>
        <v>coal coking - IPCC</v>
      </c>
      <c r="E29" s="50">
        <v>1</v>
      </c>
      <c r="F29" s="48" t="s">
        <v>184</v>
      </c>
    </row>
    <row r="30" spans="1:7" s="76" customFormat="1" x14ac:dyDescent="0.25">
      <c r="A30" s="53" t="s">
        <v>191</v>
      </c>
      <c r="B30" s="82">
        <v>0.92</v>
      </c>
      <c r="C30" s="123">
        <v>0.02</v>
      </c>
      <c r="D30" s="76" t="s">
        <v>105</v>
      </c>
      <c r="E30" s="76">
        <v>0</v>
      </c>
      <c r="F30" s="76" t="s">
        <v>184</v>
      </c>
    </row>
    <row r="31" spans="1:7" x14ac:dyDescent="0.25">
      <c r="A31" s="116" t="s">
        <v>192</v>
      </c>
      <c r="B31" s="27">
        <f>B30</f>
        <v>0.92</v>
      </c>
      <c r="C31" s="27">
        <f t="shared" ref="C31:F31" si="3">C30</f>
        <v>0.02</v>
      </c>
      <c r="D31" s="27" t="str">
        <f>D30</f>
        <v>coal coking - IPCC</v>
      </c>
      <c r="E31" s="26">
        <v>0</v>
      </c>
      <c r="F31" s="27" t="str">
        <f t="shared" si="3"/>
        <v>charcoal - IPCC</v>
      </c>
    </row>
    <row r="32" spans="1:7" x14ac:dyDescent="0.25">
      <c r="A32" s="116" t="s">
        <v>193</v>
      </c>
      <c r="B32" s="27">
        <f>B30</f>
        <v>0.92</v>
      </c>
      <c r="C32" s="27">
        <f t="shared" ref="C32:F32" si="4">C30</f>
        <v>0.02</v>
      </c>
      <c r="D32" s="27" t="str">
        <f>D30</f>
        <v>coal coking - IPCC</v>
      </c>
      <c r="E32" s="114">
        <v>0.05</v>
      </c>
      <c r="F32" s="27" t="str">
        <f t="shared" si="4"/>
        <v>charcoal - IPCC</v>
      </c>
    </row>
    <row r="33" spans="1:7" s="48" customFormat="1" ht="15.75" thickBot="1" x14ac:dyDescent="0.3">
      <c r="A33" s="145" t="s">
        <v>194</v>
      </c>
      <c r="B33" s="47">
        <f>B30</f>
        <v>0.92</v>
      </c>
      <c r="C33" s="47">
        <f t="shared" ref="C33:F33" si="5">C30</f>
        <v>0.02</v>
      </c>
      <c r="D33" s="47" t="str">
        <f>D30</f>
        <v>coal coking - IPCC</v>
      </c>
      <c r="E33" s="50">
        <v>1</v>
      </c>
      <c r="F33" s="47" t="str">
        <f t="shared" si="5"/>
        <v>charcoal - IPCC</v>
      </c>
    </row>
    <row r="34" spans="1:7" x14ac:dyDescent="0.25">
      <c r="A34" s="52" t="s">
        <v>195</v>
      </c>
      <c r="B34" s="82">
        <v>0.82</v>
      </c>
      <c r="C34" s="123">
        <v>0.02</v>
      </c>
      <c r="D34" s="76" t="s">
        <v>105</v>
      </c>
      <c r="E34" s="26">
        <v>0</v>
      </c>
      <c r="F34" s="26" t="s">
        <v>184</v>
      </c>
      <c r="G34" s="26" t="s">
        <v>155</v>
      </c>
    </row>
    <row r="35" spans="1:7" x14ac:dyDescent="0.25">
      <c r="A35" s="136" t="s">
        <v>197</v>
      </c>
      <c r="B35" s="27">
        <f>B34</f>
        <v>0.82</v>
      </c>
      <c r="C35" s="27">
        <f>C34</f>
        <v>0.02</v>
      </c>
      <c r="D35" s="26" t="str">
        <f>D34</f>
        <v>coal coking - IPCC</v>
      </c>
      <c r="E35" s="114">
        <v>0.05</v>
      </c>
      <c r="F35" s="26" t="s">
        <v>184</v>
      </c>
    </row>
    <row r="36" spans="1:7" x14ac:dyDescent="0.25">
      <c r="A36" s="116" t="s">
        <v>196</v>
      </c>
      <c r="B36" s="27">
        <f t="shared" ref="B36:B37" si="6">B35</f>
        <v>0.82</v>
      </c>
      <c r="C36" s="27">
        <f t="shared" ref="C36:C37" si="7">C35</f>
        <v>0.02</v>
      </c>
      <c r="D36" s="26" t="str">
        <f t="shared" ref="D36:D37" si="8">D35</f>
        <v>coal coking - IPCC</v>
      </c>
      <c r="E36" s="26">
        <v>0</v>
      </c>
      <c r="F36" s="26" t="s">
        <v>184</v>
      </c>
    </row>
    <row r="37" spans="1:7" s="48" customFormat="1" ht="15.75" thickBot="1" x14ac:dyDescent="0.3">
      <c r="A37" s="145" t="s">
        <v>198</v>
      </c>
      <c r="B37" s="47">
        <f t="shared" si="6"/>
        <v>0.82</v>
      </c>
      <c r="C37" s="47">
        <f t="shared" si="7"/>
        <v>0.02</v>
      </c>
      <c r="D37" s="48" t="str">
        <f t="shared" si="8"/>
        <v>coal coking - IPCC</v>
      </c>
      <c r="E37" s="50">
        <v>1</v>
      </c>
      <c r="F37" s="48" t="s">
        <v>184</v>
      </c>
    </row>
    <row r="38" spans="1:7" x14ac:dyDescent="0.25">
      <c r="A38" s="116" t="s">
        <v>199</v>
      </c>
      <c r="B38" s="123">
        <f>1/1.22</f>
        <v>0.81967213114754101</v>
      </c>
      <c r="C38" s="123">
        <v>0.02</v>
      </c>
      <c r="D38" s="76" t="s">
        <v>105</v>
      </c>
      <c r="E38" s="26">
        <v>0</v>
      </c>
      <c r="F38" s="26" t="s">
        <v>184</v>
      </c>
      <c r="G38" s="26" t="s">
        <v>154</v>
      </c>
    </row>
    <row r="39" spans="1:7" x14ac:dyDescent="0.25">
      <c r="A39" s="116" t="s">
        <v>200</v>
      </c>
      <c r="B39" s="27">
        <f>B38</f>
        <v>0.81967213114754101</v>
      </c>
      <c r="C39" s="27">
        <f>C38</f>
        <v>0.02</v>
      </c>
      <c r="D39" s="27" t="str">
        <f>D38</f>
        <v>coal coking - IPCC</v>
      </c>
      <c r="E39" s="26">
        <v>0</v>
      </c>
      <c r="F39" s="27" t="str">
        <f>F38</f>
        <v>charcoal - IPCC</v>
      </c>
    </row>
    <row r="40" spans="1:7" x14ac:dyDescent="0.25">
      <c r="A40" s="116" t="s">
        <v>201</v>
      </c>
      <c r="B40" s="27">
        <f>B38</f>
        <v>0.81967213114754101</v>
      </c>
      <c r="C40" s="27">
        <f>C38</f>
        <v>0.02</v>
      </c>
      <c r="D40" s="27" t="str">
        <f>D38</f>
        <v>coal coking - IPCC</v>
      </c>
      <c r="E40" s="114">
        <v>0.05</v>
      </c>
      <c r="F40" s="27" t="str">
        <f>F38</f>
        <v>charcoal - IPCC</v>
      </c>
    </row>
    <row r="41" spans="1:7" s="48" customFormat="1" ht="15.75" thickBot="1" x14ac:dyDescent="0.3">
      <c r="A41" s="145" t="s">
        <v>202</v>
      </c>
      <c r="B41" s="47">
        <f>B38</f>
        <v>0.81967213114754101</v>
      </c>
      <c r="C41" s="47">
        <f>C38</f>
        <v>0.02</v>
      </c>
      <c r="D41" s="47" t="str">
        <f>D38</f>
        <v>coal coking - IPCC</v>
      </c>
      <c r="E41" s="50">
        <v>1</v>
      </c>
      <c r="F41" s="47" t="str">
        <f>F38</f>
        <v>charcoal - IPCC</v>
      </c>
    </row>
    <row r="42" spans="1:7" x14ac:dyDescent="0.25">
      <c r="A42" s="116" t="s">
        <v>204</v>
      </c>
      <c r="B42" s="82">
        <v>0.82</v>
      </c>
      <c r="C42" s="123">
        <v>0.02</v>
      </c>
      <c r="D42" s="76" t="s">
        <v>105</v>
      </c>
      <c r="E42" s="26">
        <v>0</v>
      </c>
      <c r="F42" s="26" t="s">
        <v>184</v>
      </c>
    </row>
    <row r="43" spans="1:7" x14ac:dyDescent="0.25">
      <c r="A43" s="116" t="s">
        <v>205</v>
      </c>
      <c r="B43" s="27">
        <f>B42</f>
        <v>0.82</v>
      </c>
      <c r="C43" s="27">
        <f>C42</f>
        <v>0.02</v>
      </c>
      <c r="D43" s="26" t="str">
        <f>D42</f>
        <v>coal coking - IPCC</v>
      </c>
      <c r="E43" s="114">
        <v>0.05</v>
      </c>
      <c r="F43" s="26" t="s">
        <v>184</v>
      </c>
    </row>
    <row r="44" spans="1:7" x14ac:dyDescent="0.25">
      <c r="A44" s="116" t="s">
        <v>241</v>
      </c>
      <c r="B44" s="27">
        <f t="shared" ref="B44:B45" si="9">B43</f>
        <v>0.82</v>
      </c>
      <c r="C44" s="27">
        <f t="shared" ref="C44:C45" si="10">C43</f>
        <v>0.02</v>
      </c>
      <c r="D44" s="26" t="str">
        <f>D42</f>
        <v>coal coking - IPCC</v>
      </c>
      <c r="E44" s="26">
        <v>0</v>
      </c>
      <c r="F44" s="26" t="s">
        <v>184</v>
      </c>
    </row>
    <row r="45" spans="1:7" s="48" customFormat="1" ht="15.75" thickBot="1" x14ac:dyDescent="0.3">
      <c r="A45" s="145" t="s">
        <v>206</v>
      </c>
      <c r="B45" s="47">
        <f t="shared" si="9"/>
        <v>0.82</v>
      </c>
      <c r="C45" s="47">
        <f t="shared" si="10"/>
        <v>0.02</v>
      </c>
      <c r="D45" s="48" t="str">
        <f>D42</f>
        <v>coal coking - IPCC</v>
      </c>
      <c r="E45" s="50">
        <v>1</v>
      </c>
      <c r="F45" s="48" t="s">
        <v>184</v>
      </c>
    </row>
  </sheetData>
  <hyperlinks>
    <hyperlink ref="G10" r:id="rId1" location="BIB5" display="https://www.sciencedirect.com/science/article/pii/S0301421501001471 - BIB5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G34" sqref="G34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1" t="s">
        <v>81</v>
      </c>
      <c r="B1" s="31" t="s">
        <v>82</v>
      </c>
      <c r="C1" s="32" t="s">
        <v>83</v>
      </c>
      <c r="D1" s="32" t="s">
        <v>9</v>
      </c>
      <c r="E1" s="32" t="s">
        <v>84</v>
      </c>
      <c r="F1" s="32" t="s">
        <v>85</v>
      </c>
    </row>
    <row r="2" spans="1:6" x14ac:dyDescent="0.25">
      <c r="A2" s="33" t="s">
        <v>76</v>
      </c>
      <c r="B2" s="34" t="s">
        <v>86</v>
      </c>
      <c r="C2" s="35" t="s">
        <v>87</v>
      </c>
      <c r="D2" s="35" t="s">
        <v>88</v>
      </c>
      <c r="E2" s="35" t="s">
        <v>89</v>
      </c>
      <c r="F2" s="36"/>
    </row>
    <row r="3" spans="1:6" x14ac:dyDescent="0.25">
      <c r="A3" s="33" t="s">
        <v>2</v>
      </c>
      <c r="B3" s="34" t="s">
        <v>90</v>
      </c>
      <c r="C3" s="35" t="s">
        <v>91</v>
      </c>
      <c r="D3" s="36"/>
      <c r="E3" s="36"/>
      <c r="F3" s="36"/>
    </row>
    <row r="4" spans="1:6" x14ac:dyDescent="0.25">
      <c r="A4" s="34" t="s">
        <v>3</v>
      </c>
      <c r="B4" s="34">
        <v>1</v>
      </c>
      <c r="C4" s="36">
        <v>0.9</v>
      </c>
      <c r="D4" s="36">
        <v>1.05</v>
      </c>
      <c r="E4" s="36">
        <v>0</v>
      </c>
      <c r="F4" s="35" t="s">
        <v>92</v>
      </c>
    </row>
    <row r="5" spans="1:6" s="68" customFormat="1" x14ac:dyDescent="0.25">
      <c r="A5" s="67" t="s">
        <v>213</v>
      </c>
      <c r="B5" s="68">
        <v>1</v>
      </c>
      <c r="C5" s="68">
        <v>0.9</v>
      </c>
      <c r="D5" s="68">
        <v>0.5</v>
      </c>
      <c r="E5" s="68">
        <v>2.5</v>
      </c>
      <c r="F5" s="35" t="s">
        <v>97</v>
      </c>
    </row>
    <row r="6" spans="1:6" x14ac:dyDescent="0.25">
      <c r="A6" s="40" t="s">
        <v>214</v>
      </c>
      <c r="B6">
        <f>B$5</f>
        <v>1</v>
      </c>
      <c r="C6">
        <f t="shared" ref="C6:E6" si="0">C$5</f>
        <v>0.9</v>
      </c>
      <c r="D6">
        <f t="shared" si="0"/>
        <v>0.5</v>
      </c>
      <c r="E6">
        <f t="shared" si="0"/>
        <v>2.5</v>
      </c>
    </row>
    <row r="7" spans="1:6" x14ac:dyDescent="0.25">
      <c r="A7" s="40" t="s">
        <v>215</v>
      </c>
      <c r="B7">
        <f t="shared" ref="B7:E7" si="1">B$5</f>
        <v>1</v>
      </c>
      <c r="C7">
        <f t="shared" si="1"/>
        <v>0.9</v>
      </c>
      <c r="D7">
        <f t="shared" si="1"/>
        <v>0.5</v>
      </c>
      <c r="E7">
        <f t="shared" si="1"/>
        <v>2.5</v>
      </c>
    </row>
    <row r="8" spans="1:6" s="48" customFormat="1" ht="15.75" thickBot="1" x14ac:dyDescent="0.3">
      <c r="A8" s="49" t="s">
        <v>216</v>
      </c>
      <c r="B8" s="65">
        <f t="shared" ref="B8:E8" si="2">B$5</f>
        <v>1</v>
      </c>
      <c r="C8" s="65">
        <f t="shared" si="2"/>
        <v>0.9</v>
      </c>
      <c r="D8" s="65">
        <f t="shared" si="2"/>
        <v>0.5</v>
      </c>
      <c r="E8" s="65">
        <f t="shared" si="2"/>
        <v>2.5</v>
      </c>
    </row>
    <row r="9" spans="1:6" s="1" customFormat="1" x14ac:dyDescent="0.25">
      <c r="A9" s="52" t="s">
        <v>217</v>
      </c>
      <c r="B9" s="99">
        <v>1</v>
      </c>
      <c r="C9" s="99">
        <v>0.9</v>
      </c>
      <c r="D9" s="99">
        <v>0.5</v>
      </c>
      <c r="E9" s="99">
        <v>2.5</v>
      </c>
    </row>
    <row r="10" spans="1:6" x14ac:dyDescent="0.25">
      <c r="A10" s="40" t="s">
        <v>218</v>
      </c>
      <c r="B10" s="38">
        <f>B$9</f>
        <v>1</v>
      </c>
      <c r="C10" s="38">
        <f t="shared" ref="C10:E10" si="3">C$9</f>
        <v>0.9</v>
      </c>
      <c r="D10" s="38">
        <f t="shared" si="3"/>
        <v>0.5</v>
      </c>
      <c r="E10" s="38">
        <f t="shared" si="3"/>
        <v>2.5</v>
      </c>
    </row>
    <row r="11" spans="1:6" x14ac:dyDescent="0.25">
      <c r="A11" s="40" t="s">
        <v>219</v>
      </c>
      <c r="B11" s="38">
        <f t="shared" ref="B11:E11" si="4">B$9</f>
        <v>1</v>
      </c>
      <c r="C11" s="38">
        <f t="shared" si="4"/>
        <v>0.9</v>
      </c>
      <c r="D11" s="38">
        <f t="shared" si="4"/>
        <v>0.5</v>
      </c>
      <c r="E11" s="38">
        <f t="shared" si="4"/>
        <v>2.5</v>
      </c>
    </row>
    <row r="12" spans="1:6" s="48" customFormat="1" ht="15.75" thickBot="1" x14ac:dyDescent="0.3">
      <c r="A12" s="49" t="s">
        <v>220</v>
      </c>
      <c r="B12" s="65">
        <f t="shared" ref="B12:E12" si="5">B$9</f>
        <v>1</v>
      </c>
      <c r="C12" s="65">
        <f t="shared" si="5"/>
        <v>0.9</v>
      </c>
      <c r="D12" s="65">
        <f t="shared" si="5"/>
        <v>0.5</v>
      </c>
      <c r="E12" s="65">
        <f t="shared" si="5"/>
        <v>2.5</v>
      </c>
    </row>
    <row r="13" spans="1:6" s="1" customFormat="1" x14ac:dyDescent="0.25">
      <c r="A13" s="52" t="s">
        <v>221</v>
      </c>
      <c r="B13" s="99">
        <v>1</v>
      </c>
      <c r="C13" s="99">
        <v>0.9</v>
      </c>
      <c r="D13" s="99">
        <v>0.5</v>
      </c>
      <c r="E13" s="99">
        <v>2.5</v>
      </c>
    </row>
    <row r="14" spans="1:6" x14ac:dyDescent="0.25">
      <c r="A14" s="40" t="s">
        <v>222</v>
      </c>
      <c r="B14" s="38">
        <f>B$13</f>
        <v>1</v>
      </c>
      <c r="C14" s="38">
        <f t="shared" ref="C14:E16" si="6">C$13</f>
        <v>0.9</v>
      </c>
      <c r="D14" s="38">
        <f t="shared" si="6"/>
        <v>0.5</v>
      </c>
      <c r="E14" s="38">
        <f t="shared" si="6"/>
        <v>2.5</v>
      </c>
    </row>
    <row r="15" spans="1:6" x14ac:dyDescent="0.25">
      <c r="A15" s="40" t="s">
        <v>223</v>
      </c>
      <c r="B15" s="38">
        <f t="shared" ref="B15:B16" si="7">B$13</f>
        <v>1</v>
      </c>
      <c r="C15" s="38">
        <f t="shared" si="6"/>
        <v>0.9</v>
      </c>
      <c r="D15" s="38">
        <f t="shared" si="6"/>
        <v>0.5</v>
      </c>
      <c r="E15" s="38">
        <f t="shared" si="6"/>
        <v>2.5</v>
      </c>
    </row>
    <row r="16" spans="1:6" s="48" customFormat="1" ht="15.75" thickBot="1" x14ac:dyDescent="0.3">
      <c r="A16" s="49" t="s">
        <v>224</v>
      </c>
      <c r="B16" s="65">
        <f t="shared" si="7"/>
        <v>1</v>
      </c>
      <c r="C16" s="65">
        <f t="shared" si="6"/>
        <v>0.9</v>
      </c>
      <c r="D16" s="65">
        <f t="shared" si="6"/>
        <v>0.5</v>
      </c>
      <c r="E16" s="65">
        <f t="shared" si="6"/>
        <v>2.5</v>
      </c>
    </row>
    <row r="17" spans="1:5" s="1" customFormat="1" x14ac:dyDescent="0.25">
      <c r="A17" s="52" t="s">
        <v>225</v>
      </c>
      <c r="B17" s="99">
        <v>1</v>
      </c>
      <c r="C17" s="99">
        <v>0.9</v>
      </c>
      <c r="D17" s="99">
        <v>0.5</v>
      </c>
      <c r="E17" s="99">
        <v>2.5</v>
      </c>
    </row>
    <row r="18" spans="1:5" x14ac:dyDescent="0.25">
      <c r="A18" s="40" t="s">
        <v>226</v>
      </c>
      <c r="B18" s="38">
        <f>B$17</f>
        <v>1</v>
      </c>
      <c r="C18" s="38">
        <f t="shared" ref="C18:E20" si="8">C$17</f>
        <v>0.9</v>
      </c>
      <c r="D18" s="38">
        <f t="shared" si="8"/>
        <v>0.5</v>
      </c>
      <c r="E18" s="38">
        <f t="shared" si="8"/>
        <v>2.5</v>
      </c>
    </row>
    <row r="19" spans="1:5" x14ac:dyDescent="0.25">
      <c r="A19" s="40" t="s">
        <v>227</v>
      </c>
      <c r="B19" s="38">
        <f t="shared" ref="B19:B20" si="9">B$17</f>
        <v>1</v>
      </c>
      <c r="C19" s="38">
        <f t="shared" si="8"/>
        <v>0.9</v>
      </c>
      <c r="D19" s="38">
        <f t="shared" si="8"/>
        <v>0.5</v>
      </c>
      <c r="E19" s="38">
        <f t="shared" si="8"/>
        <v>2.5</v>
      </c>
    </row>
    <row r="20" spans="1:5" s="48" customFormat="1" ht="15.75" thickBot="1" x14ac:dyDescent="0.3">
      <c r="A20" s="49" t="s">
        <v>228</v>
      </c>
      <c r="B20" s="65">
        <f t="shared" si="9"/>
        <v>1</v>
      </c>
      <c r="C20" s="65">
        <f t="shared" si="8"/>
        <v>0.9</v>
      </c>
      <c r="D20" s="65">
        <f t="shared" si="8"/>
        <v>0.5</v>
      </c>
      <c r="E20" s="65">
        <f t="shared" si="8"/>
        <v>2.5</v>
      </c>
    </row>
    <row r="21" spans="1:5" s="1" customFormat="1" x14ac:dyDescent="0.25">
      <c r="A21" s="52" t="s">
        <v>229</v>
      </c>
      <c r="B21" s="99">
        <v>1</v>
      </c>
      <c r="C21" s="99">
        <v>0.9</v>
      </c>
      <c r="D21" s="99">
        <v>0.5</v>
      </c>
      <c r="E21" s="99">
        <v>2.5</v>
      </c>
    </row>
    <row r="22" spans="1:5" x14ac:dyDescent="0.25">
      <c r="A22" s="40" t="s">
        <v>230</v>
      </c>
      <c r="B22" s="79">
        <f>B$21</f>
        <v>1</v>
      </c>
      <c r="C22" s="79">
        <f t="shared" ref="C22:E24" si="10">C$21</f>
        <v>0.9</v>
      </c>
      <c r="D22" s="79">
        <f t="shared" si="10"/>
        <v>0.5</v>
      </c>
      <c r="E22" s="79">
        <f t="shared" si="10"/>
        <v>2.5</v>
      </c>
    </row>
    <row r="23" spans="1:5" x14ac:dyDescent="0.25">
      <c r="A23" s="40" t="s">
        <v>231</v>
      </c>
      <c r="B23" s="79">
        <f t="shared" ref="B23:B24" si="11">B$21</f>
        <v>1</v>
      </c>
      <c r="C23" s="79">
        <f t="shared" si="10"/>
        <v>0.9</v>
      </c>
      <c r="D23" s="79">
        <f t="shared" si="10"/>
        <v>0.5</v>
      </c>
      <c r="E23" s="79">
        <f t="shared" si="10"/>
        <v>2.5</v>
      </c>
    </row>
    <row r="24" spans="1:5" s="48" customFormat="1" ht="15.75" thickBot="1" x14ac:dyDescent="0.3">
      <c r="A24" s="49" t="s">
        <v>232</v>
      </c>
      <c r="B24" s="80">
        <f t="shared" si="11"/>
        <v>1</v>
      </c>
      <c r="C24" s="80">
        <f t="shared" si="10"/>
        <v>0.9</v>
      </c>
      <c r="D24" s="80">
        <f t="shared" si="10"/>
        <v>0.5</v>
      </c>
      <c r="E24" s="80">
        <f t="shared" si="10"/>
        <v>2.5</v>
      </c>
    </row>
    <row r="25" spans="1:5" s="1" customFormat="1" x14ac:dyDescent="0.25">
      <c r="A25" s="52" t="s">
        <v>233</v>
      </c>
      <c r="B25" s="99">
        <v>1</v>
      </c>
      <c r="C25" s="99">
        <v>0.9</v>
      </c>
      <c r="D25" s="99">
        <v>0.5</v>
      </c>
      <c r="E25" s="99">
        <v>2.5</v>
      </c>
    </row>
    <row r="26" spans="1:5" x14ac:dyDescent="0.25">
      <c r="A26" s="40" t="s">
        <v>234</v>
      </c>
      <c r="B26" s="79">
        <f>B$25</f>
        <v>1</v>
      </c>
      <c r="C26" s="79">
        <f t="shared" ref="C26:E28" si="12">C$25</f>
        <v>0.9</v>
      </c>
      <c r="D26" s="79">
        <f t="shared" si="12"/>
        <v>0.5</v>
      </c>
      <c r="E26" s="79">
        <f t="shared" si="12"/>
        <v>2.5</v>
      </c>
    </row>
    <row r="27" spans="1:5" x14ac:dyDescent="0.25">
      <c r="A27" s="40" t="s">
        <v>235</v>
      </c>
      <c r="B27" s="79">
        <f t="shared" ref="B27:B28" si="13">B$25</f>
        <v>1</v>
      </c>
      <c r="C27" s="79">
        <f t="shared" si="12"/>
        <v>0.9</v>
      </c>
      <c r="D27" s="79">
        <f t="shared" si="12"/>
        <v>0.5</v>
      </c>
      <c r="E27" s="79">
        <f t="shared" si="12"/>
        <v>2.5</v>
      </c>
    </row>
    <row r="28" spans="1:5" s="48" customFormat="1" ht="15.75" thickBot="1" x14ac:dyDescent="0.3">
      <c r="A28" s="49" t="s">
        <v>236</v>
      </c>
      <c r="B28" s="80">
        <f t="shared" si="13"/>
        <v>1</v>
      </c>
      <c r="C28" s="80">
        <f t="shared" si="12"/>
        <v>0.9</v>
      </c>
      <c r="D28" s="80">
        <f t="shared" si="12"/>
        <v>0.5</v>
      </c>
      <c r="E28" s="80">
        <f t="shared" si="12"/>
        <v>2.5</v>
      </c>
    </row>
    <row r="29" spans="1:5" x14ac:dyDescent="0.25">
      <c r="A29" s="53" t="s">
        <v>191</v>
      </c>
      <c r="B29">
        <v>1</v>
      </c>
      <c r="C29">
        <v>1</v>
      </c>
      <c r="D29">
        <v>0</v>
      </c>
      <c r="E29" s="38">
        <f>30*(1000/44)/1000</f>
        <v>0.68181818181818177</v>
      </c>
    </row>
    <row r="30" spans="1:5" x14ac:dyDescent="0.25">
      <c r="A30" s="116" t="s">
        <v>192</v>
      </c>
      <c r="B30">
        <f>B29</f>
        <v>1</v>
      </c>
      <c r="C30">
        <f t="shared" ref="C30:E30" si="14">C29</f>
        <v>1</v>
      </c>
      <c r="D30">
        <f t="shared" si="14"/>
        <v>0</v>
      </c>
      <c r="E30" s="38">
        <f t="shared" si="14"/>
        <v>0.68181818181818177</v>
      </c>
    </row>
    <row r="31" spans="1:5" x14ac:dyDescent="0.25">
      <c r="A31" s="116" t="s">
        <v>193</v>
      </c>
      <c r="B31">
        <f>B29</f>
        <v>1</v>
      </c>
      <c r="C31">
        <f t="shared" ref="C31:E31" si="15">C29</f>
        <v>1</v>
      </c>
      <c r="D31">
        <f t="shared" si="15"/>
        <v>0</v>
      </c>
      <c r="E31" s="38">
        <f t="shared" si="15"/>
        <v>0.68181818181818177</v>
      </c>
    </row>
    <row r="32" spans="1:5" s="48" customFormat="1" ht="15.75" thickBot="1" x14ac:dyDescent="0.3">
      <c r="A32" s="145" t="s">
        <v>194</v>
      </c>
      <c r="B32" s="48">
        <f>B29</f>
        <v>1</v>
      </c>
      <c r="C32" s="48">
        <f t="shared" ref="C32:E32" si="16">C29</f>
        <v>1</v>
      </c>
      <c r="D32" s="48">
        <f t="shared" si="16"/>
        <v>0</v>
      </c>
      <c r="E32" s="65">
        <f t="shared" si="16"/>
        <v>0.68181818181818177</v>
      </c>
    </row>
    <row r="33" spans="1:5" s="1" customFormat="1" x14ac:dyDescent="0.25">
      <c r="A33" s="52" t="s">
        <v>195</v>
      </c>
      <c r="B33" s="1">
        <v>1</v>
      </c>
      <c r="C33" s="58">
        <v>0.95</v>
      </c>
      <c r="D33" s="58">
        <v>0.3</v>
      </c>
      <c r="E33" s="58">
        <v>2</v>
      </c>
    </row>
    <row r="34" spans="1:5" x14ac:dyDescent="0.25">
      <c r="A34" s="136" t="s">
        <v>197</v>
      </c>
      <c r="B34">
        <f t="shared" ref="B34:E34" si="17">B33</f>
        <v>1</v>
      </c>
      <c r="C34">
        <f t="shared" si="17"/>
        <v>0.95</v>
      </c>
      <c r="D34">
        <f t="shared" si="17"/>
        <v>0.3</v>
      </c>
      <c r="E34">
        <f t="shared" si="17"/>
        <v>2</v>
      </c>
    </row>
    <row r="35" spans="1:5" x14ac:dyDescent="0.25">
      <c r="A35" s="116" t="s">
        <v>196</v>
      </c>
      <c r="B35">
        <f t="shared" ref="B35:E35" si="18">B33</f>
        <v>1</v>
      </c>
      <c r="C35">
        <f t="shared" si="18"/>
        <v>0.95</v>
      </c>
      <c r="D35">
        <f t="shared" si="18"/>
        <v>0.3</v>
      </c>
      <c r="E35">
        <f t="shared" si="18"/>
        <v>2</v>
      </c>
    </row>
    <row r="36" spans="1:5" s="48" customFormat="1" ht="15.75" thickBot="1" x14ac:dyDescent="0.3">
      <c r="A36" s="145" t="s">
        <v>198</v>
      </c>
      <c r="B36" s="48">
        <f t="shared" ref="B36:E36" si="19">B33</f>
        <v>1</v>
      </c>
      <c r="C36" s="48">
        <f t="shared" si="19"/>
        <v>0.95</v>
      </c>
      <c r="D36" s="48">
        <f t="shared" si="19"/>
        <v>0.3</v>
      </c>
      <c r="E36" s="48">
        <f t="shared" si="19"/>
        <v>2</v>
      </c>
    </row>
    <row r="37" spans="1:5" s="1" customFormat="1" x14ac:dyDescent="0.25">
      <c r="A37" s="52" t="s">
        <v>199</v>
      </c>
      <c r="B37" s="1">
        <v>1</v>
      </c>
      <c r="C37" s="58">
        <v>0.95</v>
      </c>
      <c r="D37" s="58">
        <v>0.3</v>
      </c>
      <c r="E37" s="58">
        <v>2</v>
      </c>
    </row>
    <row r="38" spans="1:5" x14ac:dyDescent="0.25">
      <c r="A38" s="116" t="s">
        <v>200</v>
      </c>
      <c r="B38">
        <f t="shared" ref="B38:E38" si="20">B37</f>
        <v>1</v>
      </c>
      <c r="C38">
        <f t="shared" si="20"/>
        <v>0.95</v>
      </c>
      <c r="D38">
        <f t="shared" si="20"/>
        <v>0.3</v>
      </c>
      <c r="E38">
        <f t="shared" si="20"/>
        <v>2</v>
      </c>
    </row>
    <row r="39" spans="1:5" x14ac:dyDescent="0.25">
      <c r="A39" s="116" t="s">
        <v>201</v>
      </c>
      <c r="B39">
        <f t="shared" ref="B39:E39" si="21">B37</f>
        <v>1</v>
      </c>
      <c r="C39">
        <f t="shared" si="21"/>
        <v>0.95</v>
      </c>
      <c r="D39">
        <f t="shared" si="21"/>
        <v>0.3</v>
      </c>
      <c r="E39">
        <f t="shared" si="21"/>
        <v>2</v>
      </c>
    </row>
    <row r="40" spans="1:5" s="48" customFormat="1" ht="15.75" thickBot="1" x14ac:dyDescent="0.3">
      <c r="A40" s="145" t="s">
        <v>202</v>
      </c>
      <c r="B40" s="48">
        <f t="shared" ref="B40:E40" si="22">B37</f>
        <v>1</v>
      </c>
      <c r="C40" s="48">
        <f t="shared" si="22"/>
        <v>0.95</v>
      </c>
      <c r="D40" s="48">
        <f t="shared" si="22"/>
        <v>0.3</v>
      </c>
      <c r="E40" s="48">
        <f t="shared" si="22"/>
        <v>2</v>
      </c>
    </row>
    <row r="41" spans="1:5" x14ac:dyDescent="0.25">
      <c r="A41" s="144" t="s">
        <v>204</v>
      </c>
      <c r="B41" s="1">
        <v>1</v>
      </c>
      <c r="C41" s="58">
        <v>0.95</v>
      </c>
      <c r="D41" s="58">
        <v>0.3</v>
      </c>
      <c r="E41" s="58">
        <v>2</v>
      </c>
    </row>
    <row r="42" spans="1:5" x14ac:dyDescent="0.25">
      <c r="A42" s="116" t="s">
        <v>205</v>
      </c>
      <c r="B42">
        <f t="shared" ref="B42:E42" si="23">B41</f>
        <v>1</v>
      </c>
      <c r="C42">
        <f t="shared" si="23"/>
        <v>0.95</v>
      </c>
      <c r="D42">
        <f t="shared" si="23"/>
        <v>0.3</v>
      </c>
      <c r="E42">
        <f t="shared" si="23"/>
        <v>2</v>
      </c>
    </row>
    <row r="43" spans="1:5" x14ac:dyDescent="0.25">
      <c r="A43" s="116" t="s">
        <v>241</v>
      </c>
      <c r="B43">
        <f t="shared" ref="B43:E43" si="24">B41</f>
        <v>1</v>
      </c>
      <c r="C43">
        <f t="shared" si="24"/>
        <v>0.95</v>
      </c>
      <c r="D43">
        <f t="shared" si="24"/>
        <v>0.3</v>
      </c>
      <c r="E43">
        <f t="shared" si="24"/>
        <v>2</v>
      </c>
    </row>
    <row r="44" spans="1:5" s="48" customFormat="1" ht="15.75" thickBot="1" x14ac:dyDescent="0.3">
      <c r="A44" s="145" t="s">
        <v>206</v>
      </c>
      <c r="B44" s="48">
        <f t="shared" ref="B44:E44" si="25">B41</f>
        <v>1</v>
      </c>
      <c r="C44" s="48">
        <f t="shared" si="25"/>
        <v>0.95</v>
      </c>
      <c r="D44" s="48">
        <f t="shared" si="25"/>
        <v>0.3</v>
      </c>
      <c r="E44" s="48">
        <f t="shared" si="25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4" workbookViewId="0">
      <selection activeCell="H63" sqref="H63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1" t="s">
        <v>81</v>
      </c>
      <c r="B1" t="s">
        <v>93</v>
      </c>
      <c r="C1" t="s">
        <v>94</v>
      </c>
    </row>
    <row r="2" spans="1:3" x14ac:dyDescent="0.25">
      <c r="A2" s="33" t="s">
        <v>76</v>
      </c>
      <c r="B2" t="s">
        <v>95</v>
      </c>
      <c r="C2" t="s">
        <v>96</v>
      </c>
    </row>
    <row r="3" spans="1:3" x14ac:dyDescent="0.25">
      <c r="A3" s="33" t="s">
        <v>2</v>
      </c>
    </row>
    <row r="4" spans="1:3" x14ac:dyDescent="0.25">
      <c r="A4" s="34" t="s">
        <v>3</v>
      </c>
      <c r="B4">
        <v>0.01</v>
      </c>
      <c r="C4">
        <v>0</v>
      </c>
    </row>
    <row r="5" spans="1:3" hidden="1" x14ac:dyDescent="0.25">
      <c r="A5" t="s">
        <v>98</v>
      </c>
      <c r="B5">
        <v>0.01</v>
      </c>
      <c r="C5">
        <v>0</v>
      </c>
    </row>
    <row r="6" spans="1:3" hidden="1" x14ac:dyDescent="0.25">
      <c r="A6" t="s">
        <v>99</v>
      </c>
      <c r="B6">
        <v>0.01</v>
      </c>
      <c r="C6">
        <v>0</v>
      </c>
    </row>
    <row r="7" spans="1:3" hidden="1" x14ac:dyDescent="0.25">
      <c r="A7" t="s">
        <v>100</v>
      </c>
      <c r="B7">
        <v>0.01</v>
      </c>
      <c r="C7">
        <v>0</v>
      </c>
    </row>
    <row r="8" spans="1:3" hidden="1" x14ac:dyDescent="0.25">
      <c r="A8" t="s">
        <v>101</v>
      </c>
      <c r="B8">
        <v>0.01</v>
      </c>
      <c r="C8">
        <v>0</v>
      </c>
    </row>
    <row r="9" spans="1:3" hidden="1" x14ac:dyDescent="0.25">
      <c r="A9" t="s">
        <v>102</v>
      </c>
      <c r="B9">
        <v>0.01</v>
      </c>
      <c r="C9">
        <v>0</v>
      </c>
    </row>
    <row r="10" spans="1:3" hidden="1" x14ac:dyDescent="0.25">
      <c r="A10" t="s">
        <v>55</v>
      </c>
      <c r="B10">
        <v>0.01</v>
      </c>
      <c r="C10">
        <v>0</v>
      </c>
    </row>
    <row r="11" spans="1:3" hidden="1" x14ac:dyDescent="0.25">
      <c r="A11" t="s">
        <v>113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114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115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116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111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129</v>
      </c>
    </row>
    <row r="17" spans="1:3" hidden="1" x14ac:dyDescent="0.25">
      <c r="A17" t="s">
        <v>135</v>
      </c>
    </row>
    <row r="18" spans="1:3" hidden="1" x14ac:dyDescent="0.25">
      <c r="A18" t="s">
        <v>130</v>
      </c>
    </row>
    <row r="19" spans="1:3" hidden="1" x14ac:dyDescent="0.25">
      <c r="A19" t="s">
        <v>123</v>
      </c>
    </row>
    <row r="20" spans="1:3" hidden="1" x14ac:dyDescent="0.25">
      <c r="A20" t="s">
        <v>131</v>
      </c>
    </row>
    <row r="21" spans="1:3" hidden="1" x14ac:dyDescent="0.25">
      <c r="A21" t="s">
        <v>133</v>
      </c>
    </row>
    <row r="22" spans="1:3" s="68" customFormat="1" x14ac:dyDescent="0.25">
      <c r="A22" s="67" t="s">
        <v>213</v>
      </c>
      <c r="B22" s="72">
        <v>0.01</v>
      </c>
      <c r="C22" s="72">
        <v>0</v>
      </c>
    </row>
    <row r="23" spans="1:3" x14ac:dyDescent="0.25">
      <c r="A23" s="40" t="s">
        <v>214</v>
      </c>
      <c r="B23">
        <f>B$22</f>
        <v>0.01</v>
      </c>
      <c r="C23">
        <f>C$22</f>
        <v>0</v>
      </c>
    </row>
    <row r="24" spans="1:3" x14ac:dyDescent="0.25">
      <c r="A24" s="40" t="s">
        <v>215</v>
      </c>
      <c r="B24">
        <f>B$22</f>
        <v>0.01</v>
      </c>
      <c r="C24">
        <f>C$22</f>
        <v>0</v>
      </c>
    </row>
    <row r="25" spans="1:3" s="48" customFormat="1" ht="15.75" thickBot="1" x14ac:dyDescent="0.3">
      <c r="A25" s="49" t="s">
        <v>216</v>
      </c>
      <c r="B25" s="48">
        <f t="shared" ref="B25:C25" si="2">B$22</f>
        <v>0.01</v>
      </c>
      <c r="C25" s="48">
        <f t="shared" si="2"/>
        <v>0</v>
      </c>
    </row>
    <row r="26" spans="1:3" s="1" customFormat="1" x14ac:dyDescent="0.25">
      <c r="A26" s="52" t="s">
        <v>217</v>
      </c>
      <c r="B26" s="74">
        <v>0.01</v>
      </c>
      <c r="C26" s="74">
        <v>0</v>
      </c>
    </row>
    <row r="27" spans="1:3" x14ac:dyDescent="0.25">
      <c r="A27" s="40" t="s">
        <v>218</v>
      </c>
      <c r="B27">
        <f>B$26</f>
        <v>0.01</v>
      </c>
      <c r="C27">
        <f>C$26</f>
        <v>0</v>
      </c>
    </row>
    <row r="28" spans="1:3" x14ac:dyDescent="0.25">
      <c r="A28" s="40" t="s">
        <v>219</v>
      </c>
      <c r="B28">
        <f>B$26</f>
        <v>0.01</v>
      </c>
      <c r="C28">
        <f>C$26</f>
        <v>0</v>
      </c>
    </row>
    <row r="29" spans="1:3" s="48" customFormat="1" ht="15.75" thickBot="1" x14ac:dyDescent="0.3">
      <c r="A29" s="49" t="s">
        <v>220</v>
      </c>
      <c r="B29" s="48">
        <f t="shared" ref="B29:C29" si="3">B$26</f>
        <v>0.01</v>
      </c>
      <c r="C29" s="48">
        <f t="shared" si="3"/>
        <v>0</v>
      </c>
    </row>
    <row r="30" spans="1:3" s="1" customFormat="1" x14ac:dyDescent="0.25">
      <c r="A30" s="52" t="s">
        <v>221</v>
      </c>
      <c r="B30" s="58">
        <v>0.01</v>
      </c>
      <c r="C30" s="58">
        <v>0</v>
      </c>
    </row>
    <row r="31" spans="1:3" x14ac:dyDescent="0.25">
      <c r="A31" s="40" t="s">
        <v>222</v>
      </c>
      <c r="B31">
        <f>B$30</f>
        <v>0.01</v>
      </c>
      <c r="C31">
        <f t="shared" ref="C31:C33" si="4">C$30</f>
        <v>0</v>
      </c>
    </row>
    <row r="32" spans="1:3" x14ac:dyDescent="0.25">
      <c r="A32" s="40" t="s">
        <v>223</v>
      </c>
      <c r="B32">
        <f t="shared" ref="B32:B33" si="5">B$30</f>
        <v>0.01</v>
      </c>
      <c r="C32">
        <f t="shared" si="4"/>
        <v>0</v>
      </c>
    </row>
    <row r="33" spans="1:3" s="48" customFormat="1" ht="15.75" thickBot="1" x14ac:dyDescent="0.3">
      <c r="A33" s="49" t="s">
        <v>224</v>
      </c>
      <c r="B33" s="48">
        <f t="shared" si="5"/>
        <v>0.01</v>
      </c>
      <c r="C33" s="48">
        <f t="shared" si="4"/>
        <v>0</v>
      </c>
    </row>
    <row r="34" spans="1:3" s="1" customFormat="1" x14ac:dyDescent="0.25">
      <c r="A34" s="52" t="s">
        <v>225</v>
      </c>
      <c r="B34" s="58">
        <v>0.01</v>
      </c>
      <c r="C34" s="58">
        <v>0</v>
      </c>
    </row>
    <row r="35" spans="1:3" x14ac:dyDescent="0.25">
      <c r="A35" s="40" t="s">
        <v>226</v>
      </c>
      <c r="B35">
        <f>B$34</f>
        <v>0.01</v>
      </c>
      <c r="C35">
        <f t="shared" ref="C35:C37" si="6">C$34</f>
        <v>0</v>
      </c>
    </row>
    <row r="36" spans="1:3" x14ac:dyDescent="0.25">
      <c r="A36" s="40" t="s">
        <v>227</v>
      </c>
      <c r="B36">
        <f t="shared" ref="B36:B37" si="7">B$34</f>
        <v>0.01</v>
      </c>
      <c r="C36">
        <f t="shared" si="6"/>
        <v>0</v>
      </c>
    </row>
    <row r="37" spans="1:3" s="48" customFormat="1" ht="15.75" thickBot="1" x14ac:dyDescent="0.3">
      <c r="A37" s="49" t="s">
        <v>228</v>
      </c>
      <c r="B37" s="48">
        <f t="shared" si="7"/>
        <v>0.01</v>
      </c>
      <c r="C37" s="48">
        <f t="shared" si="6"/>
        <v>0</v>
      </c>
    </row>
    <row r="38" spans="1:3" s="1" customFormat="1" x14ac:dyDescent="0.25">
      <c r="A38" s="52" t="s">
        <v>229</v>
      </c>
      <c r="B38" s="58">
        <v>0.01</v>
      </c>
      <c r="C38" s="58">
        <v>0</v>
      </c>
    </row>
    <row r="39" spans="1:3" x14ac:dyDescent="0.25">
      <c r="A39" s="40" t="s">
        <v>230</v>
      </c>
      <c r="B39">
        <f>B$38</f>
        <v>0.01</v>
      </c>
      <c r="C39">
        <f t="shared" ref="C39:C41" si="8">C$38</f>
        <v>0</v>
      </c>
    </row>
    <row r="40" spans="1:3" x14ac:dyDescent="0.25">
      <c r="A40" s="40" t="s">
        <v>231</v>
      </c>
      <c r="B40">
        <f t="shared" ref="B40:B41" si="9">B$38</f>
        <v>0.01</v>
      </c>
      <c r="C40">
        <f t="shared" si="8"/>
        <v>0</v>
      </c>
    </row>
    <row r="41" spans="1:3" s="48" customFormat="1" ht="15.75" thickBot="1" x14ac:dyDescent="0.3">
      <c r="A41" s="49" t="s">
        <v>232</v>
      </c>
      <c r="B41" s="48">
        <f t="shared" si="9"/>
        <v>0.01</v>
      </c>
      <c r="C41" s="48">
        <f t="shared" si="8"/>
        <v>0</v>
      </c>
    </row>
    <row r="42" spans="1:3" s="1" customFormat="1" x14ac:dyDescent="0.25">
      <c r="A42" s="52" t="s">
        <v>233</v>
      </c>
      <c r="B42" s="58">
        <v>0.01</v>
      </c>
      <c r="C42" s="58">
        <v>0</v>
      </c>
    </row>
    <row r="43" spans="1:3" x14ac:dyDescent="0.25">
      <c r="A43" s="40" t="s">
        <v>234</v>
      </c>
      <c r="B43">
        <f>B$42</f>
        <v>0.01</v>
      </c>
      <c r="C43">
        <f t="shared" ref="C43:C45" si="10">C$42</f>
        <v>0</v>
      </c>
    </row>
    <row r="44" spans="1:3" x14ac:dyDescent="0.25">
      <c r="A44" s="40" t="s">
        <v>235</v>
      </c>
      <c r="B44">
        <f t="shared" ref="B44:B45" si="11">B$42</f>
        <v>0.01</v>
      </c>
      <c r="C44">
        <f t="shared" si="10"/>
        <v>0</v>
      </c>
    </row>
    <row r="45" spans="1:3" s="48" customFormat="1" ht="15.75" thickBot="1" x14ac:dyDescent="0.3">
      <c r="A45" s="49" t="s">
        <v>236</v>
      </c>
      <c r="B45" s="48">
        <f t="shared" si="11"/>
        <v>0.01</v>
      </c>
      <c r="C45" s="48">
        <f t="shared" si="10"/>
        <v>0</v>
      </c>
    </row>
    <row r="46" spans="1:3" x14ac:dyDescent="0.25">
      <c r="A46" s="53" t="s">
        <v>191</v>
      </c>
      <c r="B46">
        <f>0.01</f>
        <v>0.01</v>
      </c>
      <c r="C46">
        <v>0</v>
      </c>
    </row>
    <row r="47" spans="1:3" x14ac:dyDescent="0.25">
      <c r="A47" s="116" t="s">
        <v>192</v>
      </c>
      <c r="B47">
        <f>B46</f>
        <v>0.01</v>
      </c>
      <c r="C47">
        <f>C46</f>
        <v>0</v>
      </c>
    </row>
    <row r="48" spans="1:3" x14ac:dyDescent="0.25">
      <c r="A48" s="116" t="s">
        <v>193</v>
      </c>
      <c r="B48">
        <f>B46</f>
        <v>0.01</v>
      </c>
      <c r="C48">
        <f>C46</f>
        <v>0</v>
      </c>
    </row>
    <row r="49" spans="1:3" s="48" customFormat="1" ht="15.75" thickBot="1" x14ac:dyDescent="0.3">
      <c r="A49" s="145" t="s">
        <v>194</v>
      </c>
      <c r="B49" s="48">
        <f>B46</f>
        <v>0.01</v>
      </c>
      <c r="C49" s="48">
        <f>C46</f>
        <v>0</v>
      </c>
    </row>
    <row r="50" spans="1:3" x14ac:dyDescent="0.25">
      <c r="A50" s="52" t="s">
        <v>195</v>
      </c>
      <c r="B50">
        <f>0.01</f>
        <v>0.01</v>
      </c>
      <c r="C50">
        <v>0</v>
      </c>
    </row>
    <row r="51" spans="1:3" x14ac:dyDescent="0.25">
      <c r="A51" s="136" t="s">
        <v>197</v>
      </c>
      <c r="B51">
        <f>B50</f>
        <v>0.01</v>
      </c>
      <c r="C51">
        <f>C50</f>
        <v>0</v>
      </c>
    </row>
    <row r="52" spans="1:3" x14ac:dyDescent="0.25">
      <c r="A52" s="116" t="s">
        <v>196</v>
      </c>
      <c r="B52">
        <f>B50</f>
        <v>0.01</v>
      </c>
      <c r="C52">
        <f>C50</f>
        <v>0</v>
      </c>
    </row>
    <row r="53" spans="1:3" s="48" customFormat="1" ht="15.75" thickBot="1" x14ac:dyDescent="0.3">
      <c r="A53" s="145" t="s">
        <v>198</v>
      </c>
      <c r="B53" s="48">
        <f>B50</f>
        <v>0.01</v>
      </c>
      <c r="C53" s="48">
        <f>C50</f>
        <v>0</v>
      </c>
    </row>
    <row r="54" spans="1:3" x14ac:dyDescent="0.25">
      <c r="A54" s="116" t="s">
        <v>199</v>
      </c>
      <c r="B54">
        <f>0.01</f>
        <v>0.01</v>
      </c>
      <c r="C54">
        <v>0</v>
      </c>
    </row>
    <row r="55" spans="1:3" x14ac:dyDescent="0.25">
      <c r="A55" s="116" t="s">
        <v>200</v>
      </c>
      <c r="B55">
        <f>B54</f>
        <v>0.01</v>
      </c>
      <c r="C55">
        <f>C54</f>
        <v>0</v>
      </c>
    </row>
    <row r="56" spans="1:3" x14ac:dyDescent="0.25">
      <c r="A56" s="116" t="s">
        <v>201</v>
      </c>
      <c r="B56">
        <f>B54</f>
        <v>0.01</v>
      </c>
      <c r="C56">
        <f>C54</f>
        <v>0</v>
      </c>
    </row>
    <row r="57" spans="1:3" s="48" customFormat="1" ht="15.75" thickBot="1" x14ac:dyDescent="0.3">
      <c r="A57" s="145" t="s">
        <v>202</v>
      </c>
      <c r="B57" s="48">
        <f>B54</f>
        <v>0.01</v>
      </c>
      <c r="C57" s="48">
        <f>C54</f>
        <v>0</v>
      </c>
    </row>
    <row r="58" spans="1:3" x14ac:dyDescent="0.25">
      <c r="A58" s="144" t="s">
        <v>204</v>
      </c>
      <c r="B58">
        <f>0.01</f>
        <v>0.01</v>
      </c>
      <c r="C58">
        <v>0</v>
      </c>
    </row>
    <row r="59" spans="1:3" x14ac:dyDescent="0.25">
      <c r="A59" s="116" t="s">
        <v>205</v>
      </c>
      <c r="B59">
        <f>B58</f>
        <v>0.01</v>
      </c>
      <c r="C59">
        <f>C58</f>
        <v>0</v>
      </c>
    </row>
    <row r="60" spans="1:3" x14ac:dyDescent="0.25">
      <c r="A60" s="116" t="s">
        <v>241</v>
      </c>
      <c r="B60">
        <f>B58</f>
        <v>0.01</v>
      </c>
      <c r="C60">
        <f>C58</f>
        <v>0</v>
      </c>
    </row>
    <row r="61" spans="1:3" s="48" customFormat="1" ht="15.75" thickBot="1" x14ac:dyDescent="0.3">
      <c r="A61" s="145" t="s">
        <v>206</v>
      </c>
      <c r="B61" s="48">
        <f>B58</f>
        <v>0.01</v>
      </c>
      <c r="C61" s="48">
        <f>C58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defaultRowHeight="15" x14ac:dyDescent="0.25"/>
  <cols>
    <col min="2" max="2" width="14.42578125" customWidth="1"/>
    <col min="3" max="3" width="17.42578125" customWidth="1"/>
    <col min="4" max="4" width="15.5703125" customWidth="1"/>
    <col min="5" max="5" width="16" customWidth="1"/>
    <col min="6" max="6" width="16.28515625" customWidth="1"/>
  </cols>
  <sheetData>
    <row r="1" spans="1:7" x14ac:dyDescent="0.25">
      <c r="A1" s="1" t="s">
        <v>0</v>
      </c>
      <c r="B1" s="3" t="s">
        <v>26</v>
      </c>
      <c r="C1" t="s">
        <v>7</v>
      </c>
      <c r="D1" t="s">
        <v>59</v>
      </c>
      <c r="E1" t="s">
        <v>10</v>
      </c>
      <c r="F1" t="s">
        <v>247</v>
      </c>
      <c r="G1" t="s">
        <v>246</v>
      </c>
    </row>
    <row r="2" spans="1:7" x14ac:dyDescent="0.25">
      <c r="A2" s="2" t="s">
        <v>1</v>
      </c>
      <c r="B2" s="2"/>
      <c r="E2" t="s">
        <v>251</v>
      </c>
      <c r="G2" t="s">
        <v>250</v>
      </c>
    </row>
    <row r="3" spans="1:7" x14ac:dyDescent="0.25">
      <c r="A3" s="2" t="s">
        <v>2</v>
      </c>
      <c r="B3" s="2"/>
    </row>
    <row r="4" spans="1:7" x14ac:dyDescent="0.25">
      <c r="A4" t="s">
        <v>3</v>
      </c>
      <c r="F4" t="s">
        <v>242</v>
      </c>
      <c r="G4" s="21">
        <f>0.058/1.03</f>
        <v>5.631067961165049E-2</v>
      </c>
    </row>
    <row r="5" spans="1:7" x14ac:dyDescent="0.25">
      <c r="A5" t="s">
        <v>243</v>
      </c>
      <c r="B5" s="38">
        <f>1.66/1.03</f>
        <v>1.6116504854368932</v>
      </c>
      <c r="C5" s="38">
        <f>0.46/1.03</f>
        <v>0.44660194174757284</v>
      </c>
      <c r="D5" t="s">
        <v>248</v>
      </c>
      <c r="E5" s="38">
        <f>5.62/1.03</f>
        <v>5.4563106796116507</v>
      </c>
      <c r="F5" t="s">
        <v>242</v>
      </c>
      <c r="G5" s="21">
        <f>0.058/1.03</f>
        <v>5.631067961165049E-2</v>
      </c>
    </row>
    <row r="6" spans="1:7" x14ac:dyDescent="0.25">
      <c r="A6" t="s">
        <v>244</v>
      </c>
      <c r="B6" s="38">
        <f>1.66/1.03</f>
        <v>1.6116504854368932</v>
      </c>
      <c r="C6" s="38">
        <f>0.46/1.03</f>
        <v>0.44660194174757284</v>
      </c>
      <c r="D6" t="s">
        <v>248</v>
      </c>
      <c r="E6" s="38">
        <f>5.62/1.03</f>
        <v>5.4563106796116507</v>
      </c>
      <c r="F6" t="s">
        <v>245</v>
      </c>
      <c r="G6" s="21">
        <f>0.058/1.03</f>
        <v>5.631067961165049E-2</v>
      </c>
    </row>
    <row r="7" spans="1:7" x14ac:dyDescent="0.25">
      <c r="A7" t="s">
        <v>252</v>
      </c>
      <c r="B7" s="38">
        <f>1.66/1.03</f>
        <v>1.6116504854368932</v>
      </c>
      <c r="C7" s="38">
        <f>0.46/1.03</f>
        <v>0.44660194174757284</v>
      </c>
      <c r="D7" t="s">
        <v>249</v>
      </c>
      <c r="E7" s="38">
        <f>5.62/1.03</f>
        <v>5.4563106796116507</v>
      </c>
      <c r="F7" t="s">
        <v>245</v>
      </c>
      <c r="G7" s="21">
        <f>0.058/1.03</f>
        <v>5.631067961165049E-2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D38" sqref="D38"/>
    </sheetView>
  </sheetViews>
  <sheetFormatPr defaultColWidth="8.85546875"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1" x14ac:dyDescent="0.25">
      <c r="A1" s="1" t="s">
        <v>0</v>
      </c>
      <c r="B1" t="s">
        <v>119</v>
      </c>
      <c r="C1" t="s">
        <v>9</v>
      </c>
      <c r="D1" t="s">
        <v>120</v>
      </c>
      <c r="E1" t="s">
        <v>59</v>
      </c>
      <c r="F1" t="s">
        <v>121</v>
      </c>
      <c r="G1" t="s">
        <v>122</v>
      </c>
      <c r="H1" t="s">
        <v>253</v>
      </c>
      <c r="I1" t="s">
        <v>137</v>
      </c>
      <c r="J1" t="s">
        <v>138</v>
      </c>
      <c r="K1" t="s">
        <v>208</v>
      </c>
    </row>
    <row r="2" spans="1:11" x14ac:dyDescent="0.25">
      <c r="A2" s="2" t="s">
        <v>1</v>
      </c>
      <c r="B2" t="s">
        <v>126</v>
      </c>
      <c r="C2" t="s">
        <v>127</v>
      </c>
      <c r="F2" t="s">
        <v>53</v>
      </c>
      <c r="H2" t="s">
        <v>254</v>
      </c>
      <c r="J2" t="s">
        <v>139</v>
      </c>
      <c r="K2" t="s">
        <v>209</v>
      </c>
    </row>
    <row r="3" spans="1:11" x14ac:dyDescent="0.25">
      <c r="A3" s="2" t="s">
        <v>2</v>
      </c>
      <c r="H3" t="s">
        <v>128</v>
      </c>
    </row>
    <row r="4" spans="1:11" x14ac:dyDescent="0.25">
      <c r="A4" t="s">
        <v>3</v>
      </c>
      <c r="B4" s="38">
        <v>0</v>
      </c>
      <c r="C4" s="38">
        <v>1.5</v>
      </c>
      <c r="D4" s="38">
        <v>0.1</v>
      </c>
      <c r="E4" t="s">
        <v>103</v>
      </c>
      <c r="F4">
        <v>0.3</v>
      </c>
      <c r="G4" t="s">
        <v>184</v>
      </c>
      <c r="H4" s="21">
        <v>0.01</v>
      </c>
      <c r="I4" s="21">
        <v>0.02</v>
      </c>
      <c r="J4" s="21">
        <v>7.0000000000000001E-3</v>
      </c>
    </row>
    <row r="5" spans="1:11" hidden="1" x14ac:dyDescent="0.25">
      <c r="A5" t="s">
        <v>55</v>
      </c>
      <c r="B5" s="38">
        <v>0.66700000000000004</v>
      </c>
      <c r="C5" s="38">
        <v>0</v>
      </c>
      <c r="D5" s="38">
        <v>0</v>
      </c>
      <c r="E5" t="s">
        <v>103</v>
      </c>
      <c r="F5">
        <v>0</v>
      </c>
      <c r="G5" t="s">
        <v>184</v>
      </c>
      <c r="H5" s="21">
        <v>0</v>
      </c>
      <c r="I5" s="21"/>
      <c r="J5" s="21"/>
    </row>
    <row r="6" spans="1:11" hidden="1" x14ac:dyDescent="0.25">
      <c r="A6" t="s">
        <v>124</v>
      </c>
      <c r="B6" s="38">
        <v>0.45500000000000002</v>
      </c>
      <c r="C6" s="38">
        <v>0</v>
      </c>
      <c r="D6" s="38">
        <v>0</v>
      </c>
      <c r="E6" t="s">
        <v>103</v>
      </c>
      <c r="F6">
        <v>0</v>
      </c>
      <c r="G6" t="s">
        <v>184</v>
      </c>
      <c r="H6" s="21">
        <v>0</v>
      </c>
      <c r="I6" s="21"/>
      <c r="J6" s="21"/>
    </row>
    <row r="7" spans="1:11" hidden="1" x14ac:dyDescent="0.25">
      <c r="A7" t="s">
        <v>125</v>
      </c>
      <c r="B7" s="38">
        <v>0.66700000000000004</v>
      </c>
      <c r="C7" s="38">
        <v>0</v>
      </c>
      <c r="D7" s="38">
        <v>0</v>
      </c>
      <c r="E7" t="s">
        <v>103</v>
      </c>
      <c r="F7">
        <v>0</v>
      </c>
      <c r="G7" t="s">
        <v>184</v>
      </c>
      <c r="H7" s="21">
        <v>0</v>
      </c>
      <c r="I7" s="21"/>
      <c r="J7" s="21"/>
    </row>
    <row r="8" spans="1:11" hidden="1" x14ac:dyDescent="0.25">
      <c r="A8" t="s">
        <v>143</v>
      </c>
      <c r="B8" s="38">
        <v>0</v>
      </c>
      <c r="C8" s="38">
        <v>1.44</v>
      </c>
      <c r="D8" s="38">
        <v>0</v>
      </c>
      <c r="E8" t="s">
        <v>103</v>
      </c>
      <c r="F8">
        <v>0</v>
      </c>
      <c r="G8" t="s">
        <v>184</v>
      </c>
      <c r="H8" s="21">
        <v>0</v>
      </c>
      <c r="I8" s="21">
        <v>0</v>
      </c>
      <c r="J8" s="21"/>
    </row>
    <row r="9" spans="1:11" hidden="1" x14ac:dyDescent="0.25">
      <c r="A9" t="s">
        <v>144</v>
      </c>
      <c r="B9" s="38">
        <v>0</v>
      </c>
      <c r="C9" s="38">
        <v>1.454</v>
      </c>
      <c r="D9" s="38">
        <v>3.0000000000000001E-3</v>
      </c>
      <c r="E9" t="s">
        <v>103</v>
      </c>
      <c r="F9">
        <v>0</v>
      </c>
      <c r="G9" t="s">
        <v>184</v>
      </c>
      <c r="H9" s="21">
        <v>0</v>
      </c>
      <c r="I9" s="21">
        <v>2.5000000000000001E-2</v>
      </c>
      <c r="J9" s="21"/>
    </row>
    <row r="10" spans="1:11" hidden="1" x14ac:dyDescent="0.25">
      <c r="A10" t="s">
        <v>141</v>
      </c>
      <c r="B10" s="38">
        <v>0</v>
      </c>
      <c r="C10" s="38">
        <v>1.98</v>
      </c>
      <c r="D10" s="38">
        <v>0.01</v>
      </c>
      <c r="E10" t="s">
        <v>103</v>
      </c>
      <c r="F10">
        <v>0</v>
      </c>
      <c r="G10" t="s">
        <v>184</v>
      </c>
      <c r="H10" s="21">
        <v>0</v>
      </c>
      <c r="I10" s="21">
        <v>0.04</v>
      </c>
      <c r="J10" s="21"/>
    </row>
    <row r="11" spans="1:11" hidden="1" x14ac:dyDescent="0.25">
      <c r="A11" t="s">
        <v>130</v>
      </c>
      <c r="B11" s="38"/>
      <c r="C11" s="38">
        <v>2</v>
      </c>
      <c r="D11" s="38">
        <v>0.01</v>
      </c>
      <c r="E11" t="s">
        <v>103</v>
      </c>
      <c r="F11">
        <v>0</v>
      </c>
      <c r="G11" t="s">
        <v>184</v>
      </c>
      <c r="H11" s="21">
        <v>0</v>
      </c>
      <c r="I11" s="21">
        <v>0.65</v>
      </c>
      <c r="J11" s="21">
        <f>30*Ref!C$12</f>
        <v>4.2828767734451677E-2</v>
      </c>
    </row>
    <row r="12" spans="1:11" hidden="1" x14ac:dyDescent="0.25">
      <c r="A12" t="s">
        <v>123</v>
      </c>
      <c r="B12" s="38">
        <v>0</v>
      </c>
      <c r="C12" s="38">
        <v>1.454</v>
      </c>
      <c r="D12" s="38">
        <v>3.0000000000000001E-3</v>
      </c>
      <c r="E12" t="s">
        <v>103</v>
      </c>
      <c r="F12">
        <v>0</v>
      </c>
      <c r="G12" t="s">
        <v>184</v>
      </c>
      <c r="H12" s="21">
        <v>0</v>
      </c>
      <c r="I12" s="21">
        <v>2.5000000000000001E-2</v>
      </c>
      <c r="J12" s="21">
        <f>5*Ref!C$12</f>
        <v>7.1381279557419458E-3</v>
      </c>
    </row>
    <row r="13" spans="1:11" hidden="1" x14ac:dyDescent="0.25">
      <c r="A13" t="s">
        <v>131</v>
      </c>
      <c r="B13" s="38">
        <v>0</v>
      </c>
      <c r="C13" s="38">
        <v>1.33</v>
      </c>
      <c r="D13" s="38">
        <v>0</v>
      </c>
      <c r="E13" t="s">
        <v>108</v>
      </c>
      <c r="F13">
        <v>0</v>
      </c>
      <c r="G13" t="s">
        <v>184</v>
      </c>
      <c r="H13" s="21">
        <v>0</v>
      </c>
      <c r="I13" s="21"/>
      <c r="J13" s="21"/>
    </row>
    <row r="14" spans="1:11" hidden="1" x14ac:dyDescent="0.25">
      <c r="A14" t="s">
        <v>133</v>
      </c>
      <c r="B14" s="38">
        <v>0</v>
      </c>
      <c r="C14" s="38">
        <v>1.71</v>
      </c>
      <c r="D14" s="38">
        <f>0.18/47.1</f>
        <v>3.8216560509554136E-3</v>
      </c>
      <c r="E14" t="s">
        <v>108</v>
      </c>
      <c r="F14">
        <v>0</v>
      </c>
      <c r="G14" t="s">
        <v>184</v>
      </c>
      <c r="H14" s="21">
        <v>0</v>
      </c>
      <c r="I14" s="21"/>
      <c r="J14" s="21"/>
    </row>
    <row r="15" spans="1:11" hidden="1" x14ac:dyDescent="0.25">
      <c r="A15" t="s">
        <v>140</v>
      </c>
      <c r="B15" s="38">
        <v>0</v>
      </c>
      <c r="C15" s="38">
        <v>1.65</v>
      </c>
      <c r="D15" s="38">
        <f>0.51/47.1</f>
        <v>1.0828025477707006E-2</v>
      </c>
      <c r="E15" t="s">
        <v>108</v>
      </c>
      <c r="F15">
        <v>0</v>
      </c>
      <c r="G15" t="s">
        <v>184</v>
      </c>
      <c r="H15" s="21">
        <v>0</v>
      </c>
      <c r="I15" s="21"/>
      <c r="J15" s="21"/>
    </row>
    <row r="16" spans="1:11" hidden="1" x14ac:dyDescent="0.25">
      <c r="A16" t="s">
        <v>142</v>
      </c>
      <c r="B16" s="38">
        <v>0</v>
      </c>
      <c r="C16" s="38">
        <v>1.44</v>
      </c>
      <c r="D16" s="38">
        <v>0</v>
      </c>
      <c r="E16" t="s">
        <v>108</v>
      </c>
      <c r="F16">
        <v>0</v>
      </c>
      <c r="G16" t="s">
        <v>184</v>
      </c>
      <c r="H16" s="21">
        <v>0</v>
      </c>
      <c r="I16" s="21"/>
      <c r="J16" s="21"/>
    </row>
    <row r="17" spans="1:10" s="48" customFormat="1" ht="15.75" hidden="1" thickBot="1" x14ac:dyDescent="0.3">
      <c r="A17" s="88" t="s">
        <v>167</v>
      </c>
      <c r="B17" s="65"/>
      <c r="C17" s="65"/>
      <c r="D17" s="65">
        <f>0.0008/0.88</f>
        <v>9.0909090909090909E-4</v>
      </c>
      <c r="E17" s="48" t="s">
        <v>170</v>
      </c>
      <c r="H17" s="47"/>
      <c r="I17" s="47">
        <f>0.0038*(56/12)</f>
        <v>1.7733333333333334E-2</v>
      </c>
      <c r="J17" s="47"/>
    </row>
    <row r="18" spans="1:10" s="26" customFormat="1" x14ac:dyDescent="0.25">
      <c r="A18" s="40" t="s">
        <v>237</v>
      </c>
      <c r="B18" s="71">
        <v>0</v>
      </c>
      <c r="C18" s="71">
        <v>2</v>
      </c>
      <c r="D18" s="71">
        <v>0.01</v>
      </c>
      <c r="E18" s="26" t="s">
        <v>103</v>
      </c>
      <c r="F18" s="26">
        <v>0</v>
      </c>
      <c r="G18" s="26" t="s">
        <v>184</v>
      </c>
      <c r="H18" s="27">
        <v>0</v>
      </c>
      <c r="I18" s="27">
        <v>0.65</v>
      </c>
      <c r="J18" s="27">
        <f>30*Ref!C$12</f>
        <v>4.2828767734451677E-2</v>
      </c>
    </row>
    <row r="19" spans="1:10" x14ac:dyDescent="0.25">
      <c r="A19" s="40" t="s">
        <v>145</v>
      </c>
      <c r="B19" s="38">
        <v>0</v>
      </c>
      <c r="C19" s="38">
        <v>1.454</v>
      </c>
      <c r="D19" s="38">
        <v>3.0000000000000001E-3</v>
      </c>
      <c r="E19" t="s">
        <v>103</v>
      </c>
      <c r="F19">
        <v>0</v>
      </c>
      <c r="G19" t="s">
        <v>184</v>
      </c>
      <c r="H19" s="21">
        <v>0</v>
      </c>
      <c r="I19" s="21">
        <v>2.5000000000000001E-2</v>
      </c>
      <c r="J19" s="21">
        <f>5*Ref!C$12</f>
        <v>7.1381279557419458E-3</v>
      </c>
    </row>
    <row r="20" spans="1:10" x14ac:dyDescent="0.25">
      <c r="A20" s="40" t="s">
        <v>146</v>
      </c>
      <c r="B20" s="38">
        <v>0</v>
      </c>
      <c r="C20" s="38">
        <v>1.454</v>
      </c>
      <c r="D20" s="38">
        <v>3.0000000000000001E-3</v>
      </c>
      <c r="E20" t="s">
        <v>103</v>
      </c>
      <c r="F20" s="41">
        <v>1</v>
      </c>
      <c r="G20" t="s">
        <v>184</v>
      </c>
      <c r="H20" s="21">
        <v>0</v>
      </c>
      <c r="I20" s="21">
        <v>2.5000000000000001E-2</v>
      </c>
      <c r="J20" s="21">
        <f>5*Ref!C$12</f>
        <v>7.1381279557419458E-3</v>
      </c>
    </row>
    <row r="21" spans="1:10" x14ac:dyDescent="0.25">
      <c r="A21" s="40" t="s">
        <v>147</v>
      </c>
      <c r="B21" s="38">
        <v>0</v>
      </c>
      <c r="C21" s="38">
        <v>1.4</v>
      </c>
      <c r="D21" s="38">
        <v>3.0000000000000001E-3</v>
      </c>
      <c r="E21" t="s">
        <v>103</v>
      </c>
      <c r="F21" s="41">
        <v>0</v>
      </c>
      <c r="G21" t="s">
        <v>184</v>
      </c>
      <c r="H21" s="21">
        <v>0</v>
      </c>
      <c r="I21" s="21">
        <v>2.5000000000000001E-2</v>
      </c>
      <c r="J21" s="21">
        <f>5*Ref!C$12</f>
        <v>7.1381279557419458E-3</v>
      </c>
    </row>
    <row r="22" spans="1:10" s="48" customFormat="1" ht="15.75" thickBot="1" x14ac:dyDescent="0.3">
      <c r="A22" s="49" t="s">
        <v>148</v>
      </c>
      <c r="B22" s="65">
        <v>0</v>
      </c>
      <c r="C22" s="65">
        <v>1.4</v>
      </c>
      <c r="D22" s="65">
        <v>3.0000000000000001E-3</v>
      </c>
      <c r="E22" s="48" t="s">
        <v>103</v>
      </c>
      <c r="F22" s="50">
        <v>1</v>
      </c>
      <c r="G22" s="48" t="s">
        <v>184</v>
      </c>
      <c r="H22" s="47">
        <v>0</v>
      </c>
      <c r="I22" s="47">
        <v>2.5000000000000001E-2</v>
      </c>
      <c r="J22" s="47">
        <f>5*Ref!C$12</f>
        <v>7.1381279557419458E-3</v>
      </c>
    </row>
    <row r="23" spans="1:10" x14ac:dyDescent="0.25">
      <c r="A23" s="40" t="s">
        <v>239</v>
      </c>
      <c r="B23" s="71">
        <v>0</v>
      </c>
      <c r="C23" s="92">
        <v>2</v>
      </c>
      <c r="D23" s="92">
        <v>0.01</v>
      </c>
      <c r="E23" s="26" t="s">
        <v>103</v>
      </c>
      <c r="F23" s="26">
        <v>0</v>
      </c>
      <c r="G23" s="26" t="s">
        <v>184</v>
      </c>
      <c r="H23" s="27">
        <v>0</v>
      </c>
      <c r="I23" s="93">
        <v>0.65</v>
      </c>
      <c r="J23" s="93">
        <f>30*Ref!C$12</f>
        <v>4.2828767734451677E-2</v>
      </c>
    </row>
    <row r="24" spans="1:10" x14ac:dyDescent="0.25">
      <c r="A24" s="40" t="s">
        <v>149</v>
      </c>
      <c r="B24" s="38">
        <v>0</v>
      </c>
      <c r="C24" s="91">
        <v>1.454</v>
      </c>
      <c r="D24" s="91">
        <v>3.0000000000000001E-3</v>
      </c>
      <c r="E24" t="s">
        <v>103</v>
      </c>
      <c r="F24">
        <v>0</v>
      </c>
      <c r="G24" t="s">
        <v>184</v>
      </c>
      <c r="H24" s="21">
        <v>0</v>
      </c>
      <c r="I24" s="23">
        <v>2.5000000000000001E-2</v>
      </c>
      <c r="J24" s="23">
        <f>5*Ref!C$12</f>
        <v>7.1381279557419458E-3</v>
      </c>
    </row>
    <row r="25" spans="1:10" x14ac:dyDescent="0.25">
      <c r="A25" s="40" t="s">
        <v>150</v>
      </c>
      <c r="B25" s="38">
        <v>0</v>
      </c>
      <c r="C25" s="91">
        <v>1.454</v>
      </c>
      <c r="D25" s="91">
        <v>3.0000000000000001E-3</v>
      </c>
      <c r="E25" t="s">
        <v>103</v>
      </c>
      <c r="F25" s="41">
        <v>1</v>
      </c>
      <c r="G25" t="s">
        <v>184</v>
      </c>
      <c r="H25" s="21">
        <v>0</v>
      </c>
      <c r="I25" s="23">
        <v>2.5000000000000001E-2</v>
      </c>
      <c r="J25" s="23">
        <f>5*Ref!C$12</f>
        <v>7.1381279557419458E-3</v>
      </c>
    </row>
    <row r="26" spans="1:10" x14ac:dyDescent="0.25">
      <c r="A26" s="40" t="s">
        <v>151</v>
      </c>
      <c r="B26" s="38">
        <v>0</v>
      </c>
      <c r="C26" s="91">
        <v>1.4</v>
      </c>
      <c r="D26" s="91">
        <v>3.0000000000000001E-3</v>
      </c>
      <c r="E26" t="s">
        <v>103</v>
      </c>
      <c r="F26" s="41">
        <v>0</v>
      </c>
      <c r="G26" t="s">
        <v>184</v>
      </c>
      <c r="H26" s="21">
        <v>0</v>
      </c>
      <c r="I26" s="23">
        <v>2.5000000000000001E-2</v>
      </c>
      <c r="J26" s="23">
        <f>5*Ref!C$12</f>
        <v>7.1381279557419458E-3</v>
      </c>
    </row>
    <row r="27" spans="1:10" s="48" customFormat="1" ht="15.75" thickBot="1" x14ac:dyDescent="0.3">
      <c r="A27" s="49" t="s">
        <v>152</v>
      </c>
      <c r="B27" s="65">
        <v>0</v>
      </c>
      <c r="C27" s="95">
        <v>1.4</v>
      </c>
      <c r="D27" s="95">
        <v>3.0000000000000001E-3</v>
      </c>
      <c r="E27" s="48" t="s">
        <v>103</v>
      </c>
      <c r="F27" s="50">
        <v>1</v>
      </c>
      <c r="G27" s="48" t="s">
        <v>184</v>
      </c>
      <c r="H27" s="47">
        <v>0</v>
      </c>
      <c r="I27" s="96">
        <v>2.5000000000000001E-2</v>
      </c>
      <c r="J27" s="96">
        <f>5*Ref!C$12</f>
        <v>7.1381279557419458E-3</v>
      </c>
    </row>
    <row r="28" spans="1:10" x14ac:dyDescent="0.25">
      <c r="A28" t="s">
        <v>243</v>
      </c>
      <c r="B28" s="79">
        <v>0</v>
      </c>
      <c r="C28" s="177">
        <f>0.753*3.6</f>
        <v>2.7107999999999999</v>
      </c>
      <c r="D28" s="38">
        <f>1.024/28.2</f>
        <v>3.6312056737588652E-2</v>
      </c>
      <c r="E28" s="42" t="s">
        <v>190</v>
      </c>
      <c r="F28">
        <v>0</v>
      </c>
      <c r="G28" t="s">
        <v>184</v>
      </c>
      <c r="H28" s="45">
        <v>1</v>
      </c>
      <c r="I28" s="176">
        <v>7.4999999999999997E-2</v>
      </c>
      <c r="J28">
        <v>0.05</v>
      </c>
    </row>
    <row r="29" spans="1:10" x14ac:dyDescent="0.25">
      <c r="A29" t="s">
        <v>244</v>
      </c>
      <c r="B29" s="79">
        <v>0</v>
      </c>
      <c r="C29" s="177">
        <f>0.753*3.6</f>
        <v>2.7107999999999999</v>
      </c>
      <c r="D29" s="38">
        <f>1.024/28.2</f>
        <v>3.6312056737588652E-2</v>
      </c>
      <c r="E29" s="42" t="s">
        <v>190</v>
      </c>
      <c r="F29" s="41">
        <v>0</v>
      </c>
      <c r="G29" t="s">
        <v>184</v>
      </c>
      <c r="H29" s="45">
        <v>1</v>
      </c>
      <c r="I29" s="176">
        <v>7.4999999999999997E-2</v>
      </c>
      <c r="J29">
        <v>0.05</v>
      </c>
    </row>
    <row r="30" spans="1:10" s="48" customFormat="1" ht="15.75" thickBot="1" x14ac:dyDescent="0.3">
      <c r="A30" s="48" t="s">
        <v>252</v>
      </c>
      <c r="B30" s="80">
        <v>0</v>
      </c>
      <c r="C30" s="178">
        <f>0.753*3.6</f>
        <v>2.7107999999999999</v>
      </c>
      <c r="D30" s="65">
        <f>1.024/28.2</f>
        <v>3.6312056737588652E-2</v>
      </c>
      <c r="E30" s="170" t="s">
        <v>190</v>
      </c>
      <c r="F30" s="50">
        <v>1</v>
      </c>
      <c r="G30" s="48" t="s">
        <v>184</v>
      </c>
      <c r="H30" s="64">
        <v>1</v>
      </c>
      <c r="I30" s="179">
        <v>7.4999999999999997E-2</v>
      </c>
      <c r="J30" s="48"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3" workbookViewId="0">
      <selection activeCell="F52" sqref="F52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59</v>
      </c>
      <c r="C1" s="20" t="s">
        <v>12</v>
      </c>
      <c r="D1" s="20" t="s">
        <v>60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85" customFormat="1" x14ac:dyDescent="0.25">
      <c r="A4" s="85" t="s">
        <v>3</v>
      </c>
      <c r="B4" s="26" t="s">
        <v>105</v>
      </c>
      <c r="C4" s="87" t="s">
        <v>184</v>
      </c>
      <c r="D4" s="87" t="s">
        <v>67</v>
      </c>
    </row>
    <row r="5" spans="1:4" hidden="1" x14ac:dyDescent="0.25">
      <c r="A5" t="s">
        <v>55</v>
      </c>
      <c r="B5" s="37" t="s">
        <v>65</v>
      </c>
      <c r="C5" s="22" t="s">
        <v>184</v>
      </c>
      <c r="D5" s="22" t="s">
        <v>67</v>
      </c>
    </row>
    <row r="6" spans="1:4" hidden="1" x14ac:dyDescent="0.25">
      <c r="A6" t="s">
        <v>98</v>
      </c>
      <c r="B6" s="37" t="s">
        <v>65</v>
      </c>
      <c r="C6" s="22" t="s">
        <v>184</v>
      </c>
      <c r="D6" s="22" t="s">
        <v>67</v>
      </c>
    </row>
    <row r="7" spans="1:4" hidden="1" x14ac:dyDescent="0.25">
      <c r="A7" t="s">
        <v>99</v>
      </c>
      <c r="B7" s="37" t="s">
        <v>65</v>
      </c>
      <c r="C7" s="22" t="s">
        <v>184</v>
      </c>
      <c r="D7" s="22" t="s">
        <v>67</v>
      </c>
    </row>
    <row r="8" spans="1:4" hidden="1" x14ac:dyDescent="0.25">
      <c r="A8" t="s">
        <v>100</v>
      </c>
      <c r="B8" s="37" t="s">
        <v>65</v>
      </c>
      <c r="C8" s="22" t="s">
        <v>184</v>
      </c>
      <c r="D8" s="22" t="s">
        <v>67</v>
      </c>
    </row>
    <row r="9" spans="1:4" hidden="1" x14ac:dyDescent="0.25">
      <c r="A9" t="s">
        <v>101</v>
      </c>
      <c r="B9" s="37" t="s">
        <v>65</v>
      </c>
      <c r="C9" s="22" t="s">
        <v>184</v>
      </c>
      <c r="D9" s="22" t="s">
        <v>67</v>
      </c>
    </row>
    <row r="10" spans="1:4" hidden="1" x14ac:dyDescent="0.25">
      <c r="A10" t="s">
        <v>102</v>
      </c>
      <c r="B10" s="37" t="s">
        <v>65</v>
      </c>
      <c r="C10" s="22" t="s">
        <v>184</v>
      </c>
      <c r="D10" s="22" t="s">
        <v>67</v>
      </c>
    </row>
    <row r="11" spans="1:4" ht="30" hidden="1" x14ac:dyDescent="0.25">
      <c r="A11" t="s">
        <v>113</v>
      </c>
      <c r="B11" s="37" t="s">
        <v>105</v>
      </c>
      <c r="C11" s="22" t="s">
        <v>184</v>
      </c>
      <c r="D11" s="22" t="s">
        <v>67</v>
      </c>
    </row>
    <row r="12" spans="1:4" ht="30" hidden="1" x14ac:dyDescent="0.25">
      <c r="A12" t="s">
        <v>114</v>
      </c>
      <c r="B12" s="37" t="s">
        <v>105</v>
      </c>
      <c r="C12" s="22" t="s">
        <v>184</v>
      </c>
      <c r="D12" s="22" t="s">
        <v>67</v>
      </c>
    </row>
    <row r="13" spans="1:4" ht="30" hidden="1" x14ac:dyDescent="0.25">
      <c r="A13" t="s">
        <v>115</v>
      </c>
      <c r="B13" s="37" t="s">
        <v>105</v>
      </c>
      <c r="C13" s="22" t="s">
        <v>184</v>
      </c>
      <c r="D13" s="22" t="s">
        <v>67</v>
      </c>
    </row>
    <row r="14" spans="1:4" ht="30" hidden="1" x14ac:dyDescent="0.25">
      <c r="A14" t="s">
        <v>116</v>
      </c>
      <c r="B14" s="37" t="s">
        <v>105</v>
      </c>
      <c r="C14" s="22" t="s">
        <v>184</v>
      </c>
      <c r="D14" s="22" t="s">
        <v>67</v>
      </c>
    </row>
    <row r="15" spans="1:4" hidden="1" x14ac:dyDescent="0.25">
      <c r="A15" t="s">
        <v>129</v>
      </c>
      <c r="B15" s="37" t="s">
        <v>65</v>
      </c>
      <c r="C15" s="22" t="s">
        <v>184</v>
      </c>
      <c r="D15" s="22" t="s">
        <v>67</v>
      </c>
    </row>
    <row r="16" spans="1:4" hidden="1" x14ac:dyDescent="0.25">
      <c r="A16" t="s">
        <v>135</v>
      </c>
      <c r="B16" s="37" t="s">
        <v>65</v>
      </c>
      <c r="C16" s="22" t="s">
        <v>184</v>
      </c>
      <c r="D16" s="22" t="s">
        <v>67</v>
      </c>
    </row>
    <row r="17" spans="1:4" hidden="1" x14ac:dyDescent="0.25">
      <c r="A17" t="s">
        <v>130</v>
      </c>
      <c r="B17" s="37" t="s">
        <v>65</v>
      </c>
      <c r="C17" s="22" t="s">
        <v>184</v>
      </c>
      <c r="D17" s="22" t="s">
        <v>67</v>
      </c>
    </row>
    <row r="18" spans="1:4" hidden="1" x14ac:dyDescent="0.25">
      <c r="A18" t="s">
        <v>123</v>
      </c>
      <c r="B18" s="37" t="s">
        <v>65</v>
      </c>
      <c r="C18" s="22" t="s">
        <v>184</v>
      </c>
      <c r="D18" s="22" t="s">
        <v>67</v>
      </c>
    </row>
    <row r="19" spans="1:4" hidden="1" x14ac:dyDescent="0.25">
      <c r="A19" t="s">
        <v>131</v>
      </c>
      <c r="B19" s="37" t="s">
        <v>65</v>
      </c>
      <c r="C19" s="22" t="s">
        <v>184</v>
      </c>
      <c r="D19" s="22" t="s">
        <v>67</v>
      </c>
    </row>
    <row r="20" spans="1:4" hidden="1" x14ac:dyDescent="0.25">
      <c r="A20" t="s">
        <v>133</v>
      </c>
      <c r="B20" s="37" t="s">
        <v>65</v>
      </c>
      <c r="C20" s="22" t="s">
        <v>184</v>
      </c>
      <c r="D20" s="22" t="s">
        <v>67</v>
      </c>
    </row>
    <row r="21" spans="1:4" hidden="1" x14ac:dyDescent="0.25">
      <c r="A21" t="s">
        <v>143</v>
      </c>
      <c r="B21" s="37" t="s">
        <v>65</v>
      </c>
      <c r="C21" s="22" t="s">
        <v>184</v>
      </c>
      <c r="D21" s="22" t="s">
        <v>67</v>
      </c>
    </row>
    <row r="22" spans="1:4" hidden="1" x14ac:dyDescent="0.25">
      <c r="A22" t="s">
        <v>144</v>
      </c>
      <c r="B22" s="37" t="s">
        <v>65</v>
      </c>
      <c r="C22" s="22" t="s">
        <v>184</v>
      </c>
      <c r="D22" s="22" t="s">
        <v>67</v>
      </c>
    </row>
    <row r="23" spans="1:4" s="85" customFormat="1" hidden="1" x14ac:dyDescent="0.25">
      <c r="A23" s="85" t="s">
        <v>141</v>
      </c>
      <c r="B23" s="86" t="s">
        <v>65</v>
      </c>
      <c r="C23" s="87" t="s">
        <v>184</v>
      </c>
      <c r="D23" s="87" t="s">
        <v>67</v>
      </c>
    </row>
    <row r="24" spans="1:4" s="1" customFormat="1" x14ac:dyDescent="0.25">
      <c r="A24" s="52" t="s">
        <v>213</v>
      </c>
      <c r="B24" s="157" t="s">
        <v>105</v>
      </c>
      <c r="C24" s="158" t="s">
        <v>184</v>
      </c>
      <c r="D24" s="158" t="s">
        <v>67</v>
      </c>
    </row>
    <row r="25" spans="1:4" x14ac:dyDescent="0.25">
      <c r="A25" s="40" t="s">
        <v>214</v>
      </c>
      <c r="B25" s="159" t="str">
        <f>B24</f>
        <v>coal coking - IPCC</v>
      </c>
      <c r="C25" s="159" t="s">
        <v>184</v>
      </c>
      <c r="D25" s="159" t="s">
        <v>67</v>
      </c>
    </row>
    <row r="26" spans="1:4" x14ac:dyDescent="0.25">
      <c r="A26" s="40" t="s">
        <v>215</v>
      </c>
      <c r="B26" s="159" t="str">
        <f>B24</f>
        <v>coal coking - IPCC</v>
      </c>
      <c r="C26" s="159" t="s">
        <v>184</v>
      </c>
      <c r="D26" s="159" t="s">
        <v>67</v>
      </c>
    </row>
    <row r="27" spans="1:4" s="48" customFormat="1" ht="15.75" thickBot="1" x14ac:dyDescent="0.3">
      <c r="A27" s="49" t="s">
        <v>216</v>
      </c>
      <c r="B27" s="160" t="str">
        <f>B24</f>
        <v>coal coking - IPCC</v>
      </c>
      <c r="C27" s="160" t="s">
        <v>184</v>
      </c>
      <c r="D27" s="160" t="s">
        <v>67</v>
      </c>
    </row>
    <row r="28" spans="1:4" s="1" customFormat="1" x14ac:dyDescent="0.25">
      <c r="A28" s="52" t="s">
        <v>217</v>
      </c>
      <c r="B28" s="157" t="s">
        <v>105</v>
      </c>
      <c r="C28" s="158" t="s">
        <v>184</v>
      </c>
      <c r="D28" s="158" t="s">
        <v>67</v>
      </c>
    </row>
    <row r="29" spans="1:4" x14ac:dyDescent="0.25">
      <c r="A29" s="40" t="s">
        <v>218</v>
      </c>
      <c r="B29" s="159" t="str">
        <f>B28</f>
        <v>coal coking - IPCC</v>
      </c>
      <c r="C29" s="159" t="s">
        <v>184</v>
      </c>
      <c r="D29" s="159" t="s">
        <v>67</v>
      </c>
    </row>
    <row r="30" spans="1:4" x14ac:dyDescent="0.25">
      <c r="A30" s="40" t="s">
        <v>219</v>
      </c>
      <c r="B30" s="159" t="str">
        <f>B28</f>
        <v>coal coking - IPCC</v>
      </c>
      <c r="C30" s="159" t="s">
        <v>184</v>
      </c>
      <c r="D30" s="159" t="s">
        <v>67</v>
      </c>
    </row>
    <row r="31" spans="1:4" s="48" customFormat="1" ht="15.75" thickBot="1" x14ac:dyDescent="0.3">
      <c r="A31" s="49" t="s">
        <v>220</v>
      </c>
      <c r="B31" s="160" t="str">
        <f>B28</f>
        <v>coal coking - IPCC</v>
      </c>
      <c r="C31" s="160" t="s">
        <v>184</v>
      </c>
      <c r="D31" s="160" t="s">
        <v>67</v>
      </c>
    </row>
    <row r="32" spans="1:4" s="1" customFormat="1" x14ac:dyDescent="0.25">
      <c r="A32" s="52" t="s">
        <v>221</v>
      </c>
      <c r="B32" s="157" t="s">
        <v>105</v>
      </c>
      <c r="C32" s="158" t="s">
        <v>184</v>
      </c>
      <c r="D32" s="158" t="s">
        <v>67</v>
      </c>
    </row>
    <row r="33" spans="1:4" x14ac:dyDescent="0.25">
      <c r="A33" s="40" t="s">
        <v>222</v>
      </c>
      <c r="B33" s="159" t="str">
        <f>B32</f>
        <v>coal coking - IPCC</v>
      </c>
      <c r="C33" s="159" t="s">
        <v>184</v>
      </c>
      <c r="D33" s="159" t="s">
        <v>67</v>
      </c>
    </row>
    <row r="34" spans="1:4" x14ac:dyDescent="0.25">
      <c r="A34" s="40" t="s">
        <v>223</v>
      </c>
      <c r="B34" s="159" t="str">
        <f>B32</f>
        <v>coal coking - IPCC</v>
      </c>
      <c r="C34" s="159" t="s">
        <v>184</v>
      </c>
      <c r="D34" s="159" t="s">
        <v>67</v>
      </c>
    </row>
    <row r="35" spans="1:4" s="48" customFormat="1" ht="15.75" thickBot="1" x14ac:dyDescent="0.3">
      <c r="A35" s="49" t="s">
        <v>224</v>
      </c>
      <c r="B35" s="160" t="str">
        <f>B32</f>
        <v>coal coking - IPCC</v>
      </c>
      <c r="C35" s="160" t="s">
        <v>184</v>
      </c>
      <c r="D35" s="160" t="s">
        <v>67</v>
      </c>
    </row>
    <row r="36" spans="1:4" s="1" customFormat="1" x14ac:dyDescent="0.25">
      <c r="A36" s="52" t="s">
        <v>225</v>
      </c>
      <c r="B36" s="157" t="s">
        <v>105</v>
      </c>
      <c r="C36" s="158" t="s">
        <v>184</v>
      </c>
      <c r="D36" s="158" t="s">
        <v>67</v>
      </c>
    </row>
    <row r="37" spans="1:4" x14ac:dyDescent="0.25">
      <c r="A37" s="40" t="s">
        <v>226</v>
      </c>
      <c r="B37" s="159" t="str">
        <f>B36</f>
        <v>coal coking - IPCC</v>
      </c>
      <c r="C37" s="159" t="s">
        <v>184</v>
      </c>
      <c r="D37" s="159" t="s">
        <v>67</v>
      </c>
    </row>
    <row r="38" spans="1:4" x14ac:dyDescent="0.25">
      <c r="A38" s="40" t="s">
        <v>227</v>
      </c>
      <c r="B38" s="159" t="str">
        <f>B36</f>
        <v>coal coking - IPCC</v>
      </c>
      <c r="C38" s="159" t="s">
        <v>184</v>
      </c>
      <c r="D38" s="159" t="s">
        <v>67</v>
      </c>
    </row>
    <row r="39" spans="1:4" s="48" customFormat="1" ht="15.75" thickBot="1" x14ac:dyDescent="0.3">
      <c r="A39" s="49" t="s">
        <v>228</v>
      </c>
      <c r="B39" s="160" t="str">
        <f>B36</f>
        <v>coal coking - IPCC</v>
      </c>
      <c r="C39" s="160" t="s">
        <v>184</v>
      </c>
      <c r="D39" s="160" t="s">
        <v>67</v>
      </c>
    </row>
    <row r="40" spans="1:4" s="1" customFormat="1" x14ac:dyDescent="0.25">
      <c r="A40" s="52" t="s">
        <v>229</v>
      </c>
      <c r="B40" s="157" t="s">
        <v>105</v>
      </c>
      <c r="C40" s="158" t="s">
        <v>184</v>
      </c>
      <c r="D40" s="158" t="s">
        <v>67</v>
      </c>
    </row>
    <row r="41" spans="1:4" x14ac:dyDescent="0.25">
      <c r="A41" s="40" t="s">
        <v>230</v>
      </c>
      <c r="B41" s="159" t="str">
        <f>B40</f>
        <v>coal coking - IPCC</v>
      </c>
      <c r="C41" s="159" t="s">
        <v>184</v>
      </c>
      <c r="D41" s="159" t="s">
        <v>67</v>
      </c>
    </row>
    <row r="42" spans="1:4" x14ac:dyDescent="0.25">
      <c r="A42" s="40" t="s">
        <v>231</v>
      </c>
      <c r="B42" s="159" t="str">
        <f>B40</f>
        <v>coal coking - IPCC</v>
      </c>
      <c r="C42" s="159" t="s">
        <v>184</v>
      </c>
      <c r="D42" s="159" t="s">
        <v>67</v>
      </c>
    </row>
    <row r="43" spans="1:4" s="48" customFormat="1" ht="15.75" thickBot="1" x14ac:dyDescent="0.3">
      <c r="A43" s="49" t="s">
        <v>232</v>
      </c>
      <c r="B43" s="160" t="str">
        <f>B40</f>
        <v>coal coking - IPCC</v>
      </c>
      <c r="C43" s="160" t="s">
        <v>184</v>
      </c>
      <c r="D43" s="160" t="s">
        <v>67</v>
      </c>
    </row>
    <row r="44" spans="1:4" s="1" customFormat="1" x14ac:dyDescent="0.25">
      <c r="A44" s="52" t="s">
        <v>233</v>
      </c>
      <c r="B44" s="157" t="s">
        <v>105</v>
      </c>
      <c r="C44" s="158" t="s">
        <v>184</v>
      </c>
      <c r="D44" s="158" t="s">
        <v>67</v>
      </c>
    </row>
    <row r="45" spans="1:4" x14ac:dyDescent="0.25">
      <c r="A45" s="40" t="s">
        <v>234</v>
      </c>
      <c r="B45" s="159" t="str">
        <f>B44</f>
        <v>coal coking - IPCC</v>
      </c>
      <c r="C45" s="159" t="s">
        <v>184</v>
      </c>
      <c r="D45" s="159" t="s">
        <v>67</v>
      </c>
    </row>
    <row r="46" spans="1:4" x14ac:dyDescent="0.25">
      <c r="A46" s="40" t="s">
        <v>235</v>
      </c>
      <c r="B46" s="159" t="str">
        <f>B44</f>
        <v>coal coking - IPCC</v>
      </c>
      <c r="C46" s="159" t="s">
        <v>184</v>
      </c>
      <c r="D46" s="159" t="s">
        <v>67</v>
      </c>
    </row>
    <row r="47" spans="1:4" s="48" customFormat="1" ht="15.75" thickBot="1" x14ac:dyDescent="0.3">
      <c r="A47" s="49" t="s">
        <v>236</v>
      </c>
      <c r="B47" s="160" t="str">
        <f>B44</f>
        <v>coal coking - IPCC</v>
      </c>
      <c r="C47" s="160" t="s">
        <v>184</v>
      </c>
      <c r="D47" s="160" t="s">
        <v>67</v>
      </c>
    </row>
    <row r="48" spans="1:4" x14ac:dyDescent="0.25">
      <c r="A48" s="53" t="s">
        <v>191</v>
      </c>
      <c r="B48" s="157" t="s">
        <v>105</v>
      </c>
      <c r="C48" s="158" t="s">
        <v>184</v>
      </c>
      <c r="D48" s="158" t="s">
        <v>67</v>
      </c>
    </row>
    <row r="49" spans="1:4" x14ac:dyDescent="0.25">
      <c r="A49" s="116" t="s">
        <v>192</v>
      </c>
      <c r="B49" s="159" t="str">
        <f>B48</f>
        <v>coal coking - IPCC</v>
      </c>
      <c r="C49" s="159" t="s">
        <v>184</v>
      </c>
      <c r="D49" s="159" t="s">
        <v>67</v>
      </c>
    </row>
    <row r="50" spans="1:4" x14ac:dyDescent="0.25">
      <c r="A50" s="116" t="s">
        <v>193</v>
      </c>
      <c r="B50" s="159" t="str">
        <f>B48</f>
        <v>coal coking - IPCC</v>
      </c>
      <c r="C50" s="159" t="s">
        <v>184</v>
      </c>
      <c r="D50" s="159" t="s">
        <v>67</v>
      </c>
    </row>
    <row r="51" spans="1:4" s="48" customFormat="1" ht="15.75" thickBot="1" x14ac:dyDescent="0.3">
      <c r="A51" s="145" t="s">
        <v>194</v>
      </c>
      <c r="B51" s="160" t="str">
        <f>B48</f>
        <v>coal coking - IPCC</v>
      </c>
      <c r="C51" s="160" t="s">
        <v>184</v>
      </c>
      <c r="D51" s="160" t="s">
        <v>67</v>
      </c>
    </row>
    <row r="52" spans="1:4" x14ac:dyDescent="0.25">
      <c r="A52" s="52" t="s">
        <v>195</v>
      </c>
      <c r="B52" s="157" t="s">
        <v>105</v>
      </c>
      <c r="C52" s="158" t="s">
        <v>184</v>
      </c>
      <c r="D52" s="158" t="s">
        <v>67</v>
      </c>
    </row>
    <row r="53" spans="1:4" x14ac:dyDescent="0.25">
      <c r="A53" s="136" t="s">
        <v>197</v>
      </c>
      <c r="B53" s="159" t="str">
        <f>B52</f>
        <v>coal coking - IPCC</v>
      </c>
      <c r="C53" s="159" t="s">
        <v>184</v>
      </c>
      <c r="D53" s="159" t="s">
        <v>67</v>
      </c>
    </row>
    <row r="54" spans="1:4" x14ac:dyDescent="0.25">
      <c r="A54" s="116" t="s">
        <v>196</v>
      </c>
      <c r="B54" s="159" t="str">
        <f>B52</f>
        <v>coal coking - IPCC</v>
      </c>
      <c r="C54" s="159" t="s">
        <v>184</v>
      </c>
      <c r="D54" s="159" t="s">
        <v>67</v>
      </c>
    </row>
    <row r="55" spans="1:4" s="48" customFormat="1" ht="15.75" thickBot="1" x14ac:dyDescent="0.3">
      <c r="A55" s="145" t="s">
        <v>198</v>
      </c>
      <c r="B55" s="160" t="str">
        <f>B52</f>
        <v>coal coking - IPCC</v>
      </c>
      <c r="C55" s="160" t="s">
        <v>184</v>
      </c>
      <c r="D55" s="160" t="s">
        <v>67</v>
      </c>
    </row>
    <row r="56" spans="1:4" x14ac:dyDescent="0.25">
      <c r="A56" s="116" t="s">
        <v>199</v>
      </c>
      <c r="B56" s="157" t="s">
        <v>105</v>
      </c>
      <c r="C56" s="158" t="s">
        <v>184</v>
      </c>
      <c r="D56" s="158" t="s">
        <v>67</v>
      </c>
    </row>
    <row r="57" spans="1:4" x14ac:dyDescent="0.25">
      <c r="A57" s="116" t="s">
        <v>200</v>
      </c>
      <c r="B57" s="159" t="str">
        <f>B56</f>
        <v>coal coking - IPCC</v>
      </c>
      <c r="C57" s="159" t="s">
        <v>184</v>
      </c>
      <c r="D57" s="159" t="s">
        <v>67</v>
      </c>
    </row>
    <row r="58" spans="1:4" x14ac:dyDescent="0.25">
      <c r="A58" s="116" t="s">
        <v>201</v>
      </c>
      <c r="B58" s="159" t="str">
        <f>B56</f>
        <v>coal coking - IPCC</v>
      </c>
      <c r="C58" s="159" t="s">
        <v>184</v>
      </c>
      <c r="D58" s="159" t="s">
        <v>67</v>
      </c>
    </row>
    <row r="59" spans="1:4" s="48" customFormat="1" ht="15.75" thickBot="1" x14ac:dyDescent="0.3">
      <c r="A59" s="145" t="s">
        <v>202</v>
      </c>
      <c r="B59" s="160" t="str">
        <f>B56</f>
        <v>coal coking - IPCC</v>
      </c>
      <c r="C59" s="160" t="s">
        <v>184</v>
      </c>
      <c r="D59" s="160" t="s">
        <v>67</v>
      </c>
    </row>
    <row r="60" spans="1:4" x14ac:dyDescent="0.25">
      <c r="A60" s="144" t="s">
        <v>204</v>
      </c>
      <c r="B60" s="157" t="s">
        <v>105</v>
      </c>
      <c r="C60" s="158" t="s">
        <v>184</v>
      </c>
      <c r="D60" s="158" t="s">
        <v>67</v>
      </c>
    </row>
    <row r="61" spans="1:4" x14ac:dyDescent="0.25">
      <c r="A61" s="116" t="s">
        <v>205</v>
      </c>
      <c r="B61" s="159" t="str">
        <f>B60</f>
        <v>coal coking - IPCC</v>
      </c>
      <c r="C61" s="159" t="s">
        <v>184</v>
      </c>
      <c r="D61" s="159" t="s">
        <v>67</v>
      </c>
    </row>
    <row r="62" spans="1:4" x14ac:dyDescent="0.25">
      <c r="A62" s="116" t="s">
        <v>241</v>
      </c>
      <c r="B62" s="159" t="str">
        <f>B60</f>
        <v>coal coking - IPCC</v>
      </c>
      <c r="C62" s="159" t="s">
        <v>184</v>
      </c>
      <c r="D62" s="159" t="s">
        <v>67</v>
      </c>
    </row>
    <row r="63" spans="1:4" s="48" customFormat="1" ht="15.75" thickBot="1" x14ac:dyDescent="0.3">
      <c r="A63" s="145" t="s">
        <v>206</v>
      </c>
      <c r="B63" s="160" t="str">
        <f>B60</f>
        <v>coal coking - IPCC</v>
      </c>
      <c r="C63" s="160" t="s">
        <v>184</v>
      </c>
      <c r="D63" s="160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5"/>
      <c r="B16" s="16" t="s">
        <v>41</v>
      </c>
      <c r="C16" s="16"/>
    </row>
    <row r="17" spans="1:3" x14ac:dyDescent="0.25">
      <c r="A17" s="25" t="s">
        <v>42</v>
      </c>
      <c r="B17" s="28">
        <v>3.6</v>
      </c>
      <c r="C17" s="10"/>
    </row>
    <row r="18" spans="1:3" x14ac:dyDescent="0.25">
      <c r="A18" s="25" t="s">
        <v>43</v>
      </c>
      <c r="B18" s="100">
        <f>B17/1000</f>
        <v>3.5999999999999999E-3</v>
      </c>
      <c r="C18" s="10"/>
    </row>
    <row r="19" spans="1:3" x14ac:dyDescent="0.25">
      <c r="A19" s="25" t="s">
        <v>44</v>
      </c>
      <c r="B19" s="10">
        <f>1/0.022414</f>
        <v>44.614972784866602</v>
      </c>
      <c r="C19" s="10"/>
    </row>
    <row r="20" spans="1:3" x14ac:dyDescent="0.25">
      <c r="A20" s="24" t="s">
        <v>75</v>
      </c>
      <c r="B20" s="26">
        <f>1.163</f>
        <v>1.163</v>
      </c>
    </row>
    <row r="21" spans="1:3" x14ac:dyDescent="0.25">
      <c r="A21" s="24" t="s">
        <v>77</v>
      </c>
      <c r="B21" s="27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defaultColWidth="8.85546875" defaultRowHeight="15" x14ac:dyDescent="0.25"/>
  <cols>
    <col min="1" max="1" width="19.42578125" customWidth="1"/>
    <col min="2" max="2" width="26.140625" bestFit="1" customWidth="1"/>
    <col min="3" max="3" width="17.85546875" bestFit="1" customWidth="1"/>
    <col min="4" max="5" width="17.85546875" style="59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59" t="s">
        <v>120</v>
      </c>
      <c r="E1" s="59" t="s">
        <v>59</v>
      </c>
      <c r="F1" t="s">
        <v>78</v>
      </c>
    </row>
    <row r="2" spans="1:6" x14ac:dyDescent="0.25">
      <c r="A2" s="2" t="s">
        <v>1</v>
      </c>
      <c r="B2" t="s">
        <v>63</v>
      </c>
      <c r="C2" t="s">
        <v>64</v>
      </c>
    </row>
    <row r="3" spans="1:6" x14ac:dyDescent="0.25">
      <c r="A3" s="2" t="s">
        <v>2</v>
      </c>
    </row>
    <row r="4" spans="1:6" hidden="1" x14ac:dyDescent="0.25">
      <c r="A4" t="s">
        <v>3</v>
      </c>
      <c r="B4" s="21">
        <v>0.05</v>
      </c>
      <c r="C4" s="21">
        <v>0.1</v>
      </c>
    </row>
    <row r="5" spans="1:6" hidden="1" x14ac:dyDescent="0.25">
      <c r="A5" t="s">
        <v>157</v>
      </c>
      <c r="B5" s="21">
        <v>5.0000000000000001E-3</v>
      </c>
      <c r="C5" s="21">
        <f>5*Ref!B18</f>
        <v>1.7999999999999999E-2</v>
      </c>
      <c r="D5" s="59" t="s">
        <v>160</v>
      </c>
      <c r="F5" t="s">
        <v>162</v>
      </c>
    </row>
    <row r="6" spans="1:6" hidden="1" x14ac:dyDescent="0.25">
      <c r="A6" t="s">
        <v>158</v>
      </c>
      <c r="B6" s="21">
        <v>0.05</v>
      </c>
      <c r="C6" s="21">
        <f>25*Ref!B18</f>
        <v>0.09</v>
      </c>
      <c r="D6" s="59" t="s">
        <v>159</v>
      </c>
      <c r="F6" t="s">
        <v>161</v>
      </c>
    </row>
    <row r="7" spans="1:6" s="69" customFormat="1" x14ac:dyDescent="0.25">
      <c r="A7" s="67" t="s">
        <v>217</v>
      </c>
      <c r="B7" s="75">
        <v>0.05</v>
      </c>
      <c r="C7" s="75">
        <v>0.1</v>
      </c>
      <c r="D7" s="70">
        <v>150</v>
      </c>
      <c r="E7" s="70" t="s">
        <v>65</v>
      </c>
      <c r="F7" s="127" t="s">
        <v>163</v>
      </c>
    </row>
    <row r="8" spans="1:6" x14ac:dyDescent="0.25">
      <c r="A8" s="40" t="s">
        <v>219</v>
      </c>
      <c r="B8" s="21">
        <f>B$11</f>
        <v>0.05</v>
      </c>
      <c r="C8" s="21">
        <f>C7</f>
        <v>0.1</v>
      </c>
    </row>
    <row r="9" spans="1:6" x14ac:dyDescent="0.25">
      <c r="A9" s="40" t="s">
        <v>218</v>
      </c>
      <c r="B9" s="21">
        <f>B$11</f>
        <v>0.05</v>
      </c>
      <c r="C9" s="21">
        <f>C7</f>
        <v>0.1</v>
      </c>
    </row>
    <row r="10" spans="1:6" s="48" customFormat="1" ht="15.75" thickBot="1" x14ac:dyDescent="0.3">
      <c r="A10" s="49" t="s">
        <v>220</v>
      </c>
      <c r="B10" s="47">
        <f>B$11</f>
        <v>0.05</v>
      </c>
      <c r="C10" s="47">
        <f>C7</f>
        <v>0.1</v>
      </c>
      <c r="D10" s="61"/>
      <c r="E10" s="61"/>
    </row>
    <row r="11" spans="1:6" s="1" customFormat="1" x14ac:dyDescent="0.25">
      <c r="A11" s="52" t="s">
        <v>213</v>
      </c>
      <c r="B11" s="123">
        <v>0.05</v>
      </c>
      <c r="C11" s="123">
        <v>0.1</v>
      </c>
      <c r="D11" s="126"/>
      <c r="E11" s="126"/>
      <c r="F11" s="26"/>
    </row>
    <row r="12" spans="1:6" x14ac:dyDescent="0.25">
      <c r="A12" s="40" t="s">
        <v>215</v>
      </c>
      <c r="B12" s="21">
        <f>B$7</f>
        <v>0.05</v>
      </c>
      <c r="C12" s="21">
        <f>C11</f>
        <v>0.1</v>
      </c>
    </row>
    <row r="13" spans="1:6" x14ac:dyDescent="0.25">
      <c r="A13" s="40" t="s">
        <v>214</v>
      </c>
      <c r="B13" s="21">
        <f>B$7</f>
        <v>0.05</v>
      </c>
      <c r="C13" s="21">
        <f>C11</f>
        <v>0.1</v>
      </c>
    </row>
    <row r="14" spans="1:6" s="48" customFormat="1" ht="15.75" thickBot="1" x14ac:dyDescent="0.3">
      <c r="A14" s="49" t="s">
        <v>216</v>
      </c>
      <c r="B14" s="47">
        <f>B$7</f>
        <v>0.05</v>
      </c>
      <c r="C14" s="47">
        <f>C11</f>
        <v>0.1</v>
      </c>
      <c r="D14" s="61"/>
      <c r="E14" s="61"/>
    </row>
    <row r="15" spans="1:6" x14ac:dyDescent="0.25">
      <c r="A15" s="53" t="s">
        <v>233</v>
      </c>
      <c r="B15" s="78">
        <v>0.05</v>
      </c>
      <c r="C15" s="78">
        <v>0.1</v>
      </c>
    </row>
    <row r="16" spans="1:6" x14ac:dyDescent="0.25">
      <c r="A16" s="39" t="s">
        <v>235</v>
      </c>
      <c r="B16" s="45">
        <f>B$27</f>
        <v>0.05</v>
      </c>
      <c r="C16" s="45">
        <f>C15</f>
        <v>0.1</v>
      </c>
    </row>
    <row r="17" spans="1:6" x14ac:dyDescent="0.25">
      <c r="A17" s="39" t="s">
        <v>234</v>
      </c>
      <c r="B17" s="45">
        <f>B$27</f>
        <v>0.05</v>
      </c>
      <c r="C17" s="45">
        <f>C15</f>
        <v>0.1</v>
      </c>
    </row>
    <row r="18" spans="1:6" s="48" customFormat="1" ht="15.75" thickBot="1" x14ac:dyDescent="0.3">
      <c r="A18" s="51" t="s">
        <v>236</v>
      </c>
      <c r="B18" s="64">
        <f>B$27</f>
        <v>0.05</v>
      </c>
      <c r="C18" s="64">
        <f>C15</f>
        <v>0.1</v>
      </c>
      <c r="D18" s="61"/>
      <c r="E18" s="61"/>
    </row>
    <row r="19" spans="1:6" x14ac:dyDescent="0.25">
      <c r="A19" s="53" t="s">
        <v>221</v>
      </c>
      <c r="B19" s="78">
        <v>0.05</v>
      </c>
      <c r="C19" s="78">
        <v>0.1</v>
      </c>
    </row>
    <row r="20" spans="1:6" x14ac:dyDescent="0.25">
      <c r="A20" s="39" t="s">
        <v>223</v>
      </c>
      <c r="B20" s="21">
        <f>B$19</f>
        <v>0.05</v>
      </c>
      <c r="C20" s="45">
        <f>C19</f>
        <v>0.1</v>
      </c>
    </row>
    <row r="21" spans="1:6" x14ac:dyDescent="0.25">
      <c r="A21" s="39" t="s">
        <v>222</v>
      </c>
      <c r="B21" s="21">
        <f>B$19</f>
        <v>0.05</v>
      </c>
      <c r="C21" s="45">
        <f>C19</f>
        <v>0.1</v>
      </c>
    </row>
    <row r="22" spans="1:6" s="48" customFormat="1" ht="15.75" thickBot="1" x14ac:dyDescent="0.3">
      <c r="A22" s="51" t="s">
        <v>224</v>
      </c>
      <c r="B22" s="47">
        <f>B$19</f>
        <v>0.05</v>
      </c>
      <c r="C22" s="64">
        <f>C19</f>
        <v>0.1</v>
      </c>
      <c r="D22" s="61"/>
      <c r="E22" s="61"/>
    </row>
    <row r="23" spans="1:6" x14ac:dyDescent="0.25">
      <c r="A23" s="53" t="s">
        <v>225</v>
      </c>
      <c r="B23" s="21">
        <v>0.05</v>
      </c>
      <c r="C23" s="78">
        <v>0.1</v>
      </c>
      <c r="F23" t="s">
        <v>164</v>
      </c>
    </row>
    <row r="24" spans="1:6" x14ac:dyDescent="0.25">
      <c r="A24" s="39" t="s">
        <v>227</v>
      </c>
      <c r="B24" s="21">
        <f>B$23</f>
        <v>0.05</v>
      </c>
      <c r="C24" s="45">
        <f>C23</f>
        <v>0.1</v>
      </c>
    </row>
    <row r="25" spans="1:6" x14ac:dyDescent="0.25">
      <c r="A25" s="39" t="s">
        <v>226</v>
      </c>
      <c r="B25" s="21">
        <f>B$23</f>
        <v>0.05</v>
      </c>
      <c r="C25" s="45">
        <f>C23</f>
        <v>0.1</v>
      </c>
    </row>
    <row r="26" spans="1:6" s="48" customFormat="1" ht="15.75" thickBot="1" x14ac:dyDescent="0.3">
      <c r="A26" s="51" t="s">
        <v>228</v>
      </c>
      <c r="B26" s="47">
        <f>B$23</f>
        <v>0.05</v>
      </c>
      <c r="C26" s="64">
        <f>C23</f>
        <v>0.1</v>
      </c>
      <c r="D26" s="61"/>
      <c r="E26" s="61"/>
    </row>
    <row r="27" spans="1:6" x14ac:dyDescent="0.25">
      <c r="A27" s="53" t="s">
        <v>229</v>
      </c>
      <c r="B27" s="54">
        <v>0.05</v>
      </c>
      <c r="C27" s="78">
        <v>0.1</v>
      </c>
      <c r="D27" s="60"/>
      <c r="E27" s="60"/>
      <c r="F27" s="1"/>
    </row>
    <row r="28" spans="1:6" x14ac:dyDescent="0.25">
      <c r="A28" s="39" t="s">
        <v>231</v>
      </c>
      <c r="B28" s="45">
        <f>B$43</f>
        <v>0.05</v>
      </c>
      <c r="C28" s="45">
        <f>C27</f>
        <v>0.1</v>
      </c>
    </row>
    <row r="29" spans="1:6" x14ac:dyDescent="0.25">
      <c r="A29" s="39" t="s">
        <v>230</v>
      </c>
      <c r="B29" s="45">
        <f>B$43</f>
        <v>0.05</v>
      </c>
      <c r="C29" s="45">
        <f>C27</f>
        <v>0.1</v>
      </c>
    </row>
    <row r="30" spans="1:6" s="48" customFormat="1" ht="15.75" thickBot="1" x14ac:dyDescent="0.3">
      <c r="A30" s="51" t="s">
        <v>232</v>
      </c>
      <c r="B30" s="64">
        <f>B$43</f>
        <v>0.05</v>
      </c>
      <c r="C30" s="64">
        <f>C27</f>
        <v>0.1</v>
      </c>
      <c r="D30" s="61"/>
      <c r="E30" s="61"/>
    </row>
    <row r="31" spans="1:6" x14ac:dyDescent="0.25">
      <c r="A31" s="39" t="s">
        <v>191</v>
      </c>
      <c r="B31">
        <v>0</v>
      </c>
      <c r="C31" s="54">
        <v>0</v>
      </c>
    </row>
    <row r="32" spans="1:6" x14ac:dyDescent="0.25">
      <c r="A32" s="116" t="s">
        <v>192</v>
      </c>
      <c r="B32">
        <f>B31</f>
        <v>0</v>
      </c>
      <c r="C32">
        <f>C31</f>
        <v>0</v>
      </c>
    </row>
    <row r="33" spans="1:5" x14ac:dyDescent="0.25">
      <c r="A33" s="116" t="s">
        <v>193</v>
      </c>
      <c r="B33">
        <f>B31</f>
        <v>0</v>
      </c>
      <c r="C33">
        <f>C31</f>
        <v>0</v>
      </c>
    </row>
    <row r="34" spans="1:5" s="48" customFormat="1" ht="15.75" thickBot="1" x14ac:dyDescent="0.3">
      <c r="A34" s="145" t="s">
        <v>194</v>
      </c>
      <c r="B34" s="48">
        <f>B31</f>
        <v>0</v>
      </c>
      <c r="C34" s="48">
        <f>C31</f>
        <v>0</v>
      </c>
      <c r="D34" s="61"/>
      <c r="E34" s="61"/>
    </row>
    <row r="35" spans="1:5" x14ac:dyDescent="0.25">
      <c r="A35" s="52" t="s">
        <v>195</v>
      </c>
      <c r="B35" s="78">
        <v>0.05</v>
      </c>
      <c r="C35" s="78">
        <v>0.02</v>
      </c>
    </row>
    <row r="36" spans="1:5" x14ac:dyDescent="0.25">
      <c r="A36" s="136" t="s">
        <v>197</v>
      </c>
      <c r="B36">
        <f>B35</f>
        <v>0.05</v>
      </c>
      <c r="C36">
        <f>C35</f>
        <v>0.02</v>
      </c>
    </row>
    <row r="37" spans="1:5" x14ac:dyDescent="0.25">
      <c r="A37" s="116" t="s">
        <v>196</v>
      </c>
      <c r="B37">
        <f>B35</f>
        <v>0.05</v>
      </c>
      <c r="C37">
        <f>C35</f>
        <v>0.02</v>
      </c>
    </row>
    <row r="38" spans="1:5" s="48" customFormat="1" ht="15.75" thickBot="1" x14ac:dyDescent="0.3">
      <c r="A38" s="145" t="s">
        <v>198</v>
      </c>
      <c r="B38" s="48">
        <f>B35</f>
        <v>0.05</v>
      </c>
      <c r="C38" s="48">
        <f>C35</f>
        <v>0.02</v>
      </c>
      <c r="D38" s="61"/>
      <c r="E38" s="61"/>
    </row>
    <row r="39" spans="1:5" x14ac:dyDescent="0.25">
      <c r="A39" s="116" t="s">
        <v>199</v>
      </c>
      <c r="B39" s="54">
        <v>0.05</v>
      </c>
      <c r="C39" s="54">
        <v>0.02</v>
      </c>
    </row>
    <row r="40" spans="1:5" x14ac:dyDescent="0.25">
      <c r="A40" s="116" t="s">
        <v>200</v>
      </c>
      <c r="B40">
        <f>B39</f>
        <v>0.05</v>
      </c>
      <c r="C40">
        <f>C39</f>
        <v>0.02</v>
      </c>
    </row>
    <row r="41" spans="1:5" x14ac:dyDescent="0.25">
      <c r="A41" s="116" t="s">
        <v>201</v>
      </c>
      <c r="B41">
        <f>B39</f>
        <v>0.05</v>
      </c>
      <c r="C41">
        <f>C39</f>
        <v>0.02</v>
      </c>
    </row>
    <row r="42" spans="1:5" s="48" customFormat="1" ht="15.75" thickBot="1" x14ac:dyDescent="0.3">
      <c r="A42" s="145" t="s">
        <v>202</v>
      </c>
      <c r="B42" s="48">
        <f>B39</f>
        <v>0.05</v>
      </c>
      <c r="C42" s="48">
        <f>C39</f>
        <v>0.02</v>
      </c>
      <c r="D42" s="61"/>
      <c r="E42" s="61"/>
    </row>
    <row r="43" spans="1:5" x14ac:dyDescent="0.25">
      <c r="A43" s="116" t="s">
        <v>204</v>
      </c>
      <c r="B43" s="54">
        <v>0.05</v>
      </c>
      <c r="C43" s="54">
        <v>0.02</v>
      </c>
    </row>
    <row r="44" spans="1:5" x14ac:dyDescent="0.25">
      <c r="A44" s="116" t="s">
        <v>205</v>
      </c>
      <c r="B44">
        <f>B43</f>
        <v>0.05</v>
      </c>
      <c r="C44">
        <f>C43</f>
        <v>0.02</v>
      </c>
    </row>
    <row r="45" spans="1:5" x14ac:dyDescent="0.25">
      <c r="A45" s="116" t="s">
        <v>241</v>
      </c>
      <c r="B45">
        <f>B43</f>
        <v>0.05</v>
      </c>
      <c r="C45">
        <f>C43</f>
        <v>0.02</v>
      </c>
    </row>
    <row r="46" spans="1:5" s="48" customFormat="1" ht="15.75" thickBot="1" x14ac:dyDescent="0.3">
      <c r="A46" s="145" t="s">
        <v>206</v>
      </c>
      <c r="B46" s="48">
        <f>B43</f>
        <v>0.05</v>
      </c>
      <c r="C46" s="48">
        <f>C43</f>
        <v>0.02</v>
      </c>
      <c r="D46" s="61"/>
      <c r="E46" s="61"/>
    </row>
  </sheetData>
  <sortState ref="A26:F49">
    <sortCondition ref="A26"/>
  </sortState>
  <hyperlinks>
    <hyperlink ref="F7" r:id="rId1" tooltip="Persistent link using digital object identifier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F40" sqref="F40"/>
    </sheetView>
  </sheetViews>
  <sheetFormatPr defaultColWidth="8.85546875" defaultRowHeight="15" x14ac:dyDescent="0.25"/>
  <cols>
    <col min="1" max="1" width="20.140625" customWidth="1"/>
    <col min="2" max="2" width="12.5703125" bestFit="1" customWidth="1"/>
    <col min="3" max="3" width="15.42578125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165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103</v>
      </c>
      <c r="D4">
        <v>0</v>
      </c>
      <c r="E4" t="s">
        <v>184</v>
      </c>
      <c r="F4">
        <v>0</v>
      </c>
      <c r="G4">
        <v>0</v>
      </c>
    </row>
    <row r="5" spans="1:8" s="68" customFormat="1" x14ac:dyDescent="0.25">
      <c r="A5" s="67" t="s">
        <v>213</v>
      </c>
      <c r="B5" s="68">
        <v>0.02</v>
      </c>
      <c r="C5" s="68" t="s">
        <v>103</v>
      </c>
      <c r="D5" s="68">
        <v>0</v>
      </c>
      <c r="E5" s="68" t="s">
        <v>184</v>
      </c>
      <c r="F5" s="75">
        <f>0.018*0.56</f>
        <v>1.008E-2</v>
      </c>
      <c r="G5" s="68">
        <f>0.075</f>
        <v>7.4999999999999997E-2</v>
      </c>
    </row>
    <row r="6" spans="1:8" ht="17.100000000000001" customHeight="1" x14ac:dyDescent="0.25">
      <c r="A6" s="40" t="s">
        <v>214</v>
      </c>
      <c r="B6">
        <f>B$5</f>
        <v>0.02</v>
      </c>
      <c r="C6" t="str">
        <f t="shared" ref="C6:G6" si="0">C$5</f>
        <v>coke - IPCC</v>
      </c>
      <c r="D6">
        <f t="shared" si="0"/>
        <v>0</v>
      </c>
      <c r="E6" t="str">
        <f t="shared" si="0"/>
        <v>charcoal - IPCC</v>
      </c>
      <c r="F6" s="21">
        <f t="shared" si="0"/>
        <v>1.008E-2</v>
      </c>
      <c r="G6">
        <f t="shared" si="0"/>
        <v>7.4999999999999997E-2</v>
      </c>
    </row>
    <row r="7" spans="1:8" x14ac:dyDescent="0.25">
      <c r="A7" s="40" t="s">
        <v>215</v>
      </c>
      <c r="B7">
        <f>B$5</f>
        <v>0.02</v>
      </c>
      <c r="C7" t="str">
        <f>C$5</f>
        <v>coke - IPCC</v>
      </c>
      <c r="D7" s="41">
        <v>0.5</v>
      </c>
      <c r="E7" t="str">
        <f t="shared" ref="E7:G8" si="1">E$5</f>
        <v>charcoal - IPCC</v>
      </c>
      <c r="F7" s="21">
        <f t="shared" si="1"/>
        <v>1.008E-2</v>
      </c>
      <c r="G7">
        <f t="shared" si="1"/>
        <v>7.4999999999999997E-2</v>
      </c>
    </row>
    <row r="8" spans="1:8" s="48" customFormat="1" ht="15.75" thickBot="1" x14ac:dyDescent="0.3">
      <c r="A8" s="49" t="s">
        <v>216</v>
      </c>
      <c r="B8" s="48">
        <f t="shared" ref="B8:C8" si="2">B$5</f>
        <v>0.02</v>
      </c>
      <c r="C8" s="48" t="str">
        <f t="shared" si="2"/>
        <v>coke - IPCC</v>
      </c>
      <c r="D8" s="50">
        <v>1</v>
      </c>
      <c r="E8" s="48" t="str">
        <f t="shared" si="1"/>
        <v>charcoal - IPCC</v>
      </c>
      <c r="F8" s="47">
        <f t="shared" si="1"/>
        <v>1.008E-2</v>
      </c>
      <c r="G8" s="48">
        <f t="shared" si="1"/>
        <v>7.4999999999999997E-2</v>
      </c>
    </row>
    <row r="9" spans="1:8" s="1" customFormat="1" x14ac:dyDescent="0.25">
      <c r="A9" s="52" t="s">
        <v>217</v>
      </c>
      <c r="B9" s="78">
        <v>0.02</v>
      </c>
      <c r="C9" s="26" t="s">
        <v>103</v>
      </c>
      <c r="D9" s="1">
        <v>0</v>
      </c>
      <c r="E9" s="1" t="s">
        <v>184</v>
      </c>
      <c r="F9" s="78">
        <v>0.01</v>
      </c>
      <c r="G9" s="78">
        <v>0.1</v>
      </c>
    </row>
    <row r="10" spans="1:8" x14ac:dyDescent="0.25">
      <c r="A10" s="40" t="s">
        <v>218</v>
      </c>
      <c r="B10" s="21">
        <f>B9</f>
        <v>0.02</v>
      </c>
      <c r="C10" s="21" t="str">
        <f t="shared" ref="C10:D10" si="3">C9</f>
        <v>coke - IPCC</v>
      </c>
      <c r="D10" s="21">
        <f t="shared" si="3"/>
        <v>0</v>
      </c>
      <c r="E10" t="str">
        <f>E$5</f>
        <v>charcoal - IPCC</v>
      </c>
      <c r="F10" s="21">
        <f t="shared" ref="F10:G10" si="4">F9</f>
        <v>0.01</v>
      </c>
      <c r="G10" s="21">
        <f t="shared" si="4"/>
        <v>0.1</v>
      </c>
    </row>
    <row r="11" spans="1:8" x14ac:dyDescent="0.25">
      <c r="A11" s="40" t="s">
        <v>219</v>
      </c>
      <c r="B11" s="21">
        <f>B$9</f>
        <v>0.02</v>
      </c>
      <c r="C11" t="str">
        <f>C$9</f>
        <v>coke - IPCC</v>
      </c>
      <c r="D11" s="41">
        <v>0.5</v>
      </c>
      <c r="E11" t="str">
        <f>E$5</f>
        <v>charcoal - IPCC</v>
      </c>
      <c r="F11" s="21">
        <f>F$9</f>
        <v>0.01</v>
      </c>
      <c r="G11" s="21">
        <f>G$9</f>
        <v>0.1</v>
      </c>
    </row>
    <row r="12" spans="1:8" s="48" customFormat="1" ht="15.75" thickBot="1" x14ac:dyDescent="0.3">
      <c r="A12" s="49" t="s">
        <v>220</v>
      </c>
      <c r="B12" s="47">
        <f>B$9</f>
        <v>0.02</v>
      </c>
      <c r="C12" s="48" t="str">
        <f>C$9</f>
        <v>coke - IPCC</v>
      </c>
      <c r="D12" s="50">
        <v>1</v>
      </c>
      <c r="E12" s="48" t="str">
        <f>E$5</f>
        <v>charcoal - IPCC</v>
      </c>
      <c r="F12" s="47">
        <f>F$9</f>
        <v>0.01</v>
      </c>
      <c r="G12" s="47">
        <f>G$9</f>
        <v>0.1</v>
      </c>
    </row>
    <row r="13" spans="1:8" s="1" customFormat="1" x14ac:dyDescent="0.25">
      <c r="A13" s="53" t="s">
        <v>221</v>
      </c>
      <c r="B13" s="54">
        <v>0.02</v>
      </c>
      <c r="C13" s="26" t="s">
        <v>103</v>
      </c>
      <c r="D13" s="1">
        <v>0</v>
      </c>
      <c r="E13" s="1" t="s">
        <v>184</v>
      </c>
      <c r="F13" s="78">
        <v>0.01</v>
      </c>
      <c r="G13" s="54">
        <v>0.14000000000000001</v>
      </c>
    </row>
    <row r="14" spans="1:8" x14ac:dyDescent="0.25">
      <c r="A14" s="39" t="s">
        <v>222</v>
      </c>
      <c r="B14" s="21">
        <f t="shared" ref="B14:C16" si="5">B$13</f>
        <v>0.02</v>
      </c>
      <c r="C14" t="str">
        <f t="shared" si="5"/>
        <v>coke - IPCC</v>
      </c>
      <c r="D14">
        <f t="shared" ref="D14:E16" si="6">D$5</f>
        <v>0</v>
      </c>
      <c r="E14" t="str">
        <f>E$5</f>
        <v>charcoal - IPCC</v>
      </c>
      <c r="F14" s="21">
        <f t="shared" ref="F14:G16" si="7">F$13</f>
        <v>0.01</v>
      </c>
      <c r="G14" s="21">
        <f t="shared" si="7"/>
        <v>0.14000000000000001</v>
      </c>
    </row>
    <row r="15" spans="1:8" ht="15.75" customHeight="1" x14ac:dyDescent="0.25">
      <c r="A15" s="39" t="s">
        <v>223</v>
      </c>
      <c r="B15" s="21">
        <f t="shared" si="5"/>
        <v>0.02</v>
      </c>
      <c r="C15" t="str">
        <f t="shared" si="5"/>
        <v>coke - IPCC</v>
      </c>
      <c r="D15" s="41">
        <v>0.5</v>
      </c>
      <c r="E15" t="str">
        <f t="shared" si="6"/>
        <v>charcoal - IPCC</v>
      </c>
      <c r="F15" s="21">
        <f t="shared" si="7"/>
        <v>0.01</v>
      </c>
      <c r="G15" s="21">
        <f t="shared" si="7"/>
        <v>0.14000000000000001</v>
      </c>
    </row>
    <row r="16" spans="1:8" s="48" customFormat="1" ht="15.75" thickBot="1" x14ac:dyDescent="0.3">
      <c r="A16" s="51" t="s">
        <v>224</v>
      </c>
      <c r="B16" s="47">
        <f t="shared" si="5"/>
        <v>0.02</v>
      </c>
      <c r="C16" s="48" t="str">
        <f t="shared" si="5"/>
        <v>coke - IPCC</v>
      </c>
      <c r="D16" s="50">
        <v>1</v>
      </c>
      <c r="E16" s="48" t="str">
        <f t="shared" si="6"/>
        <v>charcoal - IPCC</v>
      </c>
      <c r="F16" s="47">
        <f t="shared" si="7"/>
        <v>0.01</v>
      </c>
      <c r="G16" s="47">
        <f t="shared" si="7"/>
        <v>0.14000000000000001</v>
      </c>
    </row>
    <row r="17" spans="1:8" s="1" customFormat="1" x14ac:dyDescent="0.25">
      <c r="A17" s="53" t="s">
        <v>225</v>
      </c>
      <c r="B17" s="78">
        <v>0.02</v>
      </c>
      <c r="C17" s="26" t="s">
        <v>103</v>
      </c>
      <c r="D17" s="1">
        <v>0</v>
      </c>
      <c r="E17" s="1" t="s">
        <v>184</v>
      </c>
      <c r="F17" s="78">
        <v>0.01</v>
      </c>
      <c r="G17" s="78">
        <v>0</v>
      </c>
    </row>
    <row r="18" spans="1:8" x14ac:dyDescent="0.25">
      <c r="A18" s="39" t="s">
        <v>226</v>
      </c>
      <c r="B18" s="45">
        <f t="shared" ref="B18:C20" si="8">B$17</f>
        <v>0.02</v>
      </c>
      <c r="C18" s="44" t="str">
        <f t="shared" si="8"/>
        <v>coke - IPCC</v>
      </c>
      <c r="D18">
        <f t="shared" ref="D18:E20" si="9">D$5</f>
        <v>0</v>
      </c>
      <c r="E18" t="str">
        <f t="shared" si="9"/>
        <v>charcoal - IPCC</v>
      </c>
      <c r="F18" s="45">
        <f t="shared" ref="F18:G20" si="10">F$17</f>
        <v>0.01</v>
      </c>
      <c r="G18" s="45">
        <f t="shared" si="10"/>
        <v>0</v>
      </c>
    </row>
    <row r="19" spans="1:8" x14ac:dyDescent="0.25">
      <c r="A19" s="39" t="s">
        <v>227</v>
      </c>
      <c r="B19" s="45">
        <f t="shared" si="8"/>
        <v>0.02</v>
      </c>
      <c r="C19" s="44" t="str">
        <f t="shared" si="8"/>
        <v>coke - IPCC</v>
      </c>
      <c r="D19" s="41">
        <v>0.5</v>
      </c>
      <c r="E19" t="str">
        <f t="shared" si="9"/>
        <v>charcoal - IPCC</v>
      </c>
      <c r="F19" s="45">
        <f t="shared" si="10"/>
        <v>0.01</v>
      </c>
      <c r="G19" s="45">
        <f t="shared" si="10"/>
        <v>0</v>
      </c>
    </row>
    <row r="20" spans="1:8" s="48" customFormat="1" ht="15.75" thickBot="1" x14ac:dyDescent="0.3">
      <c r="A20" s="51" t="s">
        <v>228</v>
      </c>
      <c r="B20" s="64">
        <f t="shared" si="8"/>
        <v>0.02</v>
      </c>
      <c r="C20" s="62" t="str">
        <f t="shared" si="8"/>
        <v>coke - IPCC</v>
      </c>
      <c r="D20" s="50">
        <v>1</v>
      </c>
      <c r="E20" s="48" t="str">
        <f t="shared" si="9"/>
        <v>charcoal - IPCC</v>
      </c>
      <c r="F20" s="64">
        <f t="shared" si="10"/>
        <v>0.01</v>
      </c>
      <c r="G20" s="64">
        <f t="shared" si="10"/>
        <v>0</v>
      </c>
    </row>
    <row r="21" spans="1:8" s="1" customFormat="1" x14ac:dyDescent="0.25">
      <c r="A21" s="53" t="s">
        <v>229</v>
      </c>
      <c r="B21" s="63">
        <v>0.02</v>
      </c>
      <c r="C21" s="26" t="s">
        <v>103</v>
      </c>
      <c r="D21" s="1">
        <v>0</v>
      </c>
      <c r="E21" s="1" t="s">
        <v>184</v>
      </c>
      <c r="F21" s="78">
        <v>0.01</v>
      </c>
      <c r="G21" s="63">
        <v>0.1</v>
      </c>
      <c r="H21" s="1" t="s">
        <v>210</v>
      </c>
    </row>
    <row r="22" spans="1:8" x14ac:dyDescent="0.25">
      <c r="A22" s="39" t="s">
        <v>230</v>
      </c>
      <c r="B22" s="21">
        <f t="shared" ref="B22:C24" si="11">B$21</f>
        <v>0.02</v>
      </c>
      <c r="C22" s="21" t="str">
        <f t="shared" si="11"/>
        <v>coke - IPCC</v>
      </c>
      <c r="D22">
        <f t="shared" ref="D22:E24" si="12">D$5</f>
        <v>0</v>
      </c>
      <c r="E22" t="str">
        <f t="shared" si="12"/>
        <v>charcoal - IPCC</v>
      </c>
      <c r="F22" s="21">
        <f t="shared" ref="F22:G24" si="13">F$21</f>
        <v>0.01</v>
      </c>
      <c r="G22" s="21">
        <f t="shared" si="13"/>
        <v>0.1</v>
      </c>
    </row>
    <row r="23" spans="1:8" x14ac:dyDescent="0.25">
      <c r="A23" s="39" t="s">
        <v>231</v>
      </c>
      <c r="B23" s="21">
        <f t="shared" si="11"/>
        <v>0.02</v>
      </c>
      <c r="C23" s="21" t="str">
        <f t="shared" si="11"/>
        <v>coke - IPCC</v>
      </c>
      <c r="D23" s="41">
        <v>0.5</v>
      </c>
      <c r="E23" t="str">
        <f t="shared" si="12"/>
        <v>charcoal - IPCC</v>
      </c>
      <c r="F23" s="21">
        <f t="shared" si="13"/>
        <v>0.01</v>
      </c>
      <c r="G23" s="21">
        <f t="shared" si="13"/>
        <v>0.1</v>
      </c>
    </row>
    <row r="24" spans="1:8" s="48" customFormat="1" ht="15.75" thickBot="1" x14ac:dyDescent="0.3">
      <c r="A24" s="51" t="s">
        <v>232</v>
      </c>
      <c r="B24" s="47">
        <f t="shared" si="11"/>
        <v>0.02</v>
      </c>
      <c r="C24" s="47" t="str">
        <f t="shared" si="11"/>
        <v>coke - IPCC</v>
      </c>
      <c r="D24" s="50">
        <v>1</v>
      </c>
      <c r="E24" s="48" t="str">
        <f t="shared" si="12"/>
        <v>charcoal - IPCC</v>
      </c>
      <c r="F24" s="47">
        <f t="shared" si="13"/>
        <v>0.01</v>
      </c>
      <c r="G24" s="47">
        <f t="shared" si="13"/>
        <v>0.1</v>
      </c>
    </row>
    <row r="25" spans="1:8" x14ac:dyDescent="0.25">
      <c r="A25" s="53" t="s">
        <v>233</v>
      </c>
      <c r="B25" s="58">
        <v>0.02</v>
      </c>
      <c r="C25" s="26" t="s">
        <v>103</v>
      </c>
      <c r="D25" s="1">
        <v>0</v>
      </c>
      <c r="E25" s="1" t="s">
        <v>184</v>
      </c>
      <c r="F25" s="78">
        <v>0.01</v>
      </c>
      <c r="G25" s="78">
        <v>0</v>
      </c>
    </row>
    <row r="26" spans="1:8" x14ac:dyDescent="0.25">
      <c r="A26" s="39" t="s">
        <v>234</v>
      </c>
      <c r="B26" s="45">
        <f t="shared" ref="B26:C29" si="14">B$25</f>
        <v>0.02</v>
      </c>
      <c r="C26" s="45" t="str">
        <f t="shared" si="14"/>
        <v>coke - IPCC</v>
      </c>
      <c r="D26">
        <f t="shared" ref="D26:E28" si="15">D$5</f>
        <v>0</v>
      </c>
      <c r="E26" t="str">
        <f t="shared" si="15"/>
        <v>charcoal - IPCC</v>
      </c>
      <c r="F26" s="45">
        <f t="shared" ref="F26:G28" si="16">F$25</f>
        <v>0.01</v>
      </c>
      <c r="G26" s="45">
        <f t="shared" si="16"/>
        <v>0</v>
      </c>
    </row>
    <row r="27" spans="1:8" x14ac:dyDescent="0.25">
      <c r="A27" s="39" t="s">
        <v>235</v>
      </c>
      <c r="B27" s="45">
        <f t="shared" si="14"/>
        <v>0.02</v>
      </c>
      <c r="C27" s="45" t="str">
        <f t="shared" si="14"/>
        <v>coke - IPCC</v>
      </c>
      <c r="D27" s="41">
        <v>0.5</v>
      </c>
      <c r="E27" t="str">
        <f t="shared" si="15"/>
        <v>charcoal - IPCC</v>
      </c>
      <c r="F27" s="45">
        <f t="shared" si="16"/>
        <v>0.01</v>
      </c>
      <c r="G27" s="45">
        <f t="shared" si="16"/>
        <v>0</v>
      </c>
    </row>
    <row r="28" spans="1:8" s="48" customFormat="1" ht="15.75" thickBot="1" x14ac:dyDescent="0.3">
      <c r="A28" s="51" t="s">
        <v>236</v>
      </c>
      <c r="B28" s="64">
        <f t="shared" si="14"/>
        <v>0.02</v>
      </c>
      <c r="C28" s="64" t="str">
        <f t="shared" si="14"/>
        <v>coke - IPCC</v>
      </c>
      <c r="D28" s="50">
        <v>1</v>
      </c>
      <c r="E28" s="48" t="str">
        <f t="shared" si="15"/>
        <v>charcoal - IPCC</v>
      </c>
      <c r="F28" s="64">
        <f t="shared" si="16"/>
        <v>0.01</v>
      </c>
      <c r="G28" s="64">
        <f t="shared" si="16"/>
        <v>0</v>
      </c>
    </row>
    <row r="29" spans="1:8" x14ac:dyDescent="0.25">
      <c r="A29" s="39" t="s">
        <v>191</v>
      </c>
      <c r="B29" s="29">
        <v>1.2999999999999999E-2</v>
      </c>
      <c r="C29" s="45" t="str">
        <f t="shared" si="14"/>
        <v>coke - IPCC</v>
      </c>
      <c r="D29" s="1">
        <v>0</v>
      </c>
      <c r="E29" s="1" t="s">
        <v>184</v>
      </c>
      <c r="F29" s="78">
        <v>0.01</v>
      </c>
      <c r="G29" s="1">
        <v>0</v>
      </c>
    </row>
    <row r="30" spans="1:8" x14ac:dyDescent="0.25">
      <c r="A30" s="116" t="s">
        <v>192</v>
      </c>
      <c r="B30" s="21">
        <f>B29</f>
        <v>1.2999999999999999E-2</v>
      </c>
      <c r="C30" t="str">
        <f>C29</f>
        <v>coke - IPCC</v>
      </c>
      <c r="D30">
        <f t="shared" ref="D30" si="17">D$5</f>
        <v>0</v>
      </c>
      <c r="E30" t="str">
        <f>E29</f>
        <v>charcoal - IPCC</v>
      </c>
      <c r="F30">
        <f>F29</f>
        <v>0.01</v>
      </c>
      <c r="G30">
        <f>G29</f>
        <v>0</v>
      </c>
    </row>
    <row r="31" spans="1:8" x14ac:dyDescent="0.25">
      <c r="A31" s="116" t="s">
        <v>193</v>
      </c>
      <c r="B31" s="21">
        <f>B29</f>
        <v>1.2999999999999999E-2</v>
      </c>
      <c r="C31" t="str">
        <f>C29</f>
        <v>coke - IPCC</v>
      </c>
      <c r="D31" s="41">
        <v>0.5</v>
      </c>
      <c r="E31" t="str">
        <f>E29</f>
        <v>charcoal - IPCC</v>
      </c>
      <c r="F31">
        <f>F29</f>
        <v>0.01</v>
      </c>
      <c r="G31">
        <f>G29</f>
        <v>0</v>
      </c>
    </row>
    <row r="32" spans="1:8" s="48" customFormat="1" ht="15.75" thickBot="1" x14ac:dyDescent="0.3">
      <c r="A32" s="145" t="s">
        <v>194</v>
      </c>
      <c r="B32" s="47">
        <f>B29</f>
        <v>1.2999999999999999E-2</v>
      </c>
      <c r="C32" s="48" t="str">
        <f>C29</f>
        <v>coke - IPCC</v>
      </c>
      <c r="D32" s="50">
        <v>1</v>
      </c>
      <c r="E32" s="48" t="str">
        <f>E29</f>
        <v>charcoal - IPCC</v>
      </c>
      <c r="F32" s="48">
        <f>F29</f>
        <v>0.01</v>
      </c>
      <c r="G32" s="48">
        <f>G29</f>
        <v>0</v>
      </c>
    </row>
    <row r="33" spans="1:7" s="1" customFormat="1" x14ac:dyDescent="0.25">
      <c r="A33" s="52" t="s">
        <v>195</v>
      </c>
      <c r="B33" s="1">
        <v>1.4999999999999999E-2</v>
      </c>
      <c r="C33" s="1" t="s">
        <v>103</v>
      </c>
      <c r="D33" s="1">
        <v>0</v>
      </c>
      <c r="E33" s="1" t="s">
        <v>184</v>
      </c>
      <c r="F33" s="78">
        <v>0.01</v>
      </c>
      <c r="G33" s="1">
        <v>5.3999999999999999E-2</v>
      </c>
    </row>
    <row r="34" spans="1:7" x14ac:dyDescent="0.25">
      <c r="A34" s="136" t="s">
        <v>197</v>
      </c>
      <c r="B34">
        <f>B33</f>
        <v>1.4999999999999999E-2</v>
      </c>
      <c r="C34" t="str">
        <f>C33</f>
        <v>coke - IPCC</v>
      </c>
      <c r="D34">
        <f t="shared" ref="D34" si="18">D$5</f>
        <v>0</v>
      </c>
      <c r="E34" t="str">
        <f>E33</f>
        <v>charcoal - IPCC</v>
      </c>
      <c r="F34">
        <f>F33</f>
        <v>0.01</v>
      </c>
      <c r="G34">
        <f>G33</f>
        <v>5.3999999999999999E-2</v>
      </c>
    </row>
    <row r="35" spans="1:7" x14ac:dyDescent="0.25">
      <c r="A35" s="116" t="s">
        <v>196</v>
      </c>
      <c r="B35">
        <f>B33</f>
        <v>1.4999999999999999E-2</v>
      </c>
      <c r="C35" t="str">
        <f>C33</f>
        <v>coke - IPCC</v>
      </c>
      <c r="D35" s="41">
        <v>0.5</v>
      </c>
      <c r="E35" t="str">
        <f>E33</f>
        <v>charcoal - IPCC</v>
      </c>
      <c r="F35">
        <f>F33</f>
        <v>0.01</v>
      </c>
      <c r="G35">
        <f>G33</f>
        <v>5.3999999999999999E-2</v>
      </c>
    </row>
    <row r="36" spans="1:7" s="48" customFormat="1" ht="15.75" thickBot="1" x14ac:dyDescent="0.3">
      <c r="A36" s="145" t="s">
        <v>198</v>
      </c>
      <c r="B36" s="48">
        <f>B33</f>
        <v>1.4999999999999999E-2</v>
      </c>
      <c r="C36" s="48" t="str">
        <f>C33</f>
        <v>coke - IPCC</v>
      </c>
      <c r="D36" s="50">
        <v>1</v>
      </c>
      <c r="E36" s="48" t="str">
        <f>E33</f>
        <v>charcoal - IPCC</v>
      </c>
      <c r="F36" s="48">
        <f>F33</f>
        <v>0.01</v>
      </c>
      <c r="G36" s="48">
        <f>G33</f>
        <v>5.3999999999999999E-2</v>
      </c>
    </row>
    <row r="37" spans="1:7" s="1" customFormat="1" x14ac:dyDescent="0.25">
      <c r="A37" s="52" t="s">
        <v>199</v>
      </c>
      <c r="B37" s="1">
        <v>1.4999999999999999E-2</v>
      </c>
      <c r="C37" s="1" t="s">
        <v>103</v>
      </c>
      <c r="D37" s="1">
        <v>0</v>
      </c>
      <c r="E37" s="1" t="s">
        <v>184</v>
      </c>
      <c r="F37" s="78">
        <v>0.01</v>
      </c>
      <c r="G37" s="1">
        <v>5.3999999999999999E-2</v>
      </c>
    </row>
    <row r="38" spans="1:7" x14ac:dyDescent="0.25">
      <c r="A38" s="40" t="s">
        <v>200</v>
      </c>
      <c r="B38">
        <f>B37</f>
        <v>1.4999999999999999E-2</v>
      </c>
      <c r="C38" t="str">
        <f>C37</f>
        <v>coke - IPCC</v>
      </c>
      <c r="D38">
        <f t="shared" ref="D38:D42" si="19">D$5</f>
        <v>0</v>
      </c>
      <c r="E38" t="str">
        <f>E37</f>
        <v>charcoal - IPCC</v>
      </c>
      <c r="F38">
        <f>F37</f>
        <v>0.01</v>
      </c>
      <c r="G38">
        <f>G37</f>
        <v>5.3999999999999999E-2</v>
      </c>
    </row>
    <row r="39" spans="1:7" x14ac:dyDescent="0.25">
      <c r="A39" s="116" t="s">
        <v>201</v>
      </c>
      <c r="B39">
        <f>B37</f>
        <v>1.4999999999999999E-2</v>
      </c>
      <c r="C39" t="str">
        <f>C37</f>
        <v>coke - IPCC</v>
      </c>
      <c r="D39" s="41">
        <v>0.5</v>
      </c>
      <c r="E39" t="str">
        <f>E37</f>
        <v>charcoal - IPCC</v>
      </c>
      <c r="F39">
        <f>F37</f>
        <v>0.01</v>
      </c>
      <c r="G39">
        <f>G37</f>
        <v>5.3999999999999999E-2</v>
      </c>
    </row>
    <row r="40" spans="1:7" s="48" customFormat="1" ht="15.75" thickBot="1" x14ac:dyDescent="0.3">
      <c r="A40" s="145" t="s">
        <v>202</v>
      </c>
      <c r="B40" s="48">
        <f>B37</f>
        <v>1.4999999999999999E-2</v>
      </c>
      <c r="C40" s="48" t="str">
        <f>C37</f>
        <v>coke - IPCC</v>
      </c>
      <c r="D40" s="50">
        <v>1</v>
      </c>
      <c r="E40" s="48" t="str">
        <f>E37</f>
        <v>charcoal - IPCC</v>
      </c>
      <c r="F40" s="48">
        <f>F37</f>
        <v>0.01</v>
      </c>
      <c r="G40" s="48">
        <f>G37</f>
        <v>5.3999999999999999E-2</v>
      </c>
    </row>
    <row r="41" spans="1:7" x14ac:dyDescent="0.25">
      <c r="A41" s="116" t="s">
        <v>204</v>
      </c>
      <c r="B41" s="1">
        <v>1.4999999999999999E-2</v>
      </c>
      <c r="C41" s="76" t="s">
        <v>190</v>
      </c>
      <c r="D41" s="1">
        <v>0</v>
      </c>
      <c r="E41" s="1" t="s">
        <v>184</v>
      </c>
      <c r="F41" s="78">
        <v>0</v>
      </c>
      <c r="G41" s="78">
        <v>0</v>
      </c>
    </row>
    <row r="42" spans="1:7" x14ac:dyDescent="0.25">
      <c r="A42" s="116" t="s">
        <v>205</v>
      </c>
      <c r="B42" s="45">
        <f>B41</f>
        <v>1.4999999999999999E-2</v>
      </c>
      <c r="C42" s="45" t="str">
        <f>C41</f>
        <v>coal bituminous - IPCC</v>
      </c>
      <c r="D42">
        <f t="shared" si="19"/>
        <v>0</v>
      </c>
      <c r="E42" s="45" t="str">
        <f>E41</f>
        <v>charcoal - IPCC</v>
      </c>
      <c r="F42" s="45">
        <f>F41</f>
        <v>0</v>
      </c>
      <c r="G42" s="45">
        <f>G41</f>
        <v>0</v>
      </c>
    </row>
    <row r="43" spans="1:7" x14ac:dyDescent="0.25">
      <c r="A43" s="116" t="s">
        <v>241</v>
      </c>
      <c r="B43" s="45">
        <f>B41</f>
        <v>1.4999999999999999E-2</v>
      </c>
      <c r="C43" s="45" t="str">
        <f>C41</f>
        <v>coal bituminous - IPCC</v>
      </c>
      <c r="D43" s="41">
        <v>0.5</v>
      </c>
      <c r="E43" s="45" t="str">
        <f>E41</f>
        <v>charcoal - IPCC</v>
      </c>
      <c r="F43" s="45">
        <f>F41</f>
        <v>0</v>
      </c>
      <c r="G43" s="45">
        <f>G41</f>
        <v>0</v>
      </c>
    </row>
    <row r="44" spans="1:7" s="48" customFormat="1" ht="15.75" thickBot="1" x14ac:dyDescent="0.3">
      <c r="A44" s="145" t="s">
        <v>206</v>
      </c>
      <c r="B44" s="64">
        <f>B41</f>
        <v>1.4999999999999999E-2</v>
      </c>
      <c r="C44" s="64" t="str">
        <f>C41</f>
        <v>coal bituminous - IPCC</v>
      </c>
      <c r="D44" s="50">
        <v>1</v>
      </c>
      <c r="E44" s="64" t="str">
        <f>E41</f>
        <v>charcoal - IPCC</v>
      </c>
      <c r="F44" s="64">
        <f>F41</f>
        <v>0</v>
      </c>
      <c r="G44" s="64">
        <f>G41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7" sqref="F27"/>
    </sheetView>
  </sheetViews>
  <sheetFormatPr defaultColWidth="8.85546875" defaultRowHeight="15" x14ac:dyDescent="0.25"/>
  <cols>
    <col min="1" max="1" width="22.140625" style="26" customWidth="1"/>
    <col min="2" max="2" width="18.140625" style="26" customWidth="1"/>
    <col min="3" max="3" width="17.28515625" style="26" customWidth="1"/>
    <col min="4" max="4" width="17.85546875" style="26" bestFit="1" customWidth="1"/>
    <col min="5" max="5" width="11.85546875" style="26" bestFit="1" customWidth="1"/>
    <col min="6" max="6" width="13.7109375" style="26" bestFit="1" customWidth="1"/>
    <col min="7" max="7" width="17.85546875" style="26" bestFit="1" customWidth="1"/>
    <col min="8" max="16384" width="8.85546875" style="26"/>
  </cols>
  <sheetData>
    <row r="1" spans="1:8" x14ac:dyDescent="0.25">
      <c r="A1" s="76" t="s">
        <v>0</v>
      </c>
      <c r="B1" s="26" t="s">
        <v>10</v>
      </c>
      <c r="C1" s="26" t="s">
        <v>21</v>
      </c>
      <c r="D1" s="26" t="s">
        <v>11</v>
      </c>
      <c r="E1" s="26" t="s">
        <v>12</v>
      </c>
      <c r="F1" s="26" t="s">
        <v>14</v>
      </c>
      <c r="G1" s="26" t="s">
        <v>7</v>
      </c>
      <c r="H1" s="26" t="s">
        <v>2</v>
      </c>
    </row>
    <row r="2" spans="1:8" x14ac:dyDescent="0.25">
      <c r="A2" s="118" t="s">
        <v>1</v>
      </c>
      <c r="B2" s="26" t="s">
        <v>23</v>
      </c>
      <c r="D2" s="26" t="s">
        <v>23</v>
      </c>
      <c r="F2" s="26" t="s">
        <v>24</v>
      </c>
      <c r="G2" s="26" t="s">
        <v>45</v>
      </c>
    </row>
    <row r="3" spans="1:8" x14ac:dyDescent="0.25">
      <c r="A3" s="118" t="s">
        <v>2</v>
      </c>
    </row>
    <row r="4" spans="1:8" s="85" customFormat="1" x14ac:dyDescent="0.25">
      <c r="A4" s="85" t="s">
        <v>3</v>
      </c>
      <c r="B4" s="162">
        <f>0.012/1.4</f>
        <v>8.5714285714285719E-3</v>
      </c>
      <c r="C4" s="85" t="s">
        <v>175</v>
      </c>
      <c r="D4" s="85">
        <v>0</v>
      </c>
      <c r="E4" s="85" t="s">
        <v>184</v>
      </c>
      <c r="F4" s="162">
        <f>0.133*0.56/1.3</f>
        <v>5.7292307692307691E-2</v>
      </c>
      <c r="G4" s="162">
        <v>0</v>
      </c>
    </row>
    <row r="5" spans="1:8" hidden="1" x14ac:dyDescent="0.25">
      <c r="A5" s="26" t="s">
        <v>55</v>
      </c>
      <c r="B5" s="27">
        <v>0.04</v>
      </c>
      <c r="C5" s="26" t="s">
        <v>103</v>
      </c>
      <c r="D5" s="26">
        <v>0</v>
      </c>
      <c r="E5" s="26" t="s">
        <v>184</v>
      </c>
      <c r="F5" s="27">
        <v>0.1</v>
      </c>
      <c r="G5" s="27">
        <v>0.14000000000000001</v>
      </c>
    </row>
    <row r="6" spans="1:8" hidden="1" x14ac:dyDescent="0.25">
      <c r="A6" s="26" t="s">
        <v>98</v>
      </c>
      <c r="B6" s="27">
        <v>5.1040000000000002E-2</v>
      </c>
      <c r="C6" s="26" t="s">
        <v>104</v>
      </c>
      <c r="D6" s="26">
        <v>0</v>
      </c>
      <c r="E6" s="26" t="s">
        <v>184</v>
      </c>
      <c r="F6" s="130">
        <f>0.1407*0.56</f>
        <v>7.8792000000000001E-2</v>
      </c>
      <c r="G6" s="27">
        <f>4.93*Ref!B18</f>
        <v>1.7748E-2</v>
      </c>
    </row>
    <row r="7" spans="1:8" hidden="1" x14ac:dyDescent="0.25">
      <c r="A7" s="26" t="s">
        <v>99</v>
      </c>
      <c r="B7" s="27">
        <v>0.05</v>
      </c>
      <c r="C7" s="26" t="s">
        <v>103</v>
      </c>
      <c r="D7" s="26">
        <v>0</v>
      </c>
      <c r="E7" s="26" t="s">
        <v>184</v>
      </c>
      <c r="F7" s="27">
        <v>9.4E-2</v>
      </c>
      <c r="G7" s="27">
        <v>0.1152</v>
      </c>
    </row>
    <row r="8" spans="1:8" hidden="1" x14ac:dyDescent="0.25">
      <c r="A8" s="26" t="s">
        <v>100</v>
      </c>
      <c r="B8" s="27">
        <v>0.04</v>
      </c>
      <c r="C8" s="26" t="s">
        <v>106</v>
      </c>
      <c r="D8" s="26">
        <v>0</v>
      </c>
      <c r="E8" s="26" t="s">
        <v>184</v>
      </c>
      <c r="F8" s="93">
        <f>0.15*0.56</f>
        <v>8.4000000000000005E-2</v>
      </c>
      <c r="G8" s="27">
        <v>0.14000000000000001</v>
      </c>
    </row>
    <row r="9" spans="1:8" hidden="1" x14ac:dyDescent="0.25">
      <c r="A9" s="26" t="s">
        <v>101</v>
      </c>
      <c r="B9" s="93">
        <v>0.05</v>
      </c>
      <c r="C9" s="26" t="s">
        <v>103</v>
      </c>
      <c r="D9" s="26">
        <v>0</v>
      </c>
      <c r="E9" s="26" t="s">
        <v>184</v>
      </c>
      <c r="F9" s="122">
        <v>8.4699999999999998E-2</v>
      </c>
      <c r="G9" s="93">
        <v>0.1</v>
      </c>
    </row>
    <row r="10" spans="1:8" hidden="1" x14ac:dyDescent="0.25">
      <c r="A10" s="26" t="s">
        <v>102</v>
      </c>
      <c r="B10" s="122">
        <f>1.44/30.23</f>
        <v>4.7634799867681106E-2</v>
      </c>
      <c r="C10" s="26" t="s">
        <v>107</v>
      </c>
      <c r="D10" s="121">
        <v>0</v>
      </c>
      <c r="E10" s="121" t="s">
        <v>184</v>
      </c>
      <c r="F10" s="93">
        <f>0.15*0.56</f>
        <v>8.4000000000000005E-2</v>
      </c>
      <c r="G10" s="122">
        <f>0.1</f>
        <v>0.1</v>
      </c>
      <c r="H10" s="26" t="s">
        <v>132</v>
      </c>
    </row>
    <row r="11" spans="1:8" hidden="1" x14ac:dyDescent="0.25">
      <c r="A11" s="26" t="s">
        <v>111</v>
      </c>
      <c r="B11" s="27">
        <f>B9</f>
        <v>0.05</v>
      </c>
      <c r="C11" s="26" t="s">
        <v>103</v>
      </c>
      <c r="D11" s="26">
        <v>0</v>
      </c>
      <c r="E11" s="26" t="s">
        <v>184</v>
      </c>
      <c r="F11" s="93">
        <f>0.15*0.56</f>
        <v>8.4000000000000005E-2</v>
      </c>
      <c r="G11" s="93">
        <v>0.1</v>
      </c>
    </row>
    <row r="12" spans="1:8" hidden="1" x14ac:dyDescent="0.25">
      <c r="A12" s="26" t="s">
        <v>110</v>
      </c>
      <c r="B12" s="27">
        <f>AVERAGE(B6:B11)</f>
        <v>4.8112466644613515E-2</v>
      </c>
      <c r="C12" s="113"/>
      <c r="D12" s="113">
        <f>AVERAGE(D6:D11)</f>
        <v>0</v>
      </c>
      <c r="E12" s="113"/>
      <c r="F12" s="27">
        <f>AVERAGE(F6:F11)</f>
        <v>8.4915333333333343E-2</v>
      </c>
      <c r="G12" s="27">
        <f>AVERAGE(G6:G11)</f>
        <v>9.5491333333333331E-2</v>
      </c>
    </row>
    <row r="13" spans="1:8" hidden="1" x14ac:dyDescent="0.25">
      <c r="A13" s="26" t="s">
        <v>113</v>
      </c>
      <c r="B13" s="27">
        <f>B$7</f>
        <v>0.05</v>
      </c>
      <c r="C13" s="26" t="str">
        <f t="shared" ref="C13:C16" si="0">C$7</f>
        <v>coke - IPCC</v>
      </c>
      <c r="D13" s="26">
        <v>0</v>
      </c>
      <c r="E13" s="26" t="str">
        <f>E$7</f>
        <v>charcoal - IPCC</v>
      </c>
      <c r="F13" s="27">
        <f>F$7</f>
        <v>9.4E-2</v>
      </c>
      <c r="G13" s="27">
        <f>G$7</f>
        <v>0.1152</v>
      </c>
    </row>
    <row r="14" spans="1:8" hidden="1" x14ac:dyDescent="0.25">
      <c r="A14" s="26" t="s">
        <v>114</v>
      </c>
      <c r="B14" s="27">
        <f t="shared" ref="B14:B16" si="1">B$7</f>
        <v>0.05</v>
      </c>
      <c r="C14" s="26" t="str">
        <f t="shared" si="0"/>
        <v>coke - IPCC</v>
      </c>
      <c r="D14" s="26">
        <v>0.5</v>
      </c>
      <c r="E14" s="26" t="str">
        <f t="shared" ref="E14:G16" si="2">E$7</f>
        <v>charcoal - IPCC</v>
      </c>
      <c r="F14" s="27">
        <f t="shared" si="2"/>
        <v>9.4E-2</v>
      </c>
      <c r="G14" s="27">
        <f t="shared" si="2"/>
        <v>0.1152</v>
      </c>
    </row>
    <row r="15" spans="1:8" hidden="1" x14ac:dyDescent="0.25">
      <c r="A15" s="26" t="s">
        <v>115</v>
      </c>
      <c r="B15" s="27">
        <f t="shared" si="1"/>
        <v>0.05</v>
      </c>
      <c r="C15" s="26" t="str">
        <f t="shared" si="0"/>
        <v>coke - IPCC</v>
      </c>
      <c r="D15" s="26">
        <v>1</v>
      </c>
      <c r="E15" s="26" t="str">
        <f t="shared" si="2"/>
        <v>charcoal - IPCC</v>
      </c>
      <c r="F15" s="27">
        <f t="shared" si="2"/>
        <v>9.4E-2</v>
      </c>
      <c r="G15" s="27">
        <f t="shared" si="2"/>
        <v>0.1152</v>
      </c>
    </row>
    <row r="16" spans="1:8" hidden="1" x14ac:dyDescent="0.25">
      <c r="A16" s="26" t="s">
        <v>116</v>
      </c>
      <c r="B16" s="27">
        <f t="shared" si="1"/>
        <v>0.05</v>
      </c>
      <c r="C16" s="26" t="str">
        <f t="shared" si="0"/>
        <v>coke - IPCC</v>
      </c>
      <c r="D16" s="26">
        <v>0.2</v>
      </c>
      <c r="E16" s="26" t="str">
        <f t="shared" si="2"/>
        <v>charcoal - IPCC</v>
      </c>
      <c r="F16" s="27">
        <f t="shared" si="2"/>
        <v>9.4E-2</v>
      </c>
      <c r="G16" s="27">
        <f t="shared" si="2"/>
        <v>0.1152</v>
      </c>
    </row>
    <row r="17" spans="1:8" hidden="1" x14ac:dyDescent="0.25">
      <c r="A17" s="139" t="s">
        <v>117</v>
      </c>
      <c r="B17" s="27">
        <v>0.05</v>
      </c>
      <c r="C17" s="26" t="s">
        <v>118</v>
      </c>
      <c r="D17" s="26">
        <v>0</v>
      </c>
      <c r="E17" s="26" t="s">
        <v>184</v>
      </c>
      <c r="F17" s="27">
        <v>9.4E-2</v>
      </c>
      <c r="G17" s="27">
        <v>0.1152</v>
      </c>
    </row>
    <row r="18" spans="1:8" hidden="1" x14ac:dyDescent="0.25">
      <c r="A18" s="26" t="s">
        <v>129</v>
      </c>
      <c r="B18" s="27">
        <f>B20</f>
        <v>4.4468085106382983E-2</v>
      </c>
      <c r="C18" s="26" t="s">
        <v>103</v>
      </c>
      <c r="D18" s="26">
        <v>0</v>
      </c>
      <c r="E18" s="26" t="s">
        <v>184</v>
      </c>
      <c r="F18" s="93">
        <f>(0.56*131.1+10.2)/1000</f>
        <v>8.3615999999999996E-2</v>
      </c>
      <c r="G18" s="27">
        <f>G20</f>
        <v>9.1999999999999998E-2</v>
      </c>
    </row>
    <row r="19" spans="1:8" hidden="1" x14ac:dyDescent="0.25">
      <c r="A19" s="26" t="s">
        <v>130</v>
      </c>
      <c r="B19" s="120">
        <f>1.2766/28.2</f>
        <v>4.5269503546099293E-2</v>
      </c>
      <c r="C19" s="26" t="s">
        <v>103</v>
      </c>
      <c r="D19" s="26">
        <v>0</v>
      </c>
      <c r="E19" s="26" t="s">
        <v>184</v>
      </c>
      <c r="F19" s="27">
        <f>(0.56*131.1+10.2)/1000</f>
        <v>8.3615999999999996E-2</v>
      </c>
      <c r="G19" s="93">
        <f>(0.092+0.155)/2</f>
        <v>0.1235</v>
      </c>
      <c r="H19" s="26">
        <v>2004</v>
      </c>
    </row>
    <row r="20" spans="1:8" hidden="1" x14ac:dyDescent="0.25">
      <c r="A20" s="26" t="s">
        <v>123</v>
      </c>
      <c r="B20" s="120">
        <f>1.254/28.2</f>
        <v>4.4468085106382983E-2</v>
      </c>
      <c r="C20" s="26" t="s">
        <v>103</v>
      </c>
      <c r="D20" s="26">
        <v>0</v>
      </c>
      <c r="E20" s="26" t="s">
        <v>184</v>
      </c>
      <c r="F20" s="93">
        <f>(0.56*131.1+10.2)/1000</f>
        <v>8.3615999999999996E-2</v>
      </c>
      <c r="G20" s="27">
        <v>9.1999999999999998E-2</v>
      </c>
      <c r="H20" s="26">
        <v>2004</v>
      </c>
    </row>
    <row r="21" spans="1:8" hidden="1" x14ac:dyDescent="0.25">
      <c r="A21" s="26" t="s">
        <v>131</v>
      </c>
      <c r="B21" s="120">
        <f>1.2/28.2</f>
        <v>4.2553191489361701E-2</v>
      </c>
      <c r="C21" s="26" t="s">
        <v>103</v>
      </c>
      <c r="F21" s="27">
        <v>0</v>
      </c>
      <c r="G21" s="27"/>
    </row>
    <row r="22" spans="1:8" hidden="1" x14ac:dyDescent="0.25">
      <c r="A22" s="26" t="s">
        <v>133</v>
      </c>
      <c r="B22" s="122">
        <f>1.37/30.23</f>
        <v>4.531921931855773E-2</v>
      </c>
      <c r="C22" s="26" t="s">
        <v>103</v>
      </c>
      <c r="F22" s="27"/>
      <c r="G22" s="27">
        <v>0.1</v>
      </c>
    </row>
    <row r="23" spans="1:8" hidden="1" x14ac:dyDescent="0.25">
      <c r="A23" s="26" t="s">
        <v>142</v>
      </c>
      <c r="B23" s="120">
        <f>1.29/28.2</f>
        <v>4.5744680851063833E-2</v>
      </c>
      <c r="F23" s="27"/>
      <c r="G23" s="27"/>
    </row>
    <row r="24" spans="1:8" hidden="1" x14ac:dyDescent="0.25">
      <c r="A24" s="26" t="s">
        <v>135</v>
      </c>
      <c r="B24" s="27">
        <f>0.044</f>
        <v>4.3999999999999997E-2</v>
      </c>
      <c r="C24" s="26" t="s">
        <v>103</v>
      </c>
      <c r="D24" s="26">
        <v>0</v>
      </c>
      <c r="E24" s="26" t="s">
        <v>184</v>
      </c>
      <c r="F24" s="93">
        <f>(0.56*131.1+10.2)/1000</f>
        <v>8.3615999999999996E-2</v>
      </c>
      <c r="G24" s="27">
        <f>G59</f>
        <v>0.09</v>
      </c>
    </row>
    <row r="25" spans="1:8" hidden="1" x14ac:dyDescent="0.25">
      <c r="A25" s="43" t="s">
        <v>166</v>
      </c>
      <c r="B25" s="119">
        <v>5.1040000000000002E-2</v>
      </c>
      <c r="C25" s="42" t="s">
        <v>104</v>
      </c>
      <c r="D25" s="42">
        <v>0</v>
      </c>
      <c r="E25" s="42" t="s">
        <v>184</v>
      </c>
      <c r="F25" s="140">
        <f>0.1407*0.56</f>
        <v>7.8792000000000001E-2</v>
      </c>
      <c r="G25" s="119">
        <f>4.93*Ref!B18</f>
        <v>1.7748E-2</v>
      </c>
    </row>
    <row r="26" spans="1:8" hidden="1" x14ac:dyDescent="0.25">
      <c r="A26" s="43" t="s">
        <v>167</v>
      </c>
      <c r="B26" s="27">
        <f>43.2/0.88</f>
        <v>49.090909090909093</v>
      </c>
      <c r="C26" s="26" t="s">
        <v>168</v>
      </c>
      <c r="F26" s="94">
        <f>0.01109*(56/12)</f>
        <v>5.1753333333333332E-2</v>
      </c>
      <c r="G26" s="27"/>
      <c r="H26" s="26" t="s">
        <v>169</v>
      </c>
    </row>
    <row r="27" spans="1:8" s="76" customFormat="1" x14ac:dyDescent="0.25">
      <c r="A27" s="52" t="s">
        <v>213</v>
      </c>
      <c r="B27" s="141">
        <v>0.05</v>
      </c>
      <c r="C27" s="76" t="s">
        <v>103</v>
      </c>
      <c r="D27" s="76">
        <v>0</v>
      </c>
      <c r="E27" s="76" t="s">
        <v>184</v>
      </c>
      <c r="F27" s="123">
        <v>8.5000000000000006E-2</v>
      </c>
      <c r="G27" s="82">
        <f>(0.092+0.155)/2</f>
        <v>0.1235</v>
      </c>
      <c r="H27" s="76">
        <v>2004</v>
      </c>
    </row>
    <row r="28" spans="1:8" x14ac:dyDescent="0.25">
      <c r="A28" s="40" t="s">
        <v>214</v>
      </c>
      <c r="B28" s="27">
        <f>B$27</f>
        <v>0.05</v>
      </c>
      <c r="C28" s="71" t="str">
        <f>C$27</f>
        <v>coke - IPCC</v>
      </c>
      <c r="D28" s="26">
        <f>D$24</f>
        <v>0</v>
      </c>
      <c r="E28" s="26" t="str">
        <f>E$24</f>
        <v>charcoal - IPCC</v>
      </c>
      <c r="F28" s="27">
        <f>F$27</f>
        <v>8.5000000000000006E-2</v>
      </c>
      <c r="G28" s="27">
        <f>G$27</f>
        <v>0.1235</v>
      </c>
    </row>
    <row r="29" spans="1:8" x14ac:dyDescent="0.25">
      <c r="A29" s="40" t="s">
        <v>215</v>
      </c>
      <c r="B29" s="27">
        <f>B$27</f>
        <v>0.05</v>
      </c>
      <c r="C29" s="71" t="str">
        <f>C$27</f>
        <v>coke - IPCC</v>
      </c>
      <c r="D29" s="114">
        <v>0.5</v>
      </c>
      <c r="E29" s="26" t="str">
        <f>E$24</f>
        <v>charcoal - IPCC</v>
      </c>
      <c r="F29" s="27">
        <f>F$27</f>
        <v>8.5000000000000006E-2</v>
      </c>
      <c r="G29" s="27">
        <f>G$27</f>
        <v>0.1235</v>
      </c>
    </row>
    <row r="30" spans="1:8" s="48" customFormat="1" ht="15.75" thickBot="1" x14ac:dyDescent="0.3">
      <c r="A30" s="49" t="s">
        <v>216</v>
      </c>
      <c r="B30" s="47">
        <f t="shared" ref="B30:C30" si="3">B$27</f>
        <v>0.05</v>
      </c>
      <c r="C30" s="65" t="str">
        <f t="shared" si="3"/>
        <v>coke - IPCC</v>
      </c>
      <c r="D30" s="50">
        <v>1</v>
      </c>
      <c r="E30" s="48" t="str">
        <f>E$24</f>
        <v>charcoal - IPCC</v>
      </c>
      <c r="F30" s="47">
        <f t="shared" ref="F30:G30" si="4">F$27</f>
        <v>8.5000000000000006E-2</v>
      </c>
      <c r="G30" s="47">
        <f t="shared" si="4"/>
        <v>0.1235</v>
      </c>
    </row>
    <row r="31" spans="1:8" s="76" customFormat="1" x14ac:dyDescent="0.25">
      <c r="A31" s="52" t="s">
        <v>217</v>
      </c>
      <c r="B31" s="82">
        <v>0.05</v>
      </c>
      <c r="C31" s="76" t="s">
        <v>103</v>
      </c>
      <c r="D31" s="76">
        <v>0</v>
      </c>
      <c r="E31" s="76" t="s">
        <v>184</v>
      </c>
      <c r="F31" s="142">
        <v>8.5000000000000006E-2</v>
      </c>
      <c r="G31" s="123">
        <f>4.93*Ref!B$18</f>
        <v>1.7748E-2</v>
      </c>
    </row>
    <row r="32" spans="1:8" x14ac:dyDescent="0.25">
      <c r="A32" s="40" t="s">
        <v>218</v>
      </c>
      <c r="B32" s="27">
        <f t="shared" ref="B32:C33" si="5">B$31</f>
        <v>0.05</v>
      </c>
      <c r="C32" s="26" t="str">
        <f t="shared" si="5"/>
        <v>coke - IPCC</v>
      </c>
      <c r="D32" s="26">
        <f>D$24</f>
        <v>0</v>
      </c>
      <c r="E32" s="26" t="str">
        <f>E$24</f>
        <v>charcoal - IPCC</v>
      </c>
      <c r="F32" s="94">
        <f t="shared" ref="F32:G32" si="6">F$31</f>
        <v>8.5000000000000006E-2</v>
      </c>
      <c r="G32" s="27">
        <f t="shared" si="6"/>
        <v>1.7748E-2</v>
      </c>
    </row>
    <row r="33" spans="1:8" x14ac:dyDescent="0.25">
      <c r="A33" s="40" t="s">
        <v>219</v>
      </c>
      <c r="B33" s="27">
        <f t="shared" si="5"/>
        <v>0.05</v>
      </c>
      <c r="C33" s="26" t="str">
        <f t="shared" si="5"/>
        <v>coke - IPCC</v>
      </c>
      <c r="D33" s="114">
        <v>0.5</v>
      </c>
      <c r="E33" s="26" t="str">
        <f>E$24</f>
        <v>charcoal - IPCC</v>
      </c>
      <c r="F33" s="27">
        <f t="shared" ref="F33:G33" si="7">F$31</f>
        <v>8.5000000000000006E-2</v>
      </c>
      <c r="G33" s="27">
        <f t="shared" si="7"/>
        <v>1.7748E-2</v>
      </c>
    </row>
    <row r="34" spans="1:8" s="48" customFormat="1" ht="15.75" thickBot="1" x14ac:dyDescent="0.3">
      <c r="A34" s="49" t="s">
        <v>220</v>
      </c>
      <c r="B34" s="47">
        <f>B$31</f>
        <v>0.05</v>
      </c>
      <c r="C34" s="48" t="str">
        <f t="shared" ref="C34" si="8">C$31</f>
        <v>coke - IPCC</v>
      </c>
      <c r="D34" s="50">
        <v>1</v>
      </c>
      <c r="E34" s="48" t="str">
        <f>E$24</f>
        <v>charcoal - IPCC</v>
      </c>
      <c r="F34" s="47">
        <f t="shared" ref="F34:G34" si="9">F$31</f>
        <v>8.5000000000000006E-2</v>
      </c>
      <c r="G34" s="47">
        <f t="shared" si="9"/>
        <v>1.7748E-2</v>
      </c>
    </row>
    <row r="35" spans="1:8" s="76" customFormat="1" x14ac:dyDescent="0.25">
      <c r="A35" s="53" t="s">
        <v>221</v>
      </c>
      <c r="B35" s="123">
        <v>0.05</v>
      </c>
      <c r="C35" s="76" t="s">
        <v>103</v>
      </c>
      <c r="D35" s="76">
        <v>0</v>
      </c>
      <c r="E35" s="76" t="s">
        <v>184</v>
      </c>
      <c r="F35" s="82">
        <v>8.5000000000000006E-2</v>
      </c>
      <c r="G35" s="123">
        <v>0.14000000000000001</v>
      </c>
    </row>
    <row r="36" spans="1:8" x14ac:dyDescent="0.25">
      <c r="A36" s="39" t="s">
        <v>222</v>
      </c>
      <c r="B36" s="27">
        <f t="shared" ref="B36:C38" si="10">B$35</f>
        <v>0.05</v>
      </c>
      <c r="C36" s="26" t="str">
        <f t="shared" si="10"/>
        <v>coke - IPCC</v>
      </c>
      <c r="D36" s="26">
        <f t="shared" ref="D36:E38" si="11">D$24</f>
        <v>0</v>
      </c>
      <c r="E36" s="26" t="str">
        <f t="shared" si="11"/>
        <v>charcoal - IPCC</v>
      </c>
      <c r="F36" s="27">
        <f t="shared" ref="F36:G38" si="12">F$35</f>
        <v>8.5000000000000006E-2</v>
      </c>
      <c r="G36" s="27">
        <f t="shared" si="12"/>
        <v>0.14000000000000001</v>
      </c>
    </row>
    <row r="37" spans="1:8" x14ac:dyDescent="0.25">
      <c r="A37" s="39" t="s">
        <v>223</v>
      </c>
      <c r="B37" s="27">
        <f t="shared" si="10"/>
        <v>0.05</v>
      </c>
      <c r="C37" s="26" t="str">
        <f t="shared" si="10"/>
        <v>coke - IPCC</v>
      </c>
      <c r="D37" s="114">
        <v>0.5</v>
      </c>
      <c r="E37" s="26" t="str">
        <f t="shared" si="11"/>
        <v>charcoal - IPCC</v>
      </c>
      <c r="F37" s="27">
        <f t="shared" si="12"/>
        <v>8.5000000000000006E-2</v>
      </c>
      <c r="G37" s="27">
        <f t="shared" si="12"/>
        <v>0.14000000000000001</v>
      </c>
    </row>
    <row r="38" spans="1:8" s="48" customFormat="1" ht="15.75" thickBot="1" x14ac:dyDescent="0.3">
      <c r="A38" s="51" t="s">
        <v>224</v>
      </c>
      <c r="B38" s="47">
        <f t="shared" si="10"/>
        <v>0.05</v>
      </c>
      <c r="C38" s="48" t="str">
        <f t="shared" si="10"/>
        <v>coke - IPCC</v>
      </c>
      <c r="D38" s="50">
        <v>1</v>
      </c>
      <c r="E38" s="48" t="str">
        <f t="shared" si="11"/>
        <v>charcoal - IPCC</v>
      </c>
      <c r="F38" s="47">
        <f t="shared" si="12"/>
        <v>8.5000000000000006E-2</v>
      </c>
      <c r="G38" s="47">
        <f t="shared" si="12"/>
        <v>0.14000000000000001</v>
      </c>
    </row>
    <row r="39" spans="1:8" s="76" customFormat="1" x14ac:dyDescent="0.25">
      <c r="A39" s="53" t="s">
        <v>225</v>
      </c>
      <c r="B39" s="82">
        <v>0.05</v>
      </c>
      <c r="C39" s="76" t="s">
        <v>103</v>
      </c>
      <c r="D39" s="76">
        <v>0</v>
      </c>
      <c r="E39" s="76" t="s">
        <v>184</v>
      </c>
      <c r="F39" s="125">
        <v>8.4699999999999998E-2</v>
      </c>
      <c r="G39" s="82">
        <v>0.1</v>
      </c>
    </row>
    <row r="40" spans="1:8" x14ac:dyDescent="0.25">
      <c r="A40" s="39" t="s">
        <v>226</v>
      </c>
      <c r="B40" s="45">
        <f t="shared" ref="B40:C42" si="13">B$39</f>
        <v>0.05</v>
      </c>
      <c r="C40" s="44" t="str">
        <f t="shared" si="13"/>
        <v>coke - IPCC</v>
      </c>
      <c r="D40" s="26">
        <f t="shared" ref="D40:E42" si="14">D$24</f>
        <v>0</v>
      </c>
      <c r="E40" s="26" t="str">
        <f t="shared" si="14"/>
        <v>charcoal - IPCC</v>
      </c>
      <c r="F40" s="45">
        <f t="shared" ref="F40:G42" si="15">F$39</f>
        <v>8.4699999999999998E-2</v>
      </c>
      <c r="G40" s="45">
        <f t="shared" si="15"/>
        <v>0.1</v>
      </c>
    </row>
    <row r="41" spans="1:8" x14ac:dyDescent="0.25">
      <c r="A41" s="39" t="s">
        <v>227</v>
      </c>
      <c r="B41" s="45">
        <f t="shared" si="13"/>
        <v>0.05</v>
      </c>
      <c r="C41" s="44" t="str">
        <f t="shared" si="13"/>
        <v>coke - IPCC</v>
      </c>
      <c r="D41" s="114">
        <v>0.5</v>
      </c>
      <c r="E41" s="26" t="str">
        <f t="shared" si="14"/>
        <v>charcoal - IPCC</v>
      </c>
      <c r="F41" s="45">
        <f t="shared" si="15"/>
        <v>8.4699999999999998E-2</v>
      </c>
      <c r="G41" s="45">
        <f t="shared" si="15"/>
        <v>0.1</v>
      </c>
    </row>
    <row r="42" spans="1:8" s="48" customFormat="1" ht="15.75" thickBot="1" x14ac:dyDescent="0.3">
      <c r="A42" s="51" t="s">
        <v>228</v>
      </c>
      <c r="B42" s="64">
        <f t="shared" si="13"/>
        <v>0.05</v>
      </c>
      <c r="C42" s="62" t="str">
        <f t="shared" si="13"/>
        <v>coke - IPCC</v>
      </c>
      <c r="D42" s="50">
        <v>1</v>
      </c>
      <c r="E42" s="48" t="str">
        <f t="shared" si="14"/>
        <v>charcoal - IPCC</v>
      </c>
      <c r="F42" s="64">
        <f t="shared" si="15"/>
        <v>8.4699999999999998E-2</v>
      </c>
      <c r="G42" s="64">
        <f t="shared" si="15"/>
        <v>0.1</v>
      </c>
    </row>
    <row r="43" spans="1:8" x14ac:dyDescent="0.25">
      <c r="A43" s="53" t="s">
        <v>229</v>
      </c>
      <c r="B43" s="122">
        <v>0.05</v>
      </c>
      <c r="C43" s="76" t="s">
        <v>103</v>
      </c>
      <c r="D43" s="121">
        <v>0</v>
      </c>
      <c r="E43" s="121" t="s">
        <v>184</v>
      </c>
      <c r="F43" s="93">
        <v>8.5000000000000006E-2</v>
      </c>
      <c r="G43" s="122">
        <f>0.1</f>
        <v>0.1</v>
      </c>
      <c r="H43" s="26" t="s">
        <v>132</v>
      </c>
    </row>
    <row r="44" spans="1:8" x14ac:dyDescent="0.25">
      <c r="A44" s="39" t="s">
        <v>230</v>
      </c>
      <c r="B44" s="27">
        <f t="shared" ref="B44:C51" si="16">B$43</f>
        <v>0.05</v>
      </c>
      <c r="C44" s="113" t="str">
        <f t="shared" si="16"/>
        <v>coke - IPCC</v>
      </c>
      <c r="D44" s="26">
        <f t="shared" ref="D44:E46" si="17">D$24</f>
        <v>0</v>
      </c>
      <c r="E44" s="26" t="str">
        <f t="shared" si="17"/>
        <v>charcoal - IPCC</v>
      </c>
      <c r="F44" s="27">
        <f t="shared" ref="F44:G46" si="18">F$43</f>
        <v>8.5000000000000006E-2</v>
      </c>
      <c r="G44" s="27">
        <f t="shared" si="18"/>
        <v>0.1</v>
      </c>
    </row>
    <row r="45" spans="1:8" x14ac:dyDescent="0.25">
      <c r="A45" s="39" t="s">
        <v>231</v>
      </c>
      <c r="B45" s="27">
        <f t="shared" si="16"/>
        <v>0.05</v>
      </c>
      <c r="C45" s="113" t="str">
        <f t="shared" si="16"/>
        <v>coke - IPCC</v>
      </c>
      <c r="D45" s="114">
        <v>0.5</v>
      </c>
      <c r="E45" s="26" t="str">
        <f t="shared" si="17"/>
        <v>charcoal - IPCC</v>
      </c>
      <c r="F45" s="27">
        <f t="shared" si="18"/>
        <v>8.5000000000000006E-2</v>
      </c>
      <c r="G45" s="27">
        <f t="shared" si="18"/>
        <v>0.1</v>
      </c>
    </row>
    <row r="46" spans="1:8" s="48" customFormat="1" ht="15.75" thickBot="1" x14ac:dyDescent="0.3">
      <c r="A46" s="51" t="s">
        <v>232</v>
      </c>
      <c r="B46" s="47">
        <f t="shared" si="16"/>
        <v>0.05</v>
      </c>
      <c r="C46" s="164" t="str">
        <f t="shared" si="16"/>
        <v>coke - IPCC</v>
      </c>
      <c r="D46" s="50">
        <v>1</v>
      </c>
      <c r="E46" s="48" t="str">
        <f t="shared" si="17"/>
        <v>charcoal - IPCC</v>
      </c>
      <c r="F46" s="47">
        <f t="shared" si="18"/>
        <v>8.5000000000000006E-2</v>
      </c>
      <c r="G46" s="47">
        <f t="shared" si="18"/>
        <v>0.1</v>
      </c>
    </row>
    <row r="47" spans="1:8" s="76" customFormat="1" x14ac:dyDescent="0.25">
      <c r="A47" s="53" t="s">
        <v>233</v>
      </c>
      <c r="B47" s="82">
        <v>0.05</v>
      </c>
      <c r="C47" s="76" t="s">
        <v>103</v>
      </c>
      <c r="D47" s="76">
        <v>0</v>
      </c>
      <c r="E47" s="76" t="s">
        <v>184</v>
      </c>
      <c r="F47" s="82">
        <v>8.5000000000000006E-2</v>
      </c>
      <c r="G47" s="82">
        <v>0.1</v>
      </c>
    </row>
    <row r="48" spans="1:8" x14ac:dyDescent="0.25">
      <c r="A48" s="39" t="s">
        <v>234</v>
      </c>
      <c r="B48" s="45">
        <f t="shared" ref="B48:C50" si="19">B$47</f>
        <v>0.05</v>
      </c>
      <c r="C48" s="46" t="str">
        <f t="shared" si="19"/>
        <v>coke - IPCC</v>
      </c>
      <c r="D48" s="26">
        <f t="shared" ref="D48:E50" si="20">D$24</f>
        <v>0</v>
      </c>
      <c r="E48" s="26" t="str">
        <f t="shared" si="20"/>
        <v>charcoal - IPCC</v>
      </c>
      <c r="F48" s="45">
        <f t="shared" ref="F48:G50" si="21">F$47</f>
        <v>8.5000000000000006E-2</v>
      </c>
      <c r="G48" s="45">
        <f t="shared" si="21"/>
        <v>0.1</v>
      </c>
    </row>
    <row r="49" spans="1:7" ht="13.5" customHeight="1" x14ac:dyDescent="0.25">
      <c r="A49" s="39" t="s">
        <v>235</v>
      </c>
      <c r="B49" s="45">
        <f t="shared" si="19"/>
        <v>0.05</v>
      </c>
      <c r="C49" s="46" t="str">
        <f t="shared" si="19"/>
        <v>coke - IPCC</v>
      </c>
      <c r="D49" s="114">
        <v>0.5</v>
      </c>
      <c r="E49" s="26" t="str">
        <f t="shared" si="20"/>
        <v>charcoal - IPCC</v>
      </c>
      <c r="F49" s="45">
        <f t="shared" si="21"/>
        <v>8.5000000000000006E-2</v>
      </c>
      <c r="G49" s="45">
        <f t="shared" si="21"/>
        <v>0.1</v>
      </c>
    </row>
    <row r="50" spans="1:7" s="48" customFormat="1" ht="15.75" thickBot="1" x14ac:dyDescent="0.3">
      <c r="A50" s="51" t="s">
        <v>236</v>
      </c>
      <c r="B50" s="64">
        <f t="shared" si="19"/>
        <v>0.05</v>
      </c>
      <c r="C50" s="165" t="str">
        <f t="shared" si="19"/>
        <v>coke - IPCC</v>
      </c>
      <c r="D50" s="50">
        <v>1</v>
      </c>
      <c r="E50" s="48" t="str">
        <f t="shared" si="20"/>
        <v>charcoal - IPCC</v>
      </c>
      <c r="F50" s="64">
        <f t="shared" si="21"/>
        <v>8.5000000000000006E-2</v>
      </c>
      <c r="G50" s="64">
        <f t="shared" si="21"/>
        <v>0.1</v>
      </c>
    </row>
    <row r="51" spans="1:7" s="76" customFormat="1" x14ac:dyDescent="0.25">
      <c r="A51" s="53" t="s">
        <v>191</v>
      </c>
      <c r="B51" s="123">
        <f>1.2/28.2</f>
        <v>4.2553191489361701E-2</v>
      </c>
      <c r="C51" s="143" t="str">
        <f t="shared" si="16"/>
        <v>coke - IPCC</v>
      </c>
      <c r="D51" s="76">
        <v>0</v>
      </c>
      <c r="E51" s="76" t="s">
        <v>184</v>
      </c>
      <c r="F51" s="76">
        <v>8.5000000000000006E-2</v>
      </c>
      <c r="G51" s="123">
        <v>0.09</v>
      </c>
    </row>
    <row r="52" spans="1:7" x14ac:dyDescent="0.25">
      <c r="A52" s="116" t="s">
        <v>192</v>
      </c>
      <c r="B52" s="27">
        <f>B51</f>
        <v>4.2553191489361701E-2</v>
      </c>
      <c r="C52" s="27" t="str">
        <f>C47</f>
        <v>coke - IPCC</v>
      </c>
      <c r="D52" s="26">
        <f t="shared" ref="D52" si="22">D$24</f>
        <v>0</v>
      </c>
      <c r="E52" s="27" t="str">
        <f>E47</f>
        <v>charcoal - IPCC</v>
      </c>
      <c r="F52" s="27">
        <f>F47</f>
        <v>8.5000000000000006E-2</v>
      </c>
      <c r="G52" s="27">
        <f>G51</f>
        <v>0.09</v>
      </c>
    </row>
    <row r="53" spans="1:7" x14ac:dyDescent="0.25">
      <c r="A53" s="116" t="s">
        <v>193</v>
      </c>
      <c r="B53" s="27">
        <f>B51</f>
        <v>4.2553191489361701E-2</v>
      </c>
      <c r="C53" s="27" t="str">
        <f>C47</f>
        <v>coke - IPCC</v>
      </c>
      <c r="D53" s="114">
        <v>0.5</v>
      </c>
      <c r="E53" s="27" t="str">
        <f>E47</f>
        <v>charcoal - IPCC</v>
      </c>
      <c r="F53" s="27">
        <f>F47</f>
        <v>8.5000000000000006E-2</v>
      </c>
      <c r="G53" s="27">
        <f>G51</f>
        <v>0.09</v>
      </c>
    </row>
    <row r="54" spans="1:7" s="48" customFormat="1" ht="15.75" thickBot="1" x14ac:dyDescent="0.3">
      <c r="A54" s="145" t="s">
        <v>194</v>
      </c>
      <c r="B54" s="47">
        <f>B51</f>
        <v>4.2553191489361701E-2</v>
      </c>
      <c r="C54" s="47" t="str">
        <f>C47</f>
        <v>coke - IPCC</v>
      </c>
      <c r="D54" s="50">
        <v>1</v>
      </c>
      <c r="E54" s="47" t="str">
        <f>E47</f>
        <v>charcoal - IPCC</v>
      </c>
      <c r="F54" s="47">
        <f>F47</f>
        <v>8.5000000000000006E-2</v>
      </c>
      <c r="G54" s="47">
        <f>G51</f>
        <v>0.09</v>
      </c>
    </row>
    <row r="55" spans="1:7" x14ac:dyDescent="0.25">
      <c r="A55" s="52" t="s">
        <v>195</v>
      </c>
      <c r="B55" s="141">
        <v>4.4999999999999998E-2</v>
      </c>
      <c r="C55" s="76" t="s">
        <v>103</v>
      </c>
      <c r="D55" s="76">
        <v>0</v>
      </c>
      <c r="E55" s="76" t="s">
        <v>184</v>
      </c>
      <c r="F55" s="82">
        <v>8.5000000000000006E-2</v>
      </c>
      <c r="G55" s="123">
        <v>0.09</v>
      </c>
    </row>
    <row r="56" spans="1:7" x14ac:dyDescent="0.25">
      <c r="A56" s="136" t="s">
        <v>197</v>
      </c>
      <c r="B56" s="27">
        <f>B55</f>
        <v>4.4999999999999998E-2</v>
      </c>
      <c r="C56" s="27" t="str">
        <f>C55</f>
        <v>coke - IPCC</v>
      </c>
      <c r="D56" s="26">
        <f t="shared" ref="D56:D60" si="23">D$24</f>
        <v>0</v>
      </c>
      <c r="E56" s="27" t="str">
        <f>E55</f>
        <v>charcoal - IPCC</v>
      </c>
      <c r="F56" s="27">
        <f>F55</f>
        <v>8.5000000000000006E-2</v>
      </c>
      <c r="G56" s="27">
        <f>G55</f>
        <v>0.09</v>
      </c>
    </row>
    <row r="57" spans="1:7" x14ac:dyDescent="0.25">
      <c r="A57" s="116" t="s">
        <v>196</v>
      </c>
      <c r="B57" s="27">
        <f>B55</f>
        <v>4.4999999999999998E-2</v>
      </c>
      <c r="C57" s="27" t="str">
        <f>C55</f>
        <v>coke - IPCC</v>
      </c>
      <c r="D57" s="114">
        <v>0.5</v>
      </c>
      <c r="E57" s="27" t="str">
        <f>E55</f>
        <v>charcoal - IPCC</v>
      </c>
      <c r="F57" s="27">
        <f>F55</f>
        <v>8.5000000000000006E-2</v>
      </c>
      <c r="G57" s="27">
        <f>G55</f>
        <v>0.09</v>
      </c>
    </row>
    <row r="58" spans="1:7" s="48" customFormat="1" ht="15.75" thickBot="1" x14ac:dyDescent="0.3">
      <c r="A58" s="145" t="s">
        <v>198</v>
      </c>
      <c r="B58" s="47">
        <f>B55</f>
        <v>4.4999999999999998E-2</v>
      </c>
      <c r="C58" s="47" t="str">
        <f>C55</f>
        <v>coke - IPCC</v>
      </c>
      <c r="D58" s="50">
        <v>1</v>
      </c>
      <c r="E58" s="47" t="str">
        <f>E55</f>
        <v>charcoal - IPCC</v>
      </c>
      <c r="F58" s="47">
        <f>F55</f>
        <v>8.5000000000000006E-2</v>
      </c>
      <c r="G58" s="47">
        <f>G55</f>
        <v>0.09</v>
      </c>
    </row>
    <row r="59" spans="1:7" x14ac:dyDescent="0.25">
      <c r="A59" s="116" t="s">
        <v>199</v>
      </c>
      <c r="B59" s="141">
        <v>4.4999999999999998E-2</v>
      </c>
      <c r="C59" s="76" t="s">
        <v>103</v>
      </c>
      <c r="D59" s="76">
        <v>0</v>
      </c>
      <c r="E59" s="76" t="s">
        <v>184</v>
      </c>
      <c r="F59" s="82">
        <v>8.5000000000000006E-2</v>
      </c>
      <c r="G59" s="123">
        <v>0.09</v>
      </c>
    </row>
    <row r="60" spans="1:7" x14ac:dyDescent="0.25">
      <c r="A60" s="116" t="s">
        <v>200</v>
      </c>
      <c r="B60" s="27">
        <f>B59</f>
        <v>4.4999999999999998E-2</v>
      </c>
      <c r="C60" s="27" t="str">
        <f>C59</f>
        <v>coke - IPCC</v>
      </c>
      <c r="D60" s="26">
        <f t="shared" si="23"/>
        <v>0</v>
      </c>
      <c r="E60" s="27" t="str">
        <f>E59</f>
        <v>charcoal - IPCC</v>
      </c>
      <c r="F60" s="27">
        <f>F59</f>
        <v>8.5000000000000006E-2</v>
      </c>
      <c r="G60" s="27">
        <f>G59</f>
        <v>0.09</v>
      </c>
    </row>
    <row r="61" spans="1:7" x14ac:dyDescent="0.25">
      <c r="A61" s="116" t="s">
        <v>201</v>
      </c>
      <c r="B61" s="27">
        <f>B59</f>
        <v>4.4999999999999998E-2</v>
      </c>
      <c r="C61" s="27" t="str">
        <f>C59</f>
        <v>coke - IPCC</v>
      </c>
      <c r="D61" s="114">
        <v>0.5</v>
      </c>
      <c r="E61" s="27" t="str">
        <f>E59</f>
        <v>charcoal - IPCC</v>
      </c>
      <c r="F61" s="27">
        <f>F59</f>
        <v>8.5000000000000006E-2</v>
      </c>
      <c r="G61" s="27">
        <f>G59</f>
        <v>0.09</v>
      </c>
    </row>
    <row r="62" spans="1:7" s="48" customFormat="1" ht="15.75" thickBot="1" x14ac:dyDescent="0.3">
      <c r="A62" s="145" t="s">
        <v>202</v>
      </c>
      <c r="B62" s="47">
        <f>B59</f>
        <v>4.4999999999999998E-2</v>
      </c>
      <c r="C62" s="47" t="str">
        <f>C59</f>
        <v>coke - IPCC</v>
      </c>
      <c r="D62" s="50">
        <v>1</v>
      </c>
      <c r="E62" s="47" t="str">
        <f>E59</f>
        <v>charcoal - IPCC</v>
      </c>
      <c r="F62" s="47">
        <f>F59</f>
        <v>8.5000000000000006E-2</v>
      </c>
      <c r="G62" s="47">
        <f>G59</f>
        <v>0.09</v>
      </c>
    </row>
    <row r="63" spans="1:7" s="76" customFormat="1" x14ac:dyDescent="0.25">
      <c r="A63" s="144" t="s">
        <v>204</v>
      </c>
      <c r="B63" s="141">
        <v>4.4999999999999998E-2</v>
      </c>
      <c r="C63" s="76" t="s">
        <v>103</v>
      </c>
      <c r="D63" s="76">
        <v>0</v>
      </c>
      <c r="E63" s="76" t="s">
        <v>184</v>
      </c>
      <c r="F63" s="82">
        <f>(0.56*131.1+10.2)/1000</f>
        <v>8.3615999999999996E-2</v>
      </c>
      <c r="G63" s="123">
        <v>0.09</v>
      </c>
    </row>
    <row r="64" spans="1:7" x14ac:dyDescent="0.25">
      <c r="A64" s="116" t="s">
        <v>205</v>
      </c>
      <c r="B64" s="27">
        <f>B63</f>
        <v>4.4999999999999998E-2</v>
      </c>
      <c r="C64" s="27" t="str">
        <f>C63</f>
        <v>coke - IPCC</v>
      </c>
      <c r="D64" s="26">
        <f t="shared" ref="D64" si="24">D$24</f>
        <v>0</v>
      </c>
      <c r="E64" s="27" t="str">
        <f>E63</f>
        <v>charcoal - IPCC</v>
      </c>
      <c r="F64" s="27">
        <f>F63</f>
        <v>8.3615999999999996E-2</v>
      </c>
      <c r="G64" s="27">
        <f>G63</f>
        <v>0.09</v>
      </c>
    </row>
    <row r="65" spans="1:7" x14ac:dyDescent="0.25">
      <c r="A65" s="116" t="s">
        <v>241</v>
      </c>
      <c r="B65" s="27">
        <f>B63</f>
        <v>4.4999999999999998E-2</v>
      </c>
      <c r="C65" s="27" t="str">
        <f>C63</f>
        <v>coke - IPCC</v>
      </c>
      <c r="D65" s="114">
        <v>0.5</v>
      </c>
      <c r="E65" s="27" t="str">
        <f>E63</f>
        <v>charcoal - IPCC</v>
      </c>
      <c r="F65" s="27">
        <f>F63</f>
        <v>8.3615999999999996E-2</v>
      </c>
      <c r="G65" s="27">
        <f>G63</f>
        <v>0.09</v>
      </c>
    </row>
    <row r="66" spans="1:7" s="48" customFormat="1" ht="15.75" thickBot="1" x14ac:dyDescent="0.3">
      <c r="A66" s="145" t="s">
        <v>206</v>
      </c>
      <c r="B66" s="47">
        <f>B63</f>
        <v>4.4999999999999998E-2</v>
      </c>
      <c r="C66" s="47" t="str">
        <f>C63</f>
        <v>coke - IPCC</v>
      </c>
      <c r="D66" s="50">
        <v>1</v>
      </c>
      <c r="E66" s="47" t="str">
        <f>E63</f>
        <v>charcoal - IPCC</v>
      </c>
      <c r="F66" s="47">
        <f>F63</f>
        <v>8.3615999999999996E-2</v>
      </c>
      <c r="G66" s="47">
        <f>G63</f>
        <v>0.09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"/>
  <sheetViews>
    <sheetView zoomScaleNormal="100" workbookViewId="0">
      <pane xSplit="1" ySplit="2" topLeftCell="H15" activePane="bottomRight" state="frozen"/>
      <selection pane="topRight" activeCell="B1" sqref="B1"/>
      <selection pane="bottomLeft" activeCell="A3" sqref="A3"/>
      <selection pane="bottomRight" activeCell="L37" sqref="L37"/>
    </sheetView>
  </sheetViews>
  <sheetFormatPr defaultColWidth="11.42578125" defaultRowHeight="15" x14ac:dyDescent="0.25"/>
  <cols>
    <col min="1" max="1" width="27" style="26" customWidth="1"/>
    <col min="2" max="5" width="11.42578125" style="26"/>
    <col min="6" max="6" width="11.42578125" style="44"/>
    <col min="7" max="7" width="9.85546875" style="26" customWidth="1"/>
    <col min="8" max="11" width="11.42578125" style="26"/>
    <col min="12" max="12" width="20.7109375" style="26" customWidth="1"/>
    <col min="13" max="16" width="11.42578125" style="26"/>
    <col min="17" max="17" width="11.42578125" style="118"/>
    <col min="18" max="16384" width="11.42578125" style="26"/>
  </cols>
  <sheetData>
    <row r="1" spans="1:18" x14ac:dyDescent="0.25">
      <c r="A1" s="76" t="s">
        <v>0</v>
      </c>
      <c r="B1" s="42" t="s">
        <v>25</v>
      </c>
      <c r="C1" s="42" t="s">
        <v>26</v>
      </c>
      <c r="D1" s="42" t="s">
        <v>19</v>
      </c>
      <c r="E1" s="26" t="s">
        <v>7</v>
      </c>
      <c r="F1" s="44" t="s">
        <v>177</v>
      </c>
      <c r="G1" s="26" t="s">
        <v>50</v>
      </c>
      <c r="H1" s="26" t="s">
        <v>51</v>
      </c>
      <c r="I1" s="26" t="s">
        <v>52</v>
      </c>
      <c r="J1" s="26" t="s">
        <v>12</v>
      </c>
      <c r="K1" s="117" t="s">
        <v>16</v>
      </c>
      <c r="L1" s="26" t="s">
        <v>15</v>
      </c>
      <c r="M1" s="26" t="s">
        <v>17</v>
      </c>
      <c r="N1" s="26" t="s">
        <v>18</v>
      </c>
      <c r="O1" s="26" t="s">
        <v>185</v>
      </c>
      <c r="P1" s="26" t="s">
        <v>136</v>
      </c>
      <c r="Q1" s="146" t="s">
        <v>207</v>
      </c>
      <c r="R1" s="26" t="s">
        <v>2</v>
      </c>
    </row>
    <row r="2" spans="1:18" x14ac:dyDescent="0.25">
      <c r="A2" s="118" t="s">
        <v>1</v>
      </c>
      <c r="B2" s="118" t="s">
        <v>46</v>
      </c>
      <c r="C2" s="118" t="s">
        <v>47</v>
      </c>
      <c r="D2" s="118" t="s">
        <v>48</v>
      </c>
      <c r="E2" s="26" t="s">
        <v>56</v>
      </c>
      <c r="F2" s="44" t="s">
        <v>134</v>
      </c>
      <c r="G2" s="118" t="s">
        <v>49</v>
      </c>
      <c r="I2" s="118" t="s">
        <v>53</v>
      </c>
      <c r="K2" s="118" t="s">
        <v>54</v>
      </c>
      <c r="M2" s="26" t="s">
        <v>53</v>
      </c>
      <c r="O2" s="118" t="s">
        <v>49</v>
      </c>
    </row>
    <row r="3" spans="1:18" x14ac:dyDescent="0.25">
      <c r="A3" s="118" t="s">
        <v>2</v>
      </c>
      <c r="B3" s="118"/>
      <c r="C3" s="118"/>
      <c r="D3" s="118"/>
    </row>
    <row r="4" spans="1:18" s="85" customFormat="1" x14ac:dyDescent="0.25">
      <c r="A4" s="85" t="s">
        <v>3</v>
      </c>
      <c r="B4" s="85">
        <v>1.3</v>
      </c>
      <c r="C4" s="85">
        <v>0</v>
      </c>
      <c r="D4" s="162">
        <f>0.109*0.56</f>
        <v>6.1040000000000004E-2</v>
      </c>
      <c r="E4" s="85">
        <v>0</v>
      </c>
      <c r="F4" s="166">
        <v>0</v>
      </c>
      <c r="G4" s="162">
        <f>0.382*0.8</f>
        <v>0.30560000000000004</v>
      </c>
      <c r="H4" s="85" t="s">
        <v>176</v>
      </c>
      <c r="I4" s="85" t="e">
        <f>#REF!</f>
        <v>#REF!</v>
      </c>
      <c r="J4" s="85" t="e">
        <f>#REF!</f>
        <v>#REF!</v>
      </c>
      <c r="K4" s="167">
        <v>0.187</v>
      </c>
      <c r="L4" s="85" t="s">
        <v>175</v>
      </c>
      <c r="M4" s="85" t="e">
        <f>#REF!</f>
        <v>#REF!</v>
      </c>
      <c r="N4" s="85" t="e">
        <f>#REF!</f>
        <v>#REF!</v>
      </c>
      <c r="Q4" s="168"/>
    </row>
    <row r="5" spans="1:18" s="76" customFormat="1" x14ac:dyDescent="0.25">
      <c r="A5" s="52" t="s">
        <v>213</v>
      </c>
      <c r="B5" s="123">
        <v>1.0900000000000001</v>
      </c>
      <c r="C5" s="123">
        <v>0.36</v>
      </c>
      <c r="D5" s="123">
        <v>2.5700000000000001E-2</v>
      </c>
      <c r="E5" s="123">
        <v>0.26800000000000002</v>
      </c>
      <c r="F5" s="57">
        <v>5.4399999999999997E-2</v>
      </c>
      <c r="G5" s="123">
        <v>0.35899999999999999</v>
      </c>
      <c r="H5" s="76" t="s">
        <v>103</v>
      </c>
      <c r="I5" s="76">
        <v>0</v>
      </c>
      <c r="J5" s="76" t="s">
        <v>184</v>
      </c>
      <c r="K5" s="99">
        <v>0.19</v>
      </c>
      <c r="L5" s="76" t="s">
        <v>190</v>
      </c>
      <c r="M5" s="76">
        <v>0</v>
      </c>
      <c r="N5" s="76" t="s">
        <v>184</v>
      </c>
      <c r="Q5" s="150">
        <f>G5*28.2+K5*25.8</f>
        <v>15.0258</v>
      </c>
    </row>
    <row r="6" spans="1:18" customFormat="1" x14ac:dyDescent="0.25">
      <c r="A6" s="128" t="s">
        <v>214</v>
      </c>
      <c r="B6" s="21">
        <f t="shared" ref="B6:C8" si="0">B$5</f>
        <v>1.0900000000000001</v>
      </c>
      <c r="C6" s="21">
        <f t="shared" si="0"/>
        <v>0.36</v>
      </c>
      <c r="D6" s="21">
        <f>D$5*0.9</f>
        <v>2.3130000000000001E-2</v>
      </c>
      <c r="E6" s="21">
        <f t="shared" ref="E6:H8" si="1">E$5</f>
        <v>0.26800000000000002</v>
      </c>
      <c r="F6" s="21">
        <f t="shared" si="1"/>
        <v>5.4399999999999997E-2</v>
      </c>
      <c r="G6" s="21">
        <f t="shared" si="1"/>
        <v>0.35899999999999999</v>
      </c>
      <c r="H6" t="str">
        <f t="shared" si="1"/>
        <v>coke - IPCC</v>
      </c>
      <c r="I6" s="1">
        <v>0</v>
      </c>
      <c r="J6" s="1" t="s">
        <v>184</v>
      </c>
      <c r="K6" s="38">
        <f>K$5</f>
        <v>0.19</v>
      </c>
      <c r="L6" s="1" t="s">
        <v>190</v>
      </c>
      <c r="M6" s="73">
        <v>1</v>
      </c>
      <c r="N6" s="1" t="s">
        <v>184</v>
      </c>
      <c r="Q6" s="150">
        <f t="shared" ref="Q6:Q16" si="2">G6*28.2+K6*25.8</f>
        <v>15.0258</v>
      </c>
    </row>
    <row r="7" spans="1:18" x14ac:dyDescent="0.25">
      <c r="A7" s="40" t="s">
        <v>215</v>
      </c>
      <c r="B7" s="27">
        <f t="shared" si="0"/>
        <v>1.0900000000000001</v>
      </c>
      <c r="C7" s="27">
        <f t="shared" si="0"/>
        <v>0.36</v>
      </c>
      <c r="D7" s="27">
        <f>D$5*0.9</f>
        <v>2.3130000000000001E-2</v>
      </c>
      <c r="E7" s="27">
        <f t="shared" si="1"/>
        <v>0.26800000000000002</v>
      </c>
      <c r="F7" s="45">
        <f t="shared" si="1"/>
        <v>5.4399999999999997E-2</v>
      </c>
      <c r="G7" s="27">
        <f t="shared" si="1"/>
        <v>0.35899999999999999</v>
      </c>
      <c r="H7" s="42" t="str">
        <f t="shared" si="1"/>
        <v>coke - IPCC</v>
      </c>
      <c r="I7" s="42">
        <v>0</v>
      </c>
      <c r="J7" s="42" t="s">
        <v>184</v>
      </c>
      <c r="K7" s="147">
        <f>K$5</f>
        <v>0.19</v>
      </c>
      <c r="L7" s="42" t="s">
        <v>190</v>
      </c>
      <c r="M7" s="115">
        <v>1</v>
      </c>
      <c r="N7" s="42" t="s">
        <v>184</v>
      </c>
      <c r="O7" s="42"/>
      <c r="Q7" s="150">
        <f t="shared" si="2"/>
        <v>15.0258</v>
      </c>
    </row>
    <row r="8" spans="1:18" s="48" customFormat="1" ht="15.75" thickBot="1" x14ac:dyDescent="0.3">
      <c r="A8" s="49" t="s">
        <v>216</v>
      </c>
      <c r="B8" s="47">
        <f t="shared" si="0"/>
        <v>1.0900000000000001</v>
      </c>
      <c r="C8" s="47">
        <f t="shared" si="0"/>
        <v>0.36</v>
      </c>
      <c r="D8" s="47">
        <f>D$5*0.9</f>
        <v>2.3130000000000001E-2</v>
      </c>
      <c r="E8" s="47">
        <f t="shared" si="1"/>
        <v>0.26800000000000002</v>
      </c>
      <c r="F8" s="64">
        <f t="shared" si="1"/>
        <v>5.4399999999999997E-2</v>
      </c>
      <c r="G8" s="47">
        <f t="shared" si="1"/>
        <v>0.35899999999999999</v>
      </c>
      <c r="H8" s="48" t="str">
        <f t="shared" si="1"/>
        <v>coke - IPCC</v>
      </c>
      <c r="I8" s="169">
        <v>0</v>
      </c>
      <c r="J8" s="169" t="s">
        <v>184</v>
      </c>
      <c r="K8" s="65">
        <f>K$5</f>
        <v>0.19</v>
      </c>
      <c r="L8" s="170" t="s">
        <v>190</v>
      </c>
      <c r="M8" s="171">
        <v>1</v>
      </c>
      <c r="N8" s="170" t="s">
        <v>184</v>
      </c>
      <c r="Q8" s="172">
        <f t="shared" si="2"/>
        <v>15.0258</v>
      </c>
    </row>
    <row r="9" spans="1:18" s="76" customFormat="1" x14ac:dyDescent="0.25">
      <c r="A9" s="52" t="s">
        <v>217</v>
      </c>
      <c r="B9" s="123">
        <v>1.31</v>
      </c>
      <c r="C9" s="123">
        <v>0</v>
      </c>
      <c r="D9" s="82">
        <v>0</v>
      </c>
      <c r="E9" s="123">
        <f>(110-36.44)*Ref!B$18</f>
        <v>0.264816</v>
      </c>
      <c r="F9" s="55">
        <f>0.054*(K9/K$5)</f>
        <v>4.2347368421052634E-2</v>
      </c>
      <c r="G9" s="123">
        <v>0.36199999999999999</v>
      </c>
      <c r="H9" s="56" t="s">
        <v>103</v>
      </c>
      <c r="I9" s="76">
        <v>0</v>
      </c>
      <c r="J9" s="76" t="s">
        <v>184</v>
      </c>
      <c r="K9" s="99">
        <v>0.14899999999999999</v>
      </c>
      <c r="L9" s="76" t="s">
        <v>190</v>
      </c>
      <c r="M9" s="76">
        <v>0</v>
      </c>
      <c r="N9" s="76" t="s">
        <v>184</v>
      </c>
      <c r="Q9" s="150">
        <f t="shared" si="2"/>
        <v>14.052599999999998</v>
      </c>
      <c r="R9" s="76" t="s">
        <v>171</v>
      </c>
    </row>
    <row r="10" spans="1:18" x14ac:dyDescent="0.25">
      <c r="A10" s="40" t="s">
        <v>218</v>
      </c>
      <c r="B10" s="27">
        <f t="shared" ref="B10:C12" si="3">B$9</f>
        <v>1.31</v>
      </c>
      <c r="C10" s="27">
        <f t="shared" si="3"/>
        <v>0</v>
      </c>
      <c r="D10" s="27">
        <f>D$9*0.9</f>
        <v>0</v>
      </c>
      <c r="E10" s="27">
        <f t="shared" ref="E10:K12" si="4">E$9</f>
        <v>0.264816</v>
      </c>
      <c r="F10" s="45">
        <f t="shared" si="4"/>
        <v>4.2347368421052634E-2</v>
      </c>
      <c r="G10" s="27">
        <f t="shared" si="4"/>
        <v>0.36199999999999999</v>
      </c>
      <c r="H10" s="26" t="str">
        <f t="shared" si="4"/>
        <v>coke - IPCC</v>
      </c>
      <c r="I10" s="26">
        <f t="shared" si="4"/>
        <v>0</v>
      </c>
      <c r="J10" s="26" t="str">
        <f t="shared" si="4"/>
        <v>charcoal - IPCC</v>
      </c>
      <c r="K10" s="71">
        <f t="shared" si="4"/>
        <v>0.14899999999999999</v>
      </c>
      <c r="L10" s="42" t="s">
        <v>190</v>
      </c>
      <c r="M10" s="114">
        <v>1</v>
      </c>
      <c r="N10" s="76" t="s">
        <v>184</v>
      </c>
      <c r="Q10" s="150">
        <f t="shared" si="2"/>
        <v>14.052599999999998</v>
      </c>
    </row>
    <row r="11" spans="1:18" x14ac:dyDescent="0.25">
      <c r="A11" s="40" t="s">
        <v>219</v>
      </c>
      <c r="B11" s="27">
        <f t="shared" si="3"/>
        <v>1.31</v>
      </c>
      <c r="C11" s="27">
        <f t="shared" si="3"/>
        <v>0</v>
      </c>
      <c r="D11" s="27">
        <f>D$9*0.9</f>
        <v>0</v>
      </c>
      <c r="E11" s="27">
        <f t="shared" si="4"/>
        <v>0.264816</v>
      </c>
      <c r="F11" s="45">
        <f t="shared" si="4"/>
        <v>4.2347368421052634E-2</v>
      </c>
      <c r="G11" s="27">
        <f t="shared" si="4"/>
        <v>0.36199999999999999</v>
      </c>
      <c r="H11" s="26" t="str">
        <f t="shared" si="4"/>
        <v>coke - IPCC</v>
      </c>
      <c r="I11" s="26">
        <f t="shared" si="4"/>
        <v>0</v>
      </c>
      <c r="J11" s="26" t="str">
        <f t="shared" si="4"/>
        <v>charcoal - IPCC</v>
      </c>
      <c r="K11" s="71">
        <f t="shared" si="4"/>
        <v>0.14899999999999999</v>
      </c>
      <c r="L11" s="42" t="s">
        <v>190</v>
      </c>
      <c r="M11" s="114">
        <v>1</v>
      </c>
      <c r="N11" s="76" t="s">
        <v>184</v>
      </c>
      <c r="Q11" s="150">
        <f t="shared" si="2"/>
        <v>14.052599999999998</v>
      </c>
    </row>
    <row r="12" spans="1:18" s="48" customFormat="1" ht="15.75" thickBot="1" x14ac:dyDescent="0.3">
      <c r="A12" s="49" t="s">
        <v>220</v>
      </c>
      <c r="B12" s="47">
        <f t="shared" si="3"/>
        <v>1.31</v>
      </c>
      <c r="C12" s="47">
        <f t="shared" si="3"/>
        <v>0</v>
      </c>
      <c r="D12" s="47">
        <f>D$9*0.9</f>
        <v>0</v>
      </c>
      <c r="E12" s="47">
        <f t="shared" si="4"/>
        <v>0.264816</v>
      </c>
      <c r="F12" s="64">
        <f t="shared" si="4"/>
        <v>4.2347368421052634E-2</v>
      </c>
      <c r="G12" s="47">
        <f t="shared" si="4"/>
        <v>0.36199999999999999</v>
      </c>
      <c r="H12" s="48" t="str">
        <f t="shared" si="4"/>
        <v>coke - IPCC</v>
      </c>
      <c r="I12" s="48">
        <f t="shared" si="4"/>
        <v>0</v>
      </c>
      <c r="J12" s="48" t="str">
        <f t="shared" si="4"/>
        <v>charcoal - IPCC</v>
      </c>
      <c r="K12" s="65">
        <f t="shared" si="4"/>
        <v>0.14899999999999999</v>
      </c>
      <c r="L12" s="170" t="s">
        <v>190</v>
      </c>
      <c r="M12" s="173">
        <v>1</v>
      </c>
      <c r="N12" s="169" t="s">
        <v>184</v>
      </c>
      <c r="Q12" s="172">
        <f t="shared" si="2"/>
        <v>14.052599999999998</v>
      </c>
    </row>
    <row r="13" spans="1:18" s="76" customFormat="1" x14ac:dyDescent="0.25">
      <c r="A13" s="52" t="s">
        <v>221</v>
      </c>
      <c r="B13" s="123">
        <v>1.17</v>
      </c>
      <c r="C13" s="123">
        <v>0.12</v>
      </c>
      <c r="D13" s="82">
        <f>0.04*(0.56)</f>
        <v>2.2400000000000003E-2</v>
      </c>
      <c r="E13" s="123">
        <v>0.24</v>
      </c>
      <c r="F13" s="55">
        <f>0.054*(K13/K$5)</f>
        <v>3.9789473684210527E-2</v>
      </c>
      <c r="G13" s="123">
        <v>0.36499999999999999</v>
      </c>
      <c r="H13" s="76" t="s">
        <v>103</v>
      </c>
      <c r="I13" s="76">
        <v>0</v>
      </c>
      <c r="J13" s="76" t="s">
        <v>184</v>
      </c>
      <c r="K13" s="99">
        <v>0.14000000000000001</v>
      </c>
      <c r="L13" s="76" t="s">
        <v>190</v>
      </c>
      <c r="M13" s="76">
        <v>0</v>
      </c>
      <c r="N13" s="76" t="s">
        <v>184</v>
      </c>
      <c r="Q13" s="150">
        <f t="shared" si="2"/>
        <v>13.904999999999999</v>
      </c>
    </row>
    <row r="14" spans="1:18" x14ac:dyDescent="0.25">
      <c r="A14" s="40" t="s">
        <v>222</v>
      </c>
      <c r="B14" s="27">
        <f t="shared" ref="B14:C16" si="5">B$13</f>
        <v>1.17</v>
      </c>
      <c r="C14" s="27">
        <f t="shared" si="5"/>
        <v>0.12</v>
      </c>
      <c r="D14" s="27">
        <f>D$13*0.9</f>
        <v>2.0160000000000004E-2</v>
      </c>
      <c r="E14" s="27">
        <f t="shared" ref="E14:K16" si="6">E$13</f>
        <v>0.24</v>
      </c>
      <c r="F14" s="27">
        <f t="shared" si="6"/>
        <v>3.9789473684210527E-2</v>
      </c>
      <c r="G14" s="27">
        <f t="shared" si="6"/>
        <v>0.36499999999999999</v>
      </c>
      <c r="H14" s="26" t="str">
        <f t="shared" si="6"/>
        <v>coke - IPCC</v>
      </c>
      <c r="I14" s="26">
        <f t="shared" si="6"/>
        <v>0</v>
      </c>
      <c r="J14" s="26" t="str">
        <f t="shared" si="6"/>
        <v>charcoal - IPCC</v>
      </c>
      <c r="K14" s="71">
        <f t="shared" si="6"/>
        <v>0.14000000000000001</v>
      </c>
      <c r="L14" s="26" t="s">
        <v>190</v>
      </c>
      <c r="M14" s="115">
        <v>1</v>
      </c>
      <c r="N14" s="42" t="s">
        <v>184</v>
      </c>
      <c r="Q14" s="150">
        <f t="shared" si="2"/>
        <v>13.904999999999999</v>
      </c>
    </row>
    <row r="15" spans="1:18" x14ac:dyDescent="0.25">
      <c r="A15" s="40" t="s">
        <v>223</v>
      </c>
      <c r="B15" s="27">
        <f t="shared" si="5"/>
        <v>1.17</v>
      </c>
      <c r="C15" s="27">
        <f t="shared" si="5"/>
        <v>0.12</v>
      </c>
      <c r="D15" s="27">
        <f>D$13*0.9</f>
        <v>2.0160000000000004E-2</v>
      </c>
      <c r="E15" s="27">
        <f t="shared" si="6"/>
        <v>0.24</v>
      </c>
      <c r="F15" s="27">
        <f t="shared" si="6"/>
        <v>3.9789473684210527E-2</v>
      </c>
      <c r="G15" s="27">
        <f t="shared" si="6"/>
        <v>0.36499999999999999</v>
      </c>
      <c r="H15" s="26" t="str">
        <f t="shared" si="6"/>
        <v>coke - IPCC</v>
      </c>
      <c r="I15" s="26">
        <f t="shared" si="6"/>
        <v>0</v>
      </c>
      <c r="J15" s="26" t="str">
        <f t="shared" si="6"/>
        <v>charcoal - IPCC</v>
      </c>
      <c r="K15" s="71">
        <f t="shared" si="6"/>
        <v>0.14000000000000001</v>
      </c>
      <c r="L15" s="26" t="str">
        <f>L$13</f>
        <v>coal bituminous - IPCC</v>
      </c>
      <c r="M15" s="115">
        <v>1</v>
      </c>
      <c r="N15" s="42" t="s">
        <v>184</v>
      </c>
      <c r="Q15" s="150">
        <f t="shared" si="2"/>
        <v>13.904999999999999</v>
      </c>
    </row>
    <row r="16" spans="1:18" s="48" customFormat="1" ht="15.75" thickBot="1" x14ac:dyDescent="0.3">
      <c r="A16" s="49" t="s">
        <v>224</v>
      </c>
      <c r="B16" s="47">
        <f t="shared" si="5"/>
        <v>1.17</v>
      </c>
      <c r="C16" s="47">
        <f t="shared" si="5"/>
        <v>0.12</v>
      </c>
      <c r="D16" s="47">
        <f>D$13*0.9</f>
        <v>2.0160000000000004E-2</v>
      </c>
      <c r="E16" s="47">
        <f>E$13</f>
        <v>0.24</v>
      </c>
      <c r="F16" s="47">
        <f t="shared" si="6"/>
        <v>3.9789473684210527E-2</v>
      </c>
      <c r="G16" s="47">
        <f t="shared" si="6"/>
        <v>0.36499999999999999</v>
      </c>
      <c r="H16" s="48" t="str">
        <f t="shared" si="6"/>
        <v>coke - IPCC</v>
      </c>
      <c r="I16" s="48">
        <f t="shared" si="6"/>
        <v>0</v>
      </c>
      <c r="J16" s="48" t="str">
        <f t="shared" si="6"/>
        <v>charcoal - IPCC</v>
      </c>
      <c r="K16" s="65">
        <f t="shared" si="6"/>
        <v>0.14000000000000001</v>
      </c>
      <c r="L16" s="48" t="str">
        <f>L$13</f>
        <v>coal bituminous - IPCC</v>
      </c>
      <c r="M16" s="171">
        <v>1</v>
      </c>
      <c r="N16" s="170" t="s">
        <v>184</v>
      </c>
      <c r="Q16" s="172">
        <f t="shared" si="2"/>
        <v>13.904999999999999</v>
      </c>
    </row>
    <row r="17" spans="1:18" s="76" customFormat="1" x14ac:dyDescent="0.25">
      <c r="A17" s="52" t="s">
        <v>225</v>
      </c>
      <c r="B17" s="125">
        <v>0.98</v>
      </c>
      <c r="C17" s="125">
        <v>0.17</v>
      </c>
      <c r="D17" s="82">
        <f>0.04*(0.56)</f>
        <v>2.2400000000000003E-2</v>
      </c>
      <c r="E17" s="82">
        <v>0.2</v>
      </c>
      <c r="F17" s="55">
        <f>0.054*(K17/K$5)</f>
        <v>2.6033684210526317E-2</v>
      </c>
      <c r="G17" s="123">
        <v>0.45300000000000001</v>
      </c>
      <c r="H17" s="76" t="s">
        <v>103</v>
      </c>
      <c r="I17" s="76">
        <v>0</v>
      </c>
      <c r="J17" s="76" t="s">
        <v>184</v>
      </c>
      <c r="K17" s="99">
        <v>9.1600000000000001E-2</v>
      </c>
      <c r="L17" s="76" t="s">
        <v>109</v>
      </c>
      <c r="M17" s="76">
        <v>0</v>
      </c>
      <c r="N17" s="76" t="s">
        <v>184</v>
      </c>
      <c r="Q17" s="150">
        <f>G17*28.2+K17*48</f>
        <v>17.171399999999998</v>
      </c>
    </row>
    <row r="18" spans="1:18" x14ac:dyDescent="0.25">
      <c r="A18" s="40" t="s">
        <v>226</v>
      </c>
      <c r="B18" s="45">
        <f t="shared" ref="B18:C20" si="7">B$17</f>
        <v>0.98</v>
      </c>
      <c r="C18" s="45">
        <f t="shared" si="7"/>
        <v>0.17</v>
      </c>
      <c r="D18" s="45">
        <f>D$17*0.9</f>
        <v>2.0160000000000004E-2</v>
      </c>
      <c r="E18" s="45">
        <f>E$17</f>
        <v>0.2</v>
      </c>
      <c r="F18" s="27">
        <f>F$13</f>
        <v>3.9789473684210527E-2</v>
      </c>
      <c r="G18" s="45">
        <f t="shared" ref="G18:L20" si="8">G$17</f>
        <v>0.45300000000000001</v>
      </c>
      <c r="H18" s="44" t="str">
        <f t="shared" si="8"/>
        <v>coke - IPCC</v>
      </c>
      <c r="I18" s="44">
        <f t="shared" si="8"/>
        <v>0</v>
      </c>
      <c r="J18" s="44" t="str">
        <f t="shared" si="8"/>
        <v>charcoal - IPCC</v>
      </c>
      <c r="K18" s="79">
        <f t="shared" si="8"/>
        <v>9.1600000000000001E-2</v>
      </c>
      <c r="L18" s="44" t="str">
        <f t="shared" si="8"/>
        <v>natural gas - IPCC</v>
      </c>
      <c r="M18" s="115">
        <v>1</v>
      </c>
      <c r="N18" s="42" t="s">
        <v>184</v>
      </c>
      <c r="Q18" s="150">
        <f t="shared" ref="Q18:Q24" si="9">G18*28.2+K18*48</f>
        <v>17.171399999999998</v>
      </c>
    </row>
    <row r="19" spans="1:18" x14ac:dyDescent="0.25">
      <c r="A19" s="40" t="s">
        <v>227</v>
      </c>
      <c r="B19" s="45">
        <f t="shared" si="7"/>
        <v>0.98</v>
      </c>
      <c r="C19" s="45">
        <f t="shared" si="7"/>
        <v>0.17</v>
      </c>
      <c r="D19" s="45">
        <f>D$17*0.9</f>
        <v>2.0160000000000004E-2</v>
      </c>
      <c r="E19" s="45">
        <f>E$17</f>
        <v>0.2</v>
      </c>
      <c r="F19" s="27">
        <f>F$13</f>
        <v>3.9789473684210527E-2</v>
      </c>
      <c r="G19" s="45">
        <f t="shared" si="8"/>
        <v>0.45300000000000001</v>
      </c>
      <c r="H19" s="44" t="str">
        <f t="shared" si="8"/>
        <v>coke - IPCC</v>
      </c>
      <c r="I19" s="44">
        <f t="shared" si="8"/>
        <v>0</v>
      </c>
      <c r="J19" s="44" t="str">
        <f t="shared" si="8"/>
        <v>charcoal - IPCC</v>
      </c>
      <c r="K19" s="79">
        <f t="shared" si="8"/>
        <v>9.1600000000000001E-2</v>
      </c>
      <c r="L19" s="44" t="str">
        <f t="shared" si="8"/>
        <v>natural gas - IPCC</v>
      </c>
      <c r="M19" s="115">
        <v>1</v>
      </c>
      <c r="N19" s="42" t="s">
        <v>184</v>
      </c>
      <c r="Q19" s="150">
        <f t="shared" si="9"/>
        <v>17.171399999999998</v>
      </c>
    </row>
    <row r="20" spans="1:18" s="48" customFormat="1" ht="15.75" thickBot="1" x14ac:dyDescent="0.3">
      <c r="A20" s="49" t="s">
        <v>228</v>
      </c>
      <c r="B20" s="64">
        <f t="shared" si="7"/>
        <v>0.98</v>
      </c>
      <c r="C20" s="64">
        <f t="shared" si="7"/>
        <v>0.17</v>
      </c>
      <c r="D20" s="64">
        <f>D$17*0.9</f>
        <v>2.0160000000000004E-2</v>
      </c>
      <c r="E20" s="64">
        <f>E$17</f>
        <v>0.2</v>
      </c>
      <c r="F20" s="47">
        <f>F$13</f>
        <v>3.9789473684210527E-2</v>
      </c>
      <c r="G20" s="64">
        <f t="shared" si="8"/>
        <v>0.45300000000000001</v>
      </c>
      <c r="H20" s="62" t="str">
        <f t="shared" si="8"/>
        <v>coke - IPCC</v>
      </c>
      <c r="I20" s="62">
        <f t="shared" si="8"/>
        <v>0</v>
      </c>
      <c r="J20" s="62" t="str">
        <f t="shared" si="8"/>
        <v>charcoal - IPCC</v>
      </c>
      <c r="K20" s="80">
        <f t="shared" si="8"/>
        <v>9.1600000000000001E-2</v>
      </c>
      <c r="L20" s="62" t="str">
        <f t="shared" si="8"/>
        <v>natural gas - IPCC</v>
      </c>
      <c r="M20" s="171">
        <v>1</v>
      </c>
      <c r="N20" s="170" t="s">
        <v>184</v>
      </c>
      <c r="Q20" s="172">
        <f t="shared" si="9"/>
        <v>17.171399999999998</v>
      </c>
    </row>
    <row r="21" spans="1:18" s="76" customFormat="1" x14ac:dyDescent="0.25">
      <c r="A21" s="52" t="s">
        <v>229</v>
      </c>
      <c r="B21" s="123">
        <v>0.2</v>
      </c>
      <c r="C21" s="125">
        <v>1.33</v>
      </c>
      <c r="D21" s="125">
        <f>0.25*0.56</f>
        <v>0.14000000000000001</v>
      </c>
      <c r="E21" s="123">
        <v>0.27</v>
      </c>
      <c r="F21" s="55">
        <f>0.054*(K21/K$5)</f>
        <v>2.4248600223964162E-2</v>
      </c>
      <c r="G21" s="137">
        <f>12.26/30.23</f>
        <v>0.40555739331789614</v>
      </c>
      <c r="H21" s="76" t="s">
        <v>103</v>
      </c>
      <c r="I21" s="76">
        <v>0</v>
      </c>
      <c r="J21" s="76" t="s">
        <v>184</v>
      </c>
      <c r="K21" s="148">
        <f>(1.88+2.13)/47</f>
        <v>8.5319148936170208E-2</v>
      </c>
      <c r="L21" s="76" t="s">
        <v>109</v>
      </c>
      <c r="M21" s="76">
        <v>0</v>
      </c>
      <c r="N21" s="76" t="s">
        <v>184</v>
      </c>
      <c r="Q21" s="150">
        <f t="shared" si="9"/>
        <v>15.532037640500841</v>
      </c>
      <c r="R21" s="76" t="s">
        <v>173</v>
      </c>
    </row>
    <row r="22" spans="1:18" x14ac:dyDescent="0.25">
      <c r="A22" s="40" t="s">
        <v>230</v>
      </c>
      <c r="B22" s="27">
        <f t="shared" ref="B22:C24" si="10">B$21</f>
        <v>0.2</v>
      </c>
      <c r="C22" s="27">
        <f t="shared" si="10"/>
        <v>1.33</v>
      </c>
      <c r="D22" s="27">
        <f>D$21*0.9</f>
        <v>0.12600000000000003</v>
      </c>
      <c r="E22" s="27">
        <f>E$21</f>
        <v>0.27</v>
      </c>
      <c r="F22" s="27">
        <f>F$13</f>
        <v>3.9789473684210527E-2</v>
      </c>
      <c r="G22" s="27">
        <f t="shared" ref="G22:L24" si="11">G$21</f>
        <v>0.40555739331789614</v>
      </c>
      <c r="H22" s="26" t="str">
        <f t="shared" si="11"/>
        <v>coke - IPCC</v>
      </c>
      <c r="I22" s="26">
        <f t="shared" si="11"/>
        <v>0</v>
      </c>
      <c r="J22" s="26" t="str">
        <f t="shared" si="11"/>
        <v>charcoal - IPCC</v>
      </c>
      <c r="K22" s="71">
        <f t="shared" si="11"/>
        <v>8.5319148936170208E-2</v>
      </c>
      <c r="L22" s="26" t="str">
        <f t="shared" si="11"/>
        <v>natural gas - IPCC</v>
      </c>
      <c r="M22" s="115">
        <v>1</v>
      </c>
      <c r="N22" s="42" t="s">
        <v>184</v>
      </c>
      <c r="Q22" s="150">
        <f t="shared" si="9"/>
        <v>15.532037640500841</v>
      </c>
    </row>
    <row r="23" spans="1:18" x14ac:dyDescent="0.25">
      <c r="A23" s="40" t="s">
        <v>231</v>
      </c>
      <c r="B23" s="27">
        <f t="shared" si="10"/>
        <v>0.2</v>
      </c>
      <c r="C23" s="27">
        <f t="shared" si="10"/>
        <v>1.33</v>
      </c>
      <c r="D23" s="27">
        <f>D$21*0.9</f>
        <v>0.12600000000000003</v>
      </c>
      <c r="E23" s="27">
        <f>E$21</f>
        <v>0.27</v>
      </c>
      <c r="F23" s="27">
        <f>F$13</f>
        <v>3.9789473684210527E-2</v>
      </c>
      <c r="G23" s="27">
        <f t="shared" si="11"/>
        <v>0.40555739331789614</v>
      </c>
      <c r="H23" s="26" t="str">
        <f t="shared" si="11"/>
        <v>coke - IPCC</v>
      </c>
      <c r="I23" s="26">
        <f t="shared" si="11"/>
        <v>0</v>
      </c>
      <c r="J23" s="26" t="str">
        <f t="shared" si="11"/>
        <v>charcoal - IPCC</v>
      </c>
      <c r="K23" s="71">
        <f t="shared" si="11"/>
        <v>8.5319148936170208E-2</v>
      </c>
      <c r="L23" s="26" t="str">
        <f t="shared" si="11"/>
        <v>natural gas - IPCC</v>
      </c>
      <c r="M23" s="115">
        <v>1</v>
      </c>
      <c r="N23" s="42" t="s">
        <v>184</v>
      </c>
      <c r="Q23" s="150">
        <f t="shared" si="9"/>
        <v>15.532037640500841</v>
      </c>
    </row>
    <row r="24" spans="1:18" s="48" customFormat="1" ht="15.75" thickBot="1" x14ac:dyDescent="0.3">
      <c r="A24" s="49" t="s">
        <v>232</v>
      </c>
      <c r="B24" s="47">
        <f t="shared" si="10"/>
        <v>0.2</v>
      </c>
      <c r="C24" s="47">
        <f t="shared" si="10"/>
        <v>1.33</v>
      </c>
      <c r="D24" s="47">
        <f>D$21*0.9</f>
        <v>0.12600000000000003</v>
      </c>
      <c r="E24" s="47">
        <f>E$21</f>
        <v>0.27</v>
      </c>
      <c r="F24" s="47">
        <f>F$13</f>
        <v>3.9789473684210527E-2</v>
      </c>
      <c r="G24" s="47">
        <f t="shared" si="11"/>
        <v>0.40555739331789614</v>
      </c>
      <c r="H24" s="48" t="str">
        <f t="shared" si="11"/>
        <v>coke - IPCC</v>
      </c>
      <c r="I24" s="48">
        <f t="shared" si="11"/>
        <v>0</v>
      </c>
      <c r="J24" s="48" t="str">
        <f t="shared" si="11"/>
        <v>charcoal - IPCC</v>
      </c>
      <c r="K24" s="65">
        <f t="shared" si="11"/>
        <v>8.5319148936170208E-2</v>
      </c>
      <c r="L24" s="48" t="str">
        <f t="shared" si="11"/>
        <v>natural gas - IPCC</v>
      </c>
      <c r="M24" s="171">
        <v>1</v>
      </c>
      <c r="N24" s="170" t="s">
        <v>184</v>
      </c>
      <c r="Q24" s="172">
        <f t="shared" si="9"/>
        <v>15.532037640500841</v>
      </c>
    </row>
    <row r="25" spans="1:18" s="76" customFormat="1" x14ac:dyDescent="0.25">
      <c r="A25" s="52" t="s">
        <v>233</v>
      </c>
      <c r="B25" s="82">
        <v>1.5</v>
      </c>
      <c r="C25" s="82">
        <v>0</v>
      </c>
      <c r="D25" s="82">
        <v>0</v>
      </c>
      <c r="E25" s="82">
        <v>0.1</v>
      </c>
      <c r="F25" s="55">
        <f>0.054*(K25/K$5)</f>
        <v>3.126315789473684E-2</v>
      </c>
      <c r="G25" s="123">
        <v>0.59</v>
      </c>
      <c r="H25" s="76" t="s">
        <v>103</v>
      </c>
      <c r="I25" s="76">
        <v>0</v>
      </c>
      <c r="J25" s="76" t="s">
        <v>184</v>
      </c>
      <c r="K25" s="99">
        <v>0.11</v>
      </c>
      <c r="L25" s="76" t="s">
        <v>190</v>
      </c>
      <c r="M25" s="76">
        <v>0</v>
      </c>
      <c r="N25" s="76" t="s">
        <v>184</v>
      </c>
      <c r="Q25" s="150">
        <f t="shared" ref="Q25:Q44" si="12">G25*28.2+K25*25.8</f>
        <v>19.475999999999999</v>
      </c>
      <c r="R25" s="76" t="s">
        <v>172</v>
      </c>
    </row>
    <row r="26" spans="1:18" x14ac:dyDescent="0.25">
      <c r="A26" s="40" t="s">
        <v>234</v>
      </c>
      <c r="B26" s="45">
        <f t="shared" ref="B26:C28" si="13">B$25</f>
        <v>1.5</v>
      </c>
      <c r="C26" s="45">
        <f t="shared" si="13"/>
        <v>0</v>
      </c>
      <c r="D26" s="45">
        <f>D$25*0.9</f>
        <v>0</v>
      </c>
      <c r="E26" s="45">
        <f>E$25</f>
        <v>0.1</v>
      </c>
      <c r="F26" s="27">
        <f>F$13</f>
        <v>3.9789473684210527E-2</v>
      </c>
      <c r="G26" s="45">
        <f t="shared" ref="G26:L26" si="14">G$25</f>
        <v>0.59</v>
      </c>
      <c r="H26" s="44" t="str">
        <f t="shared" si="14"/>
        <v>coke - IPCC</v>
      </c>
      <c r="I26" s="44">
        <f t="shared" si="14"/>
        <v>0</v>
      </c>
      <c r="J26" s="44" t="str">
        <f t="shared" si="14"/>
        <v>charcoal - IPCC</v>
      </c>
      <c r="K26" s="79">
        <f t="shared" si="14"/>
        <v>0.11</v>
      </c>
      <c r="L26" s="44" t="str">
        <f t="shared" si="14"/>
        <v>coal bituminous - IPCC</v>
      </c>
      <c r="M26" s="115">
        <v>1</v>
      </c>
      <c r="N26" s="42" t="s">
        <v>184</v>
      </c>
      <c r="Q26" s="150">
        <f t="shared" si="12"/>
        <v>19.475999999999999</v>
      </c>
    </row>
    <row r="27" spans="1:18" x14ac:dyDescent="0.25">
      <c r="A27" s="40" t="s">
        <v>235</v>
      </c>
      <c r="B27" s="45">
        <f t="shared" si="13"/>
        <v>1.5</v>
      </c>
      <c r="C27" s="45">
        <f t="shared" si="13"/>
        <v>0</v>
      </c>
      <c r="D27" s="45">
        <f>D$25*0.9</f>
        <v>0</v>
      </c>
      <c r="E27" s="45">
        <f>E$25</f>
        <v>0.1</v>
      </c>
      <c r="F27" s="27">
        <f>F$13</f>
        <v>3.9789473684210527E-2</v>
      </c>
      <c r="G27" s="45">
        <f t="shared" ref="G27:K28" si="15">G$25</f>
        <v>0.59</v>
      </c>
      <c r="H27" s="44" t="str">
        <f t="shared" si="15"/>
        <v>coke - IPCC</v>
      </c>
      <c r="I27" s="44">
        <f t="shared" si="15"/>
        <v>0</v>
      </c>
      <c r="J27" s="44" t="str">
        <f t="shared" si="15"/>
        <v>charcoal - IPCC</v>
      </c>
      <c r="K27" s="79">
        <f t="shared" si="15"/>
        <v>0.11</v>
      </c>
      <c r="L27" s="44" t="s">
        <v>190</v>
      </c>
      <c r="M27" s="115">
        <v>1</v>
      </c>
      <c r="N27" s="42" t="s">
        <v>184</v>
      </c>
      <c r="Q27" s="150">
        <f t="shared" si="12"/>
        <v>19.475999999999999</v>
      </c>
    </row>
    <row r="28" spans="1:18" s="48" customFormat="1" ht="15.75" thickBot="1" x14ac:dyDescent="0.3">
      <c r="A28" s="49" t="s">
        <v>236</v>
      </c>
      <c r="B28" s="64">
        <f t="shared" si="13"/>
        <v>1.5</v>
      </c>
      <c r="C28" s="64">
        <f t="shared" si="13"/>
        <v>0</v>
      </c>
      <c r="D28" s="64">
        <f>D$25*0.9</f>
        <v>0</v>
      </c>
      <c r="E28" s="64">
        <f>E$25</f>
        <v>0.1</v>
      </c>
      <c r="F28" s="47">
        <f>F$13</f>
        <v>3.9789473684210527E-2</v>
      </c>
      <c r="G28" s="64">
        <f t="shared" si="15"/>
        <v>0.59</v>
      </c>
      <c r="H28" s="62" t="str">
        <f t="shared" si="15"/>
        <v>coke - IPCC</v>
      </c>
      <c r="I28" s="62">
        <f t="shared" si="15"/>
        <v>0</v>
      </c>
      <c r="J28" s="62" t="str">
        <f t="shared" si="15"/>
        <v>charcoal - IPCC</v>
      </c>
      <c r="K28" s="80">
        <f t="shared" si="15"/>
        <v>0.11</v>
      </c>
      <c r="L28" s="62" t="s">
        <v>190</v>
      </c>
      <c r="M28" s="171">
        <v>1</v>
      </c>
      <c r="N28" s="170" t="s">
        <v>184</v>
      </c>
      <c r="Q28" s="172">
        <f t="shared" si="12"/>
        <v>19.475999999999999</v>
      </c>
    </row>
    <row r="29" spans="1:18" s="132" customFormat="1" x14ac:dyDescent="0.25">
      <c r="A29" s="129" t="s">
        <v>191</v>
      </c>
      <c r="B29" s="134">
        <v>0</v>
      </c>
      <c r="C29" s="134">
        <v>1.3</v>
      </c>
      <c r="D29" s="134">
        <v>0</v>
      </c>
      <c r="E29" s="134">
        <v>0</v>
      </c>
      <c r="F29" s="134">
        <v>0</v>
      </c>
      <c r="G29" s="135">
        <f>9.8/28.2*0.65</f>
        <v>0.22588652482269508</v>
      </c>
      <c r="H29" s="131" t="s">
        <v>103</v>
      </c>
      <c r="I29" s="132">
        <v>0</v>
      </c>
      <c r="J29" s="131" t="s">
        <v>184</v>
      </c>
      <c r="K29" s="149">
        <f>9.8/28.2*0.35</f>
        <v>0.12163120567375887</v>
      </c>
      <c r="L29" s="131" t="s">
        <v>190</v>
      </c>
      <c r="M29" s="133">
        <v>0</v>
      </c>
      <c r="N29" s="131" t="s">
        <v>184</v>
      </c>
      <c r="O29" s="132" t="s">
        <v>203</v>
      </c>
      <c r="Q29" s="150">
        <f t="shared" si="12"/>
        <v>9.5080851063829801</v>
      </c>
    </row>
    <row r="30" spans="1:18" x14ac:dyDescent="0.25">
      <c r="A30" s="116" t="s">
        <v>192</v>
      </c>
      <c r="B30" s="27">
        <f>B29</f>
        <v>0</v>
      </c>
      <c r="C30" s="27">
        <f t="shared" ref="C30:N30" si="16">C29</f>
        <v>1.3</v>
      </c>
      <c r="D30" s="27">
        <f t="shared" si="16"/>
        <v>0</v>
      </c>
      <c r="E30" s="27">
        <f t="shared" si="16"/>
        <v>0</v>
      </c>
      <c r="F30" s="27">
        <f t="shared" si="16"/>
        <v>0</v>
      </c>
      <c r="G30" s="27">
        <f t="shared" si="16"/>
        <v>0.22588652482269508</v>
      </c>
      <c r="H30" s="27" t="str">
        <f t="shared" si="16"/>
        <v>coke - IPCC</v>
      </c>
      <c r="I30" s="27">
        <f t="shared" si="16"/>
        <v>0</v>
      </c>
      <c r="J30" s="27" t="str">
        <f t="shared" si="16"/>
        <v>charcoal - IPCC</v>
      </c>
      <c r="K30" s="71">
        <f t="shared" si="16"/>
        <v>0.12163120567375887</v>
      </c>
      <c r="L30" s="27" t="str">
        <f t="shared" si="16"/>
        <v>coal bituminous - IPCC</v>
      </c>
      <c r="M30" s="115">
        <v>1</v>
      </c>
      <c r="N30" s="27" t="str">
        <f t="shared" si="16"/>
        <v>charcoal - IPCC</v>
      </c>
      <c r="Q30" s="150">
        <f t="shared" si="12"/>
        <v>9.5080851063829801</v>
      </c>
    </row>
    <row r="31" spans="1:18" x14ac:dyDescent="0.25">
      <c r="A31" s="116" t="s">
        <v>193</v>
      </c>
      <c r="B31" s="27">
        <f>B29</f>
        <v>0</v>
      </c>
      <c r="C31" s="27">
        <f t="shared" ref="C31:N31" si="17">C29</f>
        <v>1.3</v>
      </c>
      <c r="D31" s="27">
        <f t="shared" si="17"/>
        <v>0</v>
      </c>
      <c r="E31" s="27">
        <f t="shared" si="17"/>
        <v>0</v>
      </c>
      <c r="F31" s="27">
        <f t="shared" si="17"/>
        <v>0</v>
      </c>
      <c r="G31" s="27">
        <f t="shared" si="17"/>
        <v>0.22588652482269508</v>
      </c>
      <c r="H31" s="27" t="str">
        <f t="shared" si="17"/>
        <v>coke - IPCC</v>
      </c>
      <c r="I31" s="27">
        <f t="shared" si="17"/>
        <v>0</v>
      </c>
      <c r="J31" s="27" t="str">
        <f t="shared" si="17"/>
        <v>charcoal - IPCC</v>
      </c>
      <c r="K31" s="71">
        <f t="shared" si="17"/>
        <v>0.12163120567375887</v>
      </c>
      <c r="L31" s="27" t="str">
        <f t="shared" si="17"/>
        <v>coal bituminous - IPCC</v>
      </c>
      <c r="M31" s="115">
        <v>1</v>
      </c>
      <c r="N31" s="27" t="str">
        <f t="shared" si="17"/>
        <v>charcoal - IPCC</v>
      </c>
      <c r="Q31" s="150">
        <f t="shared" si="12"/>
        <v>9.5080851063829801</v>
      </c>
    </row>
    <row r="32" spans="1:18" s="48" customFormat="1" ht="15.75" thickBot="1" x14ac:dyDescent="0.3">
      <c r="A32" s="145" t="s">
        <v>194</v>
      </c>
      <c r="B32" s="47">
        <f>B29</f>
        <v>0</v>
      </c>
      <c r="C32" s="47">
        <f t="shared" ref="C32:N32" si="18">C29</f>
        <v>1.3</v>
      </c>
      <c r="D32" s="47">
        <f t="shared" si="18"/>
        <v>0</v>
      </c>
      <c r="E32" s="47">
        <f t="shared" si="18"/>
        <v>0</v>
      </c>
      <c r="F32" s="47">
        <f t="shared" si="18"/>
        <v>0</v>
      </c>
      <c r="G32" s="47">
        <f t="shared" si="18"/>
        <v>0.22588652482269508</v>
      </c>
      <c r="H32" s="47" t="str">
        <f t="shared" si="18"/>
        <v>coke - IPCC</v>
      </c>
      <c r="I32" s="47">
        <f t="shared" si="18"/>
        <v>0</v>
      </c>
      <c r="J32" s="47" t="str">
        <f t="shared" si="18"/>
        <v>charcoal - IPCC</v>
      </c>
      <c r="K32" s="65">
        <f t="shared" si="18"/>
        <v>0.12163120567375887</v>
      </c>
      <c r="L32" s="47" t="str">
        <f t="shared" si="18"/>
        <v>coal bituminous - IPCC</v>
      </c>
      <c r="M32" s="171">
        <v>1</v>
      </c>
      <c r="N32" s="47" t="str">
        <f t="shared" si="18"/>
        <v>charcoal - IPCC</v>
      </c>
      <c r="Q32" s="172">
        <f t="shared" si="12"/>
        <v>9.5080851063829801</v>
      </c>
    </row>
    <row r="33" spans="1:17" x14ac:dyDescent="0.25">
      <c r="A33" s="116" t="s">
        <v>195</v>
      </c>
      <c r="B33" s="78">
        <v>1.3</v>
      </c>
      <c r="C33" s="54">
        <v>0</v>
      </c>
      <c r="D33" s="54">
        <f>D31</f>
        <v>0</v>
      </c>
      <c r="E33" s="54">
        <v>0.107</v>
      </c>
      <c r="F33" s="78">
        <v>0.28199999999999997</v>
      </c>
      <c r="G33" s="54">
        <v>0.187</v>
      </c>
      <c r="H33" s="1" t="s">
        <v>103</v>
      </c>
      <c r="I33" s="1">
        <v>0</v>
      </c>
      <c r="J33" s="1" t="s">
        <v>184</v>
      </c>
      <c r="K33" s="90">
        <v>0.18</v>
      </c>
      <c r="L33" s="1" t="s">
        <v>190</v>
      </c>
      <c r="M33" s="124">
        <v>1</v>
      </c>
      <c r="N33" s="76" t="s">
        <v>184</v>
      </c>
      <c r="Q33" s="150">
        <f t="shared" si="12"/>
        <v>9.9174000000000007</v>
      </c>
    </row>
    <row r="34" spans="1:17" x14ac:dyDescent="0.25">
      <c r="A34" s="116" t="s">
        <v>196</v>
      </c>
      <c r="B34" s="82">
        <f>B33</f>
        <v>1.3</v>
      </c>
      <c r="C34" s="123">
        <v>0</v>
      </c>
      <c r="D34" s="123">
        <f>D5</f>
        <v>2.5700000000000001E-2</v>
      </c>
      <c r="E34" s="123">
        <v>0.107</v>
      </c>
      <c r="F34" s="55">
        <f>0.054*(K34/K$5)</f>
        <v>5.1157894736842104E-2</v>
      </c>
      <c r="G34" s="123">
        <f>G33</f>
        <v>0.187</v>
      </c>
      <c r="H34" s="76" t="s">
        <v>103</v>
      </c>
      <c r="I34" s="76">
        <v>0</v>
      </c>
      <c r="J34" s="76" t="s">
        <v>184</v>
      </c>
      <c r="K34" s="99">
        <f>K33</f>
        <v>0.18</v>
      </c>
      <c r="L34" s="76" t="s">
        <v>190</v>
      </c>
      <c r="M34" s="124">
        <v>1</v>
      </c>
      <c r="N34" s="76" t="s">
        <v>184</v>
      </c>
      <c r="Q34" s="150">
        <f t="shared" si="12"/>
        <v>9.9174000000000007</v>
      </c>
    </row>
    <row r="35" spans="1:17" x14ac:dyDescent="0.25">
      <c r="A35" s="116" t="s">
        <v>197</v>
      </c>
      <c r="B35" s="27">
        <f>B33</f>
        <v>1.3</v>
      </c>
      <c r="C35" s="27">
        <f>C$34</f>
        <v>0</v>
      </c>
      <c r="D35" s="27">
        <f>D$34*0.9</f>
        <v>2.3130000000000001E-2</v>
      </c>
      <c r="E35" s="27">
        <f>E$34</f>
        <v>0.107</v>
      </c>
      <c r="F35" s="45">
        <f>F$34</f>
        <v>5.1157894736842104E-2</v>
      </c>
      <c r="G35" s="27">
        <f>G33</f>
        <v>0.187</v>
      </c>
      <c r="H35" s="26" t="str">
        <f>H$34</f>
        <v>coke - IPCC</v>
      </c>
      <c r="I35" s="26">
        <f>I$34</f>
        <v>0</v>
      </c>
      <c r="J35" s="26" t="str">
        <f>J$34</f>
        <v>charcoal - IPCC</v>
      </c>
      <c r="K35" s="71">
        <f>K33</f>
        <v>0.18</v>
      </c>
      <c r="L35" s="26" t="str">
        <f>L$34</f>
        <v>coal bituminous - IPCC</v>
      </c>
      <c r="M35" s="114">
        <v>1</v>
      </c>
      <c r="N35" s="26" t="str">
        <f>N$34</f>
        <v>charcoal - IPCC</v>
      </c>
      <c r="Q35" s="150">
        <f t="shared" si="12"/>
        <v>9.9174000000000007</v>
      </c>
    </row>
    <row r="36" spans="1:17" s="48" customFormat="1" ht="15.75" thickBot="1" x14ac:dyDescent="0.3">
      <c r="A36" s="145" t="s">
        <v>198</v>
      </c>
      <c r="B36" s="47">
        <f>B33</f>
        <v>1.3</v>
      </c>
      <c r="C36" s="47">
        <f t="shared" ref="C36:N36" si="19">C33</f>
        <v>0</v>
      </c>
      <c r="D36" s="47">
        <f t="shared" si="19"/>
        <v>0</v>
      </c>
      <c r="E36" s="47">
        <f t="shared" si="19"/>
        <v>0.107</v>
      </c>
      <c r="F36" s="47">
        <f t="shared" si="19"/>
        <v>0.28199999999999997</v>
      </c>
      <c r="G36" s="47">
        <f t="shared" si="19"/>
        <v>0.187</v>
      </c>
      <c r="H36" s="47" t="str">
        <f t="shared" si="19"/>
        <v>coke - IPCC</v>
      </c>
      <c r="I36" s="47">
        <f t="shared" si="19"/>
        <v>0</v>
      </c>
      <c r="J36" s="47" t="str">
        <f t="shared" si="19"/>
        <v>charcoal - IPCC</v>
      </c>
      <c r="K36" s="65">
        <f>K33</f>
        <v>0.18</v>
      </c>
      <c r="L36" s="47" t="str">
        <f t="shared" si="19"/>
        <v>coal bituminous - IPCC</v>
      </c>
      <c r="M36" s="47">
        <v>1</v>
      </c>
      <c r="N36" s="47" t="str">
        <f t="shared" si="19"/>
        <v>charcoal - IPCC</v>
      </c>
      <c r="Q36" s="172">
        <f t="shared" si="12"/>
        <v>9.9174000000000007</v>
      </c>
    </row>
    <row r="37" spans="1:17" x14ac:dyDescent="0.25">
      <c r="A37" s="116" t="s">
        <v>199</v>
      </c>
      <c r="B37" s="82">
        <v>1.3</v>
      </c>
      <c r="C37" s="123">
        <v>0</v>
      </c>
      <c r="D37" s="123">
        <f>D5</f>
        <v>2.5700000000000001E-2</v>
      </c>
      <c r="E37" s="123">
        <v>0.107</v>
      </c>
      <c r="F37" s="55">
        <f>0.054*(K37/K$5)</f>
        <v>4.5473684210526312E-2</v>
      </c>
      <c r="G37" s="123">
        <v>0.28199999999999997</v>
      </c>
      <c r="H37" s="76" t="s">
        <v>103</v>
      </c>
      <c r="I37" s="76">
        <v>0</v>
      </c>
      <c r="J37" s="76" t="s">
        <v>184</v>
      </c>
      <c r="K37" s="99">
        <v>0.16</v>
      </c>
      <c r="L37" s="76" t="s">
        <v>190</v>
      </c>
      <c r="M37" s="76">
        <v>0</v>
      </c>
      <c r="N37" s="76" t="s">
        <v>184</v>
      </c>
      <c r="Q37" s="150">
        <f t="shared" si="12"/>
        <v>12.080399999999999</v>
      </c>
    </row>
    <row r="38" spans="1:17" x14ac:dyDescent="0.25">
      <c r="A38" s="116" t="s">
        <v>200</v>
      </c>
      <c r="B38" s="27">
        <f>B$37</f>
        <v>1.3</v>
      </c>
      <c r="C38" s="27">
        <f>C$37</f>
        <v>0</v>
      </c>
      <c r="D38" s="27">
        <f>D$37*0.9</f>
        <v>2.3130000000000001E-2</v>
      </c>
      <c r="E38" s="27">
        <f t="shared" ref="E38:L38" si="20">E$37</f>
        <v>0.107</v>
      </c>
      <c r="F38" s="45">
        <f t="shared" si="20"/>
        <v>4.5473684210526312E-2</v>
      </c>
      <c r="G38" s="27">
        <f t="shared" si="20"/>
        <v>0.28199999999999997</v>
      </c>
      <c r="H38" s="26" t="str">
        <f t="shared" si="20"/>
        <v>coke - IPCC</v>
      </c>
      <c r="I38" s="26">
        <f t="shared" si="20"/>
        <v>0</v>
      </c>
      <c r="J38" s="26" t="str">
        <f t="shared" si="20"/>
        <v>charcoal - IPCC</v>
      </c>
      <c r="K38" s="71">
        <f t="shared" si="20"/>
        <v>0.16</v>
      </c>
      <c r="L38" s="26" t="str">
        <f t="shared" si="20"/>
        <v>coal bituminous - IPCC</v>
      </c>
      <c r="M38" s="114">
        <v>1</v>
      </c>
      <c r="N38" s="26" t="str">
        <f>N$37</f>
        <v>charcoal - IPCC</v>
      </c>
      <c r="Q38" s="150">
        <f t="shared" si="12"/>
        <v>12.080399999999999</v>
      </c>
    </row>
    <row r="39" spans="1:17" x14ac:dyDescent="0.25">
      <c r="A39" s="116" t="s">
        <v>201</v>
      </c>
      <c r="B39" s="27">
        <f>B$37</f>
        <v>1.3</v>
      </c>
      <c r="C39" s="27">
        <f>C$37</f>
        <v>0</v>
      </c>
      <c r="D39" s="27">
        <f>D$37*0.9</f>
        <v>2.3130000000000001E-2</v>
      </c>
      <c r="E39" s="27">
        <f t="shared" ref="E39:K39" si="21">E$37</f>
        <v>0.107</v>
      </c>
      <c r="F39" s="45">
        <f t="shared" si="21"/>
        <v>4.5473684210526312E-2</v>
      </c>
      <c r="G39" s="27">
        <f t="shared" si="21"/>
        <v>0.28199999999999997</v>
      </c>
      <c r="H39" s="26" t="str">
        <f t="shared" si="21"/>
        <v>coke - IPCC</v>
      </c>
      <c r="I39" s="26">
        <f t="shared" si="21"/>
        <v>0</v>
      </c>
      <c r="J39" s="26" t="str">
        <f t="shared" si="21"/>
        <v>charcoal - IPCC</v>
      </c>
      <c r="K39" s="71">
        <f t="shared" si="21"/>
        <v>0.16</v>
      </c>
      <c r="L39" s="26" t="s">
        <v>190</v>
      </c>
      <c r="M39" s="114">
        <v>1</v>
      </c>
      <c r="N39" s="26" t="str">
        <f>N$37</f>
        <v>charcoal - IPCC</v>
      </c>
      <c r="Q39" s="150">
        <f t="shared" si="12"/>
        <v>12.080399999999999</v>
      </c>
    </row>
    <row r="40" spans="1:17" s="48" customFormat="1" ht="15.75" thickBot="1" x14ac:dyDescent="0.3">
      <c r="A40" s="145" t="s">
        <v>202</v>
      </c>
      <c r="B40" s="47">
        <f>B37</f>
        <v>1.3</v>
      </c>
      <c r="C40" s="47">
        <f t="shared" ref="C40:L41" si="22">C37</f>
        <v>0</v>
      </c>
      <c r="D40" s="47">
        <f t="shared" si="22"/>
        <v>2.5700000000000001E-2</v>
      </c>
      <c r="E40" s="47">
        <f t="shared" si="22"/>
        <v>0.107</v>
      </c>
      <c r="F40" s="47">
        <f t="shared" si="22"/>
        <v>4.5473684210526312E-2</v>
      </c>
      <c r="G40" s="47">
        <f t="shared" si="22"/>
        <v>0.28199999999999997</v>
      </c>
      <c r="H40" s="47" t="str">
        <f t="shared" si="22"/>
        <v>coke - IPCC</v>
      </c>
      <c r="I40" s="47">
        <f t="shared" si="22"/>
        <v>0</v>
      </c>
      <c r="J40" s="47" t="str">
        <f t="shared" si="22"/>
        <v>charcoal - IPCC</v>
      </c>
      <c r="K40" s="65">
        <f t="shared" si="22"/>
        <v>0.16</v>
      </c>
      <c r="L40" s="47" t="str">
        <f t="shared" si="22"/>
        <v>coal bituminous - IPCC</v>
      </c>
      <c r="M40" s="50">
        <v>1</v>
      </c>
      <c r="N40" s="48" t="str">
        <f>N$37</f>
        <v>charcoal - IPCC</v>
      </c>
      <c r="Q40" s="172">
        <f t="shared" si="12"/>
        <v>12.080399999999999</v>
      </c>
    </row>
    <row r="41" spans="1:17" s="76" customFormat="1" x14ac:dyDescent="0.25">
      <c r="A41" s="144" t="s">
        <v>204</v>
      </c>
      <c r="B41" s="76">
        <v>0</v>
      </c>
      <c r="C41" s="76">
        <v>1.3</v>
      </c>
      <c r="D41" s="76">
        <v>0</v>
      </c>
      <c r="E41" s="174">
        <v>0.2</v>
      </c>
      <c r="F41" s="55">
        <f>500*Ref!C12</f>
        <v>0.71381279557419464</v>
      </c>
      <c r="G41" s="56">
        <v>0</v>
      </c>
      <c r="H41" s="76" t="s">
        <v>103</v>
      </c>
      <c r="I41" s="123">
        <f t="shared" si="22"/>
        <v>0</v>
      </c>
      <c r="J41" s="123" t="str">
        <f t="shared" si="22"/>
        <v>charcoal - IPCC</v>
      </c>
      <c r="K41" s="99">
        <v>0.6</v>
      </c>
      <c r="L41" s="76" t="s">
        <v>190</v>
      </c>
      <c r="M41" s="76">
        <v>0</v>
      </c>
      <c r="N41" s="76" t="s">
        <v>184</v>
      </c>
      <c r="Q41" s="175">
        <f t="shared" si="12"/>
        <v>15.48</v>
      </c>
    </row>
    <row r="42" spans="1:17" x14ac:dyDescent="0.25">
      <c r="A42" s="116" t="s">
        <v>205</v>
      </c>
      <c r="B42" s="26">
        <f>B41</f>
        <v>0</v>
      </c>
      <c r="C42" s="26">
        <f t="shared" ref="C42:L42" si="23">C41</f>
        <v>1.3</v>
      </c>
      <c r="D42" s="26">
        <f t="shared" si="23"/>
        <v>0</v>
      </c>
      <c r="E42" s="26">
        <f t="shared" si="23"/>
        <v>0.2</v>
      </c>
      <c r="F42" s="27">
        <f t="shared" si="23"/>
        <v>0.71381279557419464</v>
      </c>
      <c r="G42" s="26">
        <f>G41</f>
        <v>0</v>
      </c>
      <c r="H42" s="26" t="str">
        <f t="shared" si="23"/>
        <v>coke - IPCC</v>
      </c>
      <c r="I42" s="26">
        <f t="shared" si="23"/>
        <v>0</v>
      </c>
      <c r="J42" s="26" t="str">
        <f t="shared" si="23"/>
        <v>charcoal - IPCC</v>
      </c>
      <c r="K42" s="71">
        <f t="shared" si="23"/>
        <v>0.6</v>
      </c>
      <c r="L42" s="26" t="str">
        <f t="shared" si="23"/>
        <v>coal bituminous - IPCC</v>
      </c>
      <c r="M42" s="114">
        <v>1</v>
      </c>
      <c r="N42" s="26" t="str">
        <f>N$37</f>
        <v>charcoal - IPCC</v>
      </c>
      <c r="Q42" s="150">
        <f t="shared" si="12"/>
        <v>15.48</v>
      </c>
    </row>
    <row r="43" spans="1:17" x14ac:dyDescent="0.25">
      <c r="A43" s="116" t="s">
        <v>241</v>
      </c>
      <c r="B43" s="26">
        <f>B41</f>
        <v>0</v>
      </c>
      <c r="C43" s="26">
        <f t="shared" ref="C43:L43" si="24">C41</f>
        <v>1.3</v>
      </c>
      <c r="D43" s="26">
        <f t="shared" si="24"/>
        <v>0</v>
      </c>
      <c r="E43" s="26">
        <f t="shared" si="24"/>
        <v>0.2</v>
      </c>
      <c r="F43" s="27">
        <f t="shared" si="24"/>
        <v>0.71381279557419464</v>
      </c>
      <c r="G43" s="26">
        <f>G41</f>
        <v>0</v>
      </c>
      <c r="H43" s="26" t="str">
        <f t="shared" si="24"/>
        <v>coke - IPCC</v>
      </c>
      <c r="I43" s="26">
        <f t="shared" si="24"/>
        <v>0</v>
      </c>
      <c r="J43" s="26" t="str">
        <f t="shared" si="24"/>
        <v>charcoal - IPCC</v>
      </c>
      <c r="K43" s="71">
        <f t="shared" si="24"/>
        <v>0.6</v>
      </c>
      <c r="L43" s="26" t="str">
        <f t="shared" si="24"/>
        <v>coal bituminous - IPCC</v>
      </c>
      <c r="M43" s="114">
        <v>1</v>
      </c>
      <c r="N43" s="26" t="str">
        <f>N$37</f>
        <v>charcoal - IPCC</v>
      </c>
      <c r="Q43" s="150">
        <f t="shared" si="12"/>
        <v>15.48</v>
      </c>
    </row>
    <row r="44" spans="1:17" s="48" customFormat="1" ht="15.75" thickBot="1" x14ac:dyDescent="0.3">
      <c r="A44" s="145" t="s">
        <v>206</v>
      </c>
      <c r="B44" s="48">
        <f>B41</f>
        <v>0</v>
      </c>
      <c r="C44" s="48">
        <f t="shared" ref="C44:L44" si="25">C41</f>
        <v>1.3</v>
      </c>
      <c r="D44" s="48">
        <f t="shared" si="25"/>
        <v>0</v>
      </c>
      <c r="E44" s="48">
        <f t="shared" si="25"/>
        <v>0.2</v>
      </c>
      <c r="F44" s="47">
        <f t="shared" si="25"/>
        <v>0.71381279557419464</v>
      </c>
      <c r="G44" s="48">
        <f>G41</f>
        <v>0</v>
      </c>
      <c r="H44" s="48" t="str">
        <f t="shared" si="25"/>
        <v>coke - IPCC</v>
      </c>
      <c r="I44" s="48">
        <f t="shared" si="25"/>
        <v>0</v>
      </c>
      <c r="J44" s="48" t="str">
        <f t="shared" si="25"/>
        <v>charcoal - IPCC</v>
      </c>
      <c r="K44" s="65">
        <f t="shared" si="25"/>
        <v>0.6</v>
      </c>
      <c r="L44" s="48" t="str">
        <f t="shared" si="25"/>
        <v>coal bituminous - IPCC</v>
      </c>
      <c r="M44" s="50">
        <v>1</v>
      </c>
      <c r="N44" s="48" t="str">
        <f>N$37</f>
        <v>charcoal - IPCC</v>
      </c>
      <c r="Q44" s="172">
        <f t="shared" si="12"/>
        <v>15.48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B40" sqref="B40"/>
    </sheetView>
  </sheetViews>
  <sheetFormatPr defaultColWidth="8.85546875" defaultRowHeight="15" x14ac:dyDescent="0.25"/>
  <cols>
    <col min="1" max="1" width="21.42578125" customWidth="1"/>
    <col min="2" max="2" width="14.140625" customWidth="1"/>
    <col min="3" max="3" width="11.7109375" style="59" customWidth="1"/>
    <col min="4" max="4" width="14.140625" bestFit="1" customWidth="1"/>
    <col min="5" max="5" width="14.85546875" style="59" customWidth="1"/>
    <col min="6" max="6" width="17.7109375" bestFit="1" customWidth="1"/>
    <col min="7" max="7" width="20.28515625" customWidth="1"/>
    <col min="8" max="8" width="18.140625" bestFit="1" customWidth="1"/>
    <col min="9" max="9" width="11.85546875" bestFit="1" customWidth="1"/>
    <col min="10" max="10" width="12.28515625" bestFit="1" customWidth="1"/>
    <col min="11" max="11" width="17.85546875" bestFit="1" customWidth="1"/>
    <col min="12" max="12" width="12" bestFit="1" customWidth="1"/>
  </cols>
  <sheetData>
    <row r="1" spans="1:13" x14ac:dyDescent="0.25">
      <c r="A1" s="1" t="s">
        <v>0</v>
      </c>
      <c r="B1" s="3" t="s">
        <v>187</v>
      </c>
      <c r="C1" s="59" t="s">
        <v>72</v>
      </c>
      <c r="D1" t="s">
        <v>20</v>
      </c>
      <c r="E1" s="59" t="s">
        <v>211</v>
      </c>
      <c r="F1" t="s">
        <v>4</v>
      </c>
      <c r="G1" t="s">
        <v>21</v>
      </c>
      <c r="H1" t="s">
        <v>22</v>
      </c>
      <c r="I1" t="s">
        <v>12</v>
      </c>
      <c r="J1" t="s">
        <v>19</v>
      </c>
      <c r="K1" t="s">
        <v>7</v>
      </c>
      <c r="L1" t="s">
        <v>68</v>
      </c>
      <c r="M1" t="s">
        <v>2</v>
      </c>
    </row>
    <row r="2" spans="1:13" x14ac:dyDescent="0.25">
      <c r="A2" s="2" t="s">
        <v>1</v>
      </c>
      <c r="B2" s="2" t="s">
        <v>188</v>
      </c>
      <c r="C2" s="102" t="s">
        <v>73</v>
      </c>
      <c r="D2" t="s">
        <v>69</v>
      </c>
      <c r="K2" t="s">
        <v>71</v>
      </c>
      <c r="L2" t="s">
        <v>70</v>
      </c>
    </row>
    <row r="3" spans="1:13" x14ac:dyDescent="0.25">
      <c r="A3" s="2" t="s">
        <v>2</v>
      </c>
      <c r="B3" s="2" t="s">
        <v>189</v>
      </c>
      <c r="C3" s="102"/>
    </row>
    <row r="4" spans="1:13" x14ac:dyDescent="0.25">
      <c r="A4" t="s">
        <v>3</v>
      </c>
      <c r="B4" s="110">
        <f>SUM(C4:D4)</f>
        <v>1.1000000000000001</v>
      </c>
      <c r="C4" s="59">
        <v>1</v>
      </c>
      <c r="D4">
        <v>0.1</v>
      </c>
      <c r="E4" s="151">
        <f>D4/B4</f>
        <v>9.0909090909090912E-2</v>
      </c>
      <c r="F4">
        <v>0</v>
      </c>
      <c r="G4" t="str">
        <f t="shared" ref="G4" si="0">G$15</f>
        <v>coke - IPCC</v>
      </c>
      <c r="H4">
        <v>0</v>
      </c>
      <c r="I4" s="89" t="s">
        <v>184</v>
      </c>
      <c r="J4">
        <v>0</v>
      </c>
      <c r="K4" s="38">
        <v>0</v>
      </c>
    </row>
    <row r="5" spans="1:13" hidden="1" x14ac:dyDescent="0.25">
      <c r="A5" t="s">
        <v>129</v>
      </c>
      <c r="B5" s="111">
        <f t="shared" ref="B5:B10" si="1">SUM(C5:D5)</f>
        <v>1.0958000000000001</v>
      </c>
      <c r="C5" s="59">
        <f>0.9058</f>
        <v>0.90580000000000005</v>
      </c>
      <c r="D5">
        <f>0.1169+0.0731</f>
        <v>0.19</v>
      </c>
      <c r="E5" s="151"/>
      <c r="F5">
        <v>0</v>
      </c>
      <c r="G5" t="s">
        <v>103</v>
      </c>
      <c r="H5">
        <v>0</v>
      </c>
      <c r="I5" t="s">
        <v>184</v>
      </c>
      <c r="J5" s="21">
        <f>0.9136*(0.0755+0.0118)</f>
        <v>7.975728E-2</v>
      </c>
      <c r="K5">
        <v>7.1999999999999995E-2</v>
      </c>
      <c r="L5">
        <v>7.4236999999999997E-2</v>
      </c>
    </row>
    <row r="6" spans="1:13" hidden="1" x14ac:dyDescent="0.25">
      <c r="A6" t="s">
        <v>135</v>
      </c>
      <c r="B6" s="111">
        <f t="shared" si="1"/>
        <v>1.0958000000000001</v>
      </c>
      <c r="C6" s="59">
        <f>0.9058</f>
        <v>0.90580000000000005</v>
      </c>
      <c r="D6">
        <f>0.1169+0.0731</f>
        <v>0.19</v>
      </c>
      <c r="E6" s="151"/>
      <c r="F6">
        <v>0</v>
      </c>
      <c r="G6" t="s">
        <v>103</v>
      </c>
      <c r="H6">
        <v>0</v>
      </c>
      <c r="I6" t="s">
        <v>184</v>
      </c>
      <c r="J6" s="21">
        <f>0.9136*(0.0755+0.0118)</f>
        <v>7.975728E-2</v>
      </c>
      <c r="K6">
        <v>7.1999999999999995E-2</v>
      </c>
      <c r="L6">
        <v>7.4236999999999997E-2</v>
      </c>
    </row>
    <row r="7" spans="1:13" hidden="1" x14ac:dyDescent="0.25">
      <c r="A7" t="s">
        <v>130</v>
      </c>
      <c r="B7" s="111">
        <f t="shared" si="1"/>
        <v>1.1000000000000001</v>
      </c>
      <c r="C7" s="59">
        <v>0.9</v>
      </c>
      <c r="D7">
        <v>0.2</v>
      </c>
      <c r="E7" s="151"/>
      <c r="F7" s="21">
        <f>0.4/47</f>
        <v>8.5106382978723406E-3</v>
      </c>
      <c r="G7" t="s">
        <v>109</v>
      </c>
      <c r="J7">
        <v>0.05</v>
      </c>
      <c r="K7">
        <v>0.1</v>
      </c>
      <c r="L7">
        <f>60*Ref!$C$12</f>
        <v>8.5657535468903354E-2</v>
      </c>
    </row>
    <row r="8" spans="1:13" hidden="1" x14ac:dyDescent="0.25">
      <c r="A8" t="s">
        <v>123</v>
      </c>
      <c r="B8" s="111">
        <f t="shared" si="1"/>
        <v>1.1280000000000001</v>
      </c>
      <c r="C8" s="59">
        <f>0.788</f>
        <v>0.78800000000000003</v>
      </c>
      <c r="D8">
        <v>0.34</v>
      </c>
      <c r="E8" s="151"/>
      <c r="F8">
        <v>1E-3</v>
      </c>
      <c r="G8" t="s">
        <v>109</v>
      </c>
      <c r="J8">
        <v>0.03</v>
      </c>
      <c r="K8">
        <v>3.5000000000000003E-2</v>
      </c>
      <c r="L8">
        <f>49.5*Ref!C12</f>
        <v>7.0667466761845266E-2</v>
      </c>
    </row>
    <row r="9" spans="1:13" hidden="1" x14ac:dyDescent="0.25">
      <c r="A9" t="s">
        <v>131</v>
      </c>
      <c r="B9" s="111">
        <f t="shared" si="1"/>
        <v>0</v>
      </c>
      <c r="E9" s="151"/>
      <c r="F9">
        <v>0</v>
      </c>
      <c r="G9" t="s">
        <v>109</v>
      </c>
    </row>
    <row r="10" spans="1:13" hidden="1" x14ac:dyDescent="0.25">
      <c r="A10" t="s">
        <v>133</v>
      </c>
      <c r="B10" s="112">
        <f t="shared" si="1"/>
        <v>0</v>
      </c>
      <c r="E10" s="151"/>
      <c r="F10" s="21">
        <f>0.4/47.1</f>
        <v>8.4925690021231421E-3</v>
      </c>
      <c r="G10" t="s">
        <v>109</v>
      </c>
      <c r="K10">
        <v>0.09</v>
      </c>
    </row>
    <row r="11" spans="1:13" s="68" customFormat="1" x14ac:dyDescent="0.25">
      <c r="A11" s="67" t="s">
        <v>213</v>
      </c>
      <c r="B11" s="101">
        <f>SUM(C11:D11)</f>
        <v>1.1000000000000001</v>
      </c>
      <c r="C11" s="103">
        <v>0.9</v>
      </c>
      <c r="D11" s="75">
        <v>0.2</v>
      </c>
      <c r="E11" s="152">
        <f t="shared" ref="E11:E46" si="2">D11/B11</f>
        <v>0.18181818181818182</v>
      </c>
      <c r="F11" s="75">
        <v>0</v>
      </c>
      <c r="G11" s="68" t="s">
        <v>109</v>
      </c>
      <c r="H11" s="68">
        <v>0</v>
      </c>
      <c r="I11" s="68" t="s">
        <v>184</v>
      </c>
      <c r="J11" s="68">
        <v>0.05</v>
      </c>
      <c r="K11" s="68">
        <v>0.15</v>
      </c>
      <c r="L11" s="78">
        <v>7.4999999999999997E-2</v>
      </c>
    </row>
    <row r="12" spans="1:13" x14ac:dyDescent="0.25">
      <c r="A12" s="40" t="s">
        <v>214</v>
      </c>
      <c r="B12" s="21">
        <f>B11</f>
        <v>1.1000000000000001</v>
      </c>
      <c r="C12" s="105">
        <f t="shared" ref="C12:L12" si="3">C$11</f>
        <v>0.9</v>
      </c>
      <c r="D12" s="21">
        <f t="shared" si="3"/>
        <v>0.2</v>
      </c>
      <c r="E12" s="153">
        <f t="shared" si="2"/>
        <v>0.18181818181818182</v>
      </c>
      <c r="F12" s="21">
        <f t="shared" si="3"/>
        <v>0</v>
      </c>
      <c r="G12" t="str">
        <f t="shared" si="3"/>
        <v>natural gas - IPCC</v>
      </c>
      <c r="H12">
        <f t="shared" si="3"/>
        <v>0</v>
      </c>
      <c r="I12" t="str">
        <f t="shared" si="3"/>
        <v>charcoal - IPCC</v>
      </c>
      <c r="J12" s="21">
        <f t="shared" si="3"/>
        <v>0.05</v>
      </c>
      <c r="K12" s="21">
        <f t="shared" si="3"/>
        <v>0.15</v>
      </c>
      <c r="L12" s="21">
        <f t="shared" si="3"/>
        <v>7.4999999999999997E-2</v>
      </c>
    </row>
    <row r="13" spans="1:13" x14ac:dyDescent="0.25">
      <c r="A13" s="40" t="s">
        <v>215</v>
      </c>
      <c r="B13" s="21">
        <f>B11</f>
        <v>1.1000000000000001</v>
      </c>
      <c r="C13" s="105">
        <f t="shared" ref="C13:L13" si="4">C$11</f>
        <v>0.9</v>
      </c>
      <c r="D13" s="21">
        <f t="shared" si="4"/>
        <v>0.2</v>
      </c>
      <c r="E13" s="153">
        <f t="shared" si="2"/>
        <v>0.18181818181818182</v>
      </c>
      <c r="F13" s="21">
        <f t="shared" si="4"/>
        <v>0</v>
      </c>
      <c r="G13" t="str">
        <f t="shared" si="4"/>
        <v>natural gas - IPCC</v>
      </c>
      <c r="H13">
        <f t="shared" si="4"/>
        <v>0</v>
      </c>
      <c r="I13" t="str">
        <f t="shared" si="4"/>
        <v>charcoal - IPCC</v>
      </c>
      <c r="J13" s="21">
        <f t="shared" si="4"/>
        <v>0.05</v>
      </c>
      <c r="K13" s="21">
        <f t="shared" si="4"/>
        <v>0.15</v>
      </c>
      <c r="L13" s="21">
        <f t="shared" si="4"/>
        <v>7.4999999999999997E-2</v>
      </c>
    </row>
    <row r="14" spans="1:13" s="48" customFormat="1" ht="15.75" thickBot="1" x14ac:dyDescent="0.3">
      <c r="A14" s="49" t="s">
        <v>216</v>
      </c>
      <c r="B14" s="47">
        <f>B11</f>
        <v>1.1000000000000001</v>
      </c>
      <c r="C14" s="106">
        <f>C$11</f>
        <v>0.9</v>
      </c>
      <c r="D14" s="47">
        <f>D$11</f>
        <v>0.2</v>
      </c>
      <c r="E14" s="154">
        <f t="shared" si="2"/>
        <v>0.18181818181818182</v>
      </c>
      <c r="F14" s="47">
        <f t="shared" ref="F14:L14" si="5">F$11</f>
        <v>0</v>
      </c>
      <c r="G14" s="48" t="str">
        <f t="shared" si="5"/>
        <v>natural gas - IPCC</v>
      </c>
      <c r="H14" s="48">
        <f t="shared" si="5"/>
        <v>0</v>
      </c>
      <c r="I14" s="48" t="str">
        <f t="shared" si="5"/>
        <v>charcoal - IPCC</v>
      </c>
      <c r="J14" s="47">
        <f t="shared" si="5"/>
        <v>0.05</v>
      </c>
      <c r="K14" s="47">
        <f t="shared" si="5"/>
        <v>0.15</v>
      </c>
      <c r="L14" s="47">
        <f t="shared" si="5"/>
        <v>7.4999999999999997E-2</v>
      </c>
    </row>
    <row r="15" spans="1:13" s="1" customFormat="1" x14ac:dyDescent="0.25">
      <c r="A15" s="52" t="s">
        <v>217</v>
      </c>
      <c r="B15" s="110">
        <f t="shared" ref="B15" si="6">SUM(C15:D15)</f>
        <v>1.1000000000000001</v>
      </c>
      <c r="C15" s="104">
        <v>1.0900000000000001</v>
      </c>
      <c r="D15" s="54">
        <f>0.1*(1/0.01)/1000</f>
        <v>0.01</v>
      </c>
      <c r="E15" s="152">
        <f t="shared" si="2"/>
        <v>9.0909090909090905E-3</v>
      </c>
      <c r="F15" s="54">
        <v>0</v>
      </c>
      <c r="G15" s="1" t="s">
        <v>103</v>
      </c>
      <c r="H15" s="1">
        <v>0</v>
      </c>
      <c r="I15" s="1" t="s">
        <v>184</v>
      </c>
      <c r="J15" s="77">
        <v>0.05</v>
      </c>
      <c r="K15" s="54">
        <v>0.15</v>
      </c>
      <c r="L15" s="78">
        <v>7.4999999999999997E-2</v>
      </c>
    </row>
    <row r="16" spans="1:13" x14ac:dyDescent="0.25">
      <c r="A16" s="40" t="s">
        <v>218</v>
      </c>
      <c r="B16" s="21">
        <f>B$15</f>
        <v>1.1000000000000001</v>
      </c>
      <c r="C16" s="105">
        <f>C$15</f>
        <v>1.0900000000000001</v>
      </c>
      <c r="D16" s="21">
        <f t="shared" ref="D16:L16" si="7">D$15</f>
        <v>0.01</v>
      </c>
      <c r="E16" s="153">
        <f t="shared" si="2"/>
        <v>9.0909090909090905E-3</v>
      </c>
      <c r="F16" s="21">
        <f t="shared" si="7"/>
        <v>0</v>
      </c>
      <c r="G16" t="str">
        <f t="shared" si="7"/>
        <v>coke - IPCC</v>
      </c>
      <c r="H16">
        <f t="shared" si="7"/>
        <v>0</v>
      </c>
      <c r="I16" t="str">
        <f t="shared" si="7"/>
        <v>charcoal - IPCC</v>
      </c>
      <c r="J16" s="21">
        <f t="shared" si="7"/>
        <v>0.05</v>
      </c>
      <c r="K16" s="21">
        <f t="shared" si="7"/>
        <v>0.15</v>
      </c>
      <c r="L16" s="21">
        <f t="shared" si="7"/>
        <v>7.4999999999999997E-2</v>
      </c>
    </row>
    <row r="17" spans="1:13" x14ac:dyDescent="0.25">
      <c r="A17" s="40" t="s">
        <v>219</v>
      </c>
      <c r="B17" s="21">
        <f t="shared" ref="B17:L17" si="8">B$15</f>
        <v>1.1000000000000001</v>
      </c>
      <c r="C17" s="105">
        <f t="shared" si="8"/>
        <v>1.0900000000000001</v>
      </c>
      <c r="D17" s="21">
        <f t="shared" si="8"/>
        <v>0.01</v>
      </c>
      <c r="E17" s="153">
        <f t="shared" si="2"/>
        <v>9.0909090909090905E-3</v>
      </c>
      <c r="F17" s="21">
        <f t="shared" si="8"/>
        <v>0</v>
      </c>
      <c r="G17" t="str">
        <f t="shared" si="8"/>
        <v>coke - IPCC</v>
      </c>
      <c r="H17">
        <f t="shared" si="8"/>
        <v>0</v>
      </c>
      <c r="I17" t="str">
        <f t="shared" si="8"/>
        <v>charcoal - IPCC</v>
      </c>
      <c r="J17" s="21">
        <f t="shared" si="8"/>
        <v>0.05</v>
      </c>
      <c r="K17" s="21">
        <f t="shared" si="8"/>
        <v>0.15</v>
      </c>
      <c r="L17" s="21">
        <f t="shared" si="8"/>
        <v>7.4999999999999997E-2</v>
      </c>
    </row>
    <row r="18" spans="1:13" s="48" customFormat="1" ht="15.75" thickBot="1" x14ac:dyDescent="0.3">
      <c r="A18" s="49" t="s">
        <v>220</v>
      </c>
      <c r="B18" s="47">
        <f>B$15</f>
        <v>1.1000000000000001</v>
      </c>
      <c r="C18" s="106">
        <f>C$15</f>
        <v>1.0900000000000001</v>
      </c>
      <c r="D18" s="47">
        <f>D$15</f>
        <v>0.01</v>
      </c>
      <c r="E18" s="154">
        <f t="shared" si="2"/>
        <v>9.0909090909090905E-3</v>
      </c>
      <c r="F18" s="47">
        <f t="shared" ref="F18:L18" si="9">F$15</f>
        <v>0</v>
      </c>
      <c r="G18" s="48" t="str">
        <f t="shared" si="9"/>
        <v>coke - IPCC</v>
      </c>
      <c r="H18" s="48">
        <f t="shared" si="9"/>
        <v>0</v>
      </c>
      <c r="I18" s="48" t="str">
        <f t="shared" si="9"/>
        <v>charcoal - IPCC</v>
      </c>
      <c r="J18" s="47">
        <f t="shared" si="9"/>
        <v>0.05</v>
      </c>
      <c r="K18" s="47">
        <f t="shared" si="9"/>
        <v>0.15</v>
      </c>
      <c r="L18" s="47">
        <f t="shared" si="9"/>
        <v>7.4999999999999997E-2</v>
      </c>
    </row>
    <row r="19" spans="1:13" s="1" customFormat="1" x14ac:dyDescent="0.25">
      <c r="A19" s="52" t="s">
        <v>221</v>
      </c>
      <c r="B19" s="110">
        <f>SUM(C19:D19)</f>
        <v>1.0999999999999999</v>
      </c>
      <c r="C19" s="104">
        <v>0.94499999999999995</v>
      </c>
      <c r="D19" s="54">
        <v>0.155</v>
      </c>
      <c r="E19" s="152">
        <f t="shared" si="2"/>
        <v>0.14090909090909093</v>
      </c>
      <c r="F19" s="54">
        <v>0</v>
      </c>
      <c r="G19" s="1" t="s">
        <v>103</v>
      </c>
      <c r="H19" s="1">
        <v>0</v>
      </c>
      <c r="I19" s="1" t="s">
        <v>184</v>
      </c>
      <c r="J19" s="78">
        <v>0.05</v>
      </c>
      <c r="K19" s="54">
        <v>0.15</v>
      </c>
      <c r="L19" s="78">
        <v>7.4999999999999997E-2</v>
      </c>
    </row>
    <row r="20" spans="1:13" x14ac:dyDescent="0.25">
      <c r="A20" s="40" t="s">
        <v>222</v>
      </c>
      <c r="B20" s="45">
        <f>B19</f>
        <v>1.0999999999999999</v>
      </c>
      <c r="C20" s="105">
        <f t="shared" ref="C20:D22" si="10">C$19</f>
        <v>0.94499999999999995</v>
      </c>
      <c r="D20" s="21">
        <f t="shared" si="10"/>
        <v>0.155</v>
      </c>
      <c r="E20" s="153">
        <f t="shared" si="2"/>
        <v>0.14090909090909093</v>
      </c>
      <c r="F20" s="21">
        <f t="shared" ref="F20:L22" si="11">F$19</f>
        <v>0</v>
      </c>
      <c r="G20" t="str">
        <f t="shared" si="11"/>
        <v>coke - IPCC</v>
      </c>
      <c r="H20">
        <f t="shared" si="11"/>
        <v>0</v>
      </c>
      <c r="I20" t="str">
        <f t="shared" si="11"/>
        <v>charcoal - IPCC</v>
      </c>
      <c r="J20" s="21">
        <f t="shared" si="11"/>
        <v>0.05</v>
      </c>
      <c r="K20" s="21">
        <f t="shared" si="11"/>
        <v>0.15</v>
      </c>
      <c r="L20" s="21">
        <f t="shared" si="11"/>
        <v>7.4999999999999997E-2</v>
      </c>
    </row>
    <row r="21" spans="1:13" x14ac:dyDescent="0.25">
      <c r="A21" s="40" t="s">
        <v>223</v>
      </c>
      <c r="B21" s="45">
        <f>B19</f>
        <v>1.0999999999999999</v>
      </c>
      <c r="C21" s="105">
        <f t="shared" si="10"/>
        <v>0.94499999999999995</v>
      </c>
      <c r="D21" s="21">
        <f t="shared" si="10"/>
        <v>0.155</v>
      </c>
      <c r="E21" s="153">
        <f t="shared" si="2"/>
        <v>0.14090909090909093</v>
      </c>
      <c r="F21" s="21">
        <f t="shared" si="11"/>
        <v>0</v>
      </c>
      <c r="G21" t="str">
        <f t="shared" si="11"/>
        <v>coke - IPCC</v>
      </c>
      <c r="H21">
        <f t="shared" si="11"/>
        <v>0</v>
      </c>
      <c r="I21" t="str">
        <f t="shared" si="11"/>
        <v>charcoal - IPCC</v>
      </c>
      <c r="J21" s="21">
        <f t="shared" si="11"/>
        <v>0.05</v>
      </c>
      <c r="K21" s="21">
        <f t="shared" si="11"/>
        <v>0.15</v>
      </c>
      <c r="L21" s="21">
        <f t="shared" si="11"/>
        <v>7.4999999999999997E-2</v>
      </c>
    </row>
    <row r="22" spans="1:13" s="48" customFormat="1" ht="15.75" thickBot="1" x14ac:dyDescent="0.3">
      <c r="A22" s="49" t="s">
        <v>224</v>
      </c>
      <c r="B22" s="64">
        <f>B19</f>
        <v>1.0999999999999999</v>
      </c>
      <c r="C22" s="106">
        <f t="shared" si="10"/>
        <v>0.94499999999999995</v>
      </c>
      <c r="D22" s="47">
        <f t="shared" si="10"/>
        <v>0.155</v>
      </c>
      <c r="E22" s="154">
        <f t="shared" si="2"/>
        <v>0.14090909090909093</v>
      </c>
      <c r="F22" s="47">
        <f t="shared" si="11"/>
        <v>0</v>
      </c>
      <c r="G22" s="48" t="str">
        <f t="shared" si="11"/>
        <v>coke - IPCC</v>
      </c>
      <c r="H22" s="48">
        <f t="shared" si="11"/>
        <v>0</v>
      </c>
      <c r="I22" s="48" t="str">
        <f t="shared" si="11"/>
        <v>charcoal - IPCC</v>
      </c>
      <c r="J22" s="47">
        <f t="shared" si="11"/>
        <v>0.05</v>
      </c>
      <c r="K22" s="47">
        <f t="shared" si="11"/>
        <v>0.15</v>
      </c>
      <c r="L22" s="47">
        <f t="shared" si="11"/>
        <v>7.4999999999999997E-2</v>
      </c>
    </row>
    <row r="23" spans="1:13" s="1" customFormat="1" x14ac:dyDescent="0.25">
      <c r="A23" s="52" t="s">
        <v>225</v>
      </c>
      <c r="B23" s="110">
        <f>SUM(C23:D23)</f>
        <v>1.0999999999999999</v>
      </c>
      <c r="C23" s="104">
        <v>0.95</v>
      </c>
      <c r="D23" s="78">
        <v>0.15</v>
      </c>
      <c r="E23" s="152">
        <f t="shared" si="2"/>
        <v>0.13636363636363638</v>
      </c>
      <c r="F23" s="54">
        <v>0</v>
      </c>
      <c r="G23" s="1" t="s">
        <v>103</v>
      </c>
      <c r="H23" s="1">
        <v>0</v>
      </c>
      <c r="I23" s="1" t="s">
        <v>184</v>
      </c>
      <c r="J23" s="78">
        <v>0.05</v>
      </c>
      <c r="K23" s="78">
        <v>0.15</v>
      </c>
      <c r="L23" s="78">
        <v>7.4999999999999997E-2</v>
      </c>
    </row>
    <row r="24" spans="1:13" x14ac:dyDescent="0.25">
      <c r="A24" s="40" t="s">
        <v>226</v>
      </c>
      <c r="B24" s="45">
        <f>B23</f>
        <v>1.0999999999999999</v>
      </c>
      <c r="C24" s="105">
        <f t="shared" ref="C24:D26" si="12">C$23</f>
        <v>0.95</v>
      </c>
      <c r="D24" s="21">
        <f t="shared" si="12"/>
        <v>0.15</v>
      </c>
      <c r="E24" s="153">
        <f t="shared" si="2"/>
        <v>0.13636363636363638</v>
      </c>
      <c r="F24" s="21">
        <f t="shared" ref="F24:L26" si="13">F$23</f>
        <v>0</v>
      </c>
      <c r="G24" t="str">
        <f t="shared" si="13"/>
        <v>coke - IPCC</v>
      </c>
      <c r="H24">
        <f t="shared" si="13"/>
        <v>0</v>
      </c>
      <c r="I24" t="str">
        <f t="shared" si="13"/>
        <v>charcoal - IPCC</v>
      </c>
      <c r="J24" s="21">
        <f t="shared" si="13"/>
        <v>0.05</v>
      </c>
      <c r="K24" s="21">
        <f t="shared" si="13"/>
        <v>0.15</v>
      </c>
      <c r="L24" s="21">
        <f t="shared" si="13"/>
        <v>7.4999999999999997E-2</v>
      </c>
    </row>
    <row r="25" spans="1:13" x14ac:dyDescent="0.25">
      <c r="A25" s="40" t="s">
        <v>227</v>
      </c>
      <c r="B25" s="45">
        <f>B23</f>
        <v>1.0999999999999999</v>
      </c>
      <c r="C25" s="105">
        <f t="shared" si="12"/>
        <v>0.95</v>
      </c>
      <c r="D25" s="21">
        <f t="shared" si="12"/>
        <v>0.15</v>
      </c>
      <c r="E25" s="153">
        <f t="shared" si="2"/>
        <v>0.13636363636363638</v>
      </c>
      <c r="F25" s="21">
        <f t="shared" si="13"/>
        <v>0</v>
      </c>
      <c r="G25" t="str">
        <f t="shared" si="13"/>
        <v>coke - IPCC</v>
      </c>
      <c r="H25">
        <f t="shared" si="13"/>
        <v>0</v>
      </c>
      <c r="I25" t="str">
        <f t="shared" si="13"/>
        <v>charcoal - IPCC</v>
      </c>
      <c r="J25" s="21">
        <f t="shared" si="13"/>
        <v>0.05</v>
      </c>
      <c r="K25" s="21">
        <f t="shared" si="13"/>
        <v>0.15</v>
      </c>
      <c r="L25" s="21">
        <f t="shared" si="13"/>
        <v>7.4999999999999997E-2</v>
      </c>
    </row>
    <row r="26" spans="1:13" s="48" customFormat="1" ht="15.75" thickBot="1" x14ac:dyDescent="0.3">
      <c r="A26" s="49" t="s">
        <v>228</v>
      </c>
      <c r="B26" s="64">
        <f>B23</f>
        <v>1.0999999999999999</v>
      </c>
      <c r="C26" s="106">
        <f t="shared" si="12"/>
        <v>0.95</v>
      </c>
      <c r="D26" s="47">
        <f t="shared" si="12"/>
        <v>0.15</v>
      </c>
      <c r="E26" s="154">
        <f t="shared" si="2"/>
        <v>0.13636363636363638</v>
      </c>
      <c r="F26" s="47">
        <f t="shared" si="13"/>
        <v>0</v>
      </c>
      <c r="G26" s="48" t="str">
        <f t="shared" si="13"/>
        <v>coke - IPCC</v>
      </c>
      <c r="H26" s="48">
        <f t="shared" si="13"/>
        <v>0</v>
      </c>
      <c r="I26" s="48" t="str">
        <f t="shared" si="13"/>
        <v>charcoal - IPCC</v>
      </c>
      <c r="J26" s="47">
        <f t="shared" si="13"/>
        <v>0.05</v>
      </c>
      <c r="K26" s="47">
        <f t="shared" si="13"/>
        <v>0.15</v>
      </c>
      <c r="L26" s="47">
        <f t="shared" si="13"/>
        <v>7.4999999999999997E-2</v>
      </c>
    </row>
    <row r="27" spans="1:13" s="1" customFormat="1" x14ac:dyDescent="0.25">
      <c r="A27" s="52" t="s">
        <v>229</v>
      </c>
      <c r="B27" s="110">
        <f>SUM(C27:D27)</f>
        <v>1.1000000000000001</v>
      </c>
      <c r="C27" s="107">
        <v>0.85</v>
      </c>
      <c r="D27" s="66">
        <v>0.25</v>
      </c>
      <c r="E27" s="152">
        <f t="shared" si="2"/>
        <v>0.22727272727272727</v>
      </c>
      <c r="F27" s="54">
        <v>0</v>
      </c>
      <c r="G27" s="1" t="s">
        <v>109</v>
      </c>
      <c r="H27" s="1">
        <v>0</v>
      </c>
      <c r="I27" s="1" t="s">
        <v>184</v>
      </c>
      <c r="J27" s="78">
        <v>0.05</v>
      </c>
      <c r="K27" s="54">
        <v>0.15</v>
      </c>
      <c r="L27" s="78">
        <v>7.4999999999999997E-2</v>
      </c>
      <c r="M27" s="1" t="s">
        <v>174</v>
      </c>
    </row>
    <row r="28" spans="1:13" x14ac:dyDescent="0.25">
      <c r="A28" s="40" t="s">
        <v>230</v>
      </c>
      <c r="B28" s="45">
        <f>B27</f>
        <v>1.1000000000000001</v>
      </c>
      <c r="C28" s="105">
        <f t="shared" ref="C28:D30" si="14">C$27</f>
        <v>0.85</v>
      </c>
      <c r="D28" s="21">
        <f t="shared" si="14"/>
        <v>0.25</v>
      </c>
      <c r="E28" s="153">
        <f t="shared" si="2"/>
        <v>0.22727272727272727</v>
      </c>
      <c r="F28" s="21">
        <f t="shared" ref="F28:L29" si="15">F$27</f>
        <v>0</v>
      </c>
      <c r="G28" s="38" t="str">
        <f t="shared" si="15"/>
        <v>natural gas - IPCC</v>
      </c>
      <c r="H28" s="38">
        <f t="shared" si="15"/>
        <v>0</v>
      </c>
      <c r="I28" s="38" t="str">
        <f t="shared" si="15"/>
        <v>charcoal - IPCC</v>
      </c>
      <c r="J28" s="21">
        <f t="shared" si="15"/>
        <v>0.05</v>
      </c>
      <c r="K28" s="21">
        <f t="shared" si="15"/>
        <v>0.15</v>
      </c>
      <c r="L28" s="21">
        <f t="shared" si="15"/>
        <v>7.4999999999999997E-2</v>
      </c>
    </row>
    <row r="29" spans="1:13" x14ac:dyDescent="0.25">
      <c r="A29" s="40" t="s">
        <v>231</v>
      </c>
      <c r="B29" s="45">
        <f>B27</f>
        <v>1.1000000000000001</v>
      </c>
      <c r="C29" s="105">
        <f t="shared" si="14"/>
        <v>0.85</v>
      </c>
      <c r="D29" s="21">
        <f t="shared" si="14"/>
        <v>0.25</v>
      </c>
      <c r="E29" s="153">
        <f t="shared" si="2"/>
        <v>0.22727272727272727</v>
      </c>
      <c r="F29" s="21">
        <f t="shared" si="15"/>
        <v>0</v>
      </c>
      <c r="G29" s="38" t="str">
        <f t="shared" si="15"/>
        <v>natural gas - IPCC</v>
      </c>
      <c r="H29" s="38">
        <f t="shared" si="15"/>
        <v>0</v>
      </c>
      <c r="I29" s="38" t="str">
        <f t="shared" si="15"/>
        <v>charcoal - IPCC</v>
      </c>
      <c r="J29" s="21">
        <f t="shared" si="15"/>
        <v>0.05</v>
      </c>
      <c r="K29" s="21">
        <f t="shared" si="15"/>
        <v>0.15</v>
      </c>
      <c r="L29" s="21">
        <f t="shared" si="15"/>
        <v>7.4999999999999997E-2</v>
      </c>
    </row>
    <row r="30" spans="1:13" s="48" customFormat="1" ht="15.75" thickBot="1" x14ac:dyDescent="0.3">
      <c r="A30" s="49" t="s">
        <v>232</v>
      </c>
      <c r="B30" s="64">
        <f>B27</f>
        <v>1.1000000000000001</v>
      </c>
      <c r="C30" s="106">
        <f t="shared" si="14"/>
        <v>0.85</v>
      </c>
      <c r="D30" s="47">
        <f t="shared" si="14"/>
        <v>0.25</v>
      </c>
      <c r="E30" s="154">
        <f t="shared" si="2"/>
        <v>0.22727272727272727</v>
      </c>
      <c r="F30" s="47">
        <f>F$27</f>
        <v>0</v>
      </c>
      <c r="G30" s="65" t="str">
        <f>G$27</f>
        <v>natural gas - IPCC</v>
      </c>
      <c r="H30" s="65">
        <v>1</v>
      </c>
      <c r="I30" s="65" t="str">
        <f>I$27</f>
        <v>charcoal - IPCC</v>
      </c>
      <c r="J30" s="47">
        <f>J$27</f>
        <v>0.05</v>
      </c>
      <c r="K30" s="47">
        <f>K$27</f>
        <v>0.15</v>
      </c>
      <c r="L30" s="47">
        <f>L$27</f>
        <v>7.4999999999999997E-2</v>
      </c>
    </row>
    <row r="31" spans="1:13" s="1" customFormat="1" x14ac:dyDescent="0.25">
      <c r="A31" s="52" t="s">
        <v>233</v>
      </c>
      <c r="B31" s="110">
        <f>SUM(C31:D31)</f>
        <v>1.1000000000000001</v>
      </c>
      <c r="C31" s="78">
        <v>1.0900000000000001</v>
      </c>
      <c r="D31" s="78">
        <f>D15</f>
        <v>0.01</v>
      </c>
      <c r="E31" s="152">
        <f t="shared" si="2"/>
        <v>9.0909090909090905E-3</v>
      </c>
      <c r="F31" s="78">
        <v>0</v>
      </c>
      <c r="G31" s="58" t="s">
        <v>103</v>
      </c>
      <c r="H31" s="58">
        <v>0</v>
      </c>
      <c r="I31" s="58" t="s">
        <v>184</v>
      </c>
      <c r="J31" s="78">
        <v>0.05</v>
      </c>
      <c r="K31" s="78">
        <v>0.15</v>
      </c>
      <c r="L31" s="78">
        <v>7.4999999999999997E-2</v>
      </c>
    </row>
    <row r="32" spans="1:13" x14ac:dyDescent="0.25">
      <c r="A32" s="40" t="s">
        <v>234</v>
      </c>
      <c r="B32" s="45">
        <f>B$31</f>
        <v>1.1000000000000001</v>
      </c>
      <c r="C32" s="108">
        <f>C$31</f>
        <v>1.0900000000000001</v>
      </c>
      <c r="D32" s="45">
        <f t="shared" ref="D32:L34" si="16">D$31</f>
        <v>0.01</v>
      </c>
      <c r="E32" s="153">
        <f t="shared" si="2"/>
        <v>9.0909090909090905E-3</v>
      </c>
      <c r="F32" s="45">
        <f t="shared" si="16"/>
        <v>0</v>
      </c>
      <c r="G32" s="79" t="str">
        <f t="shared" si="16"/>
        <v>coke - IPCC</v>
      </c>
      <c r="H32" s="79">
        <f t="shared" si="16"/>
        <v>0</v>
      </c>
      <c r="I32" s="79" t="str">
        <f t="shared" si="16"/>
        <v>charcoal - IPCC</v>
      </c>
      <c r="J32" s="45">
        <f t="shared" si="16"/>
        <v>0.05</v>
      </c>
      <c r="K32" s="45">
        <f t="shared" si="16"/>
        <v>0.15</v>
      </c>
      <c r="L32" s="45">
        <f t="shared" si="16"/>
        <v>7.4999999999999997E-2</v>
      </c>
    </row>
    <row r="33" spans="1:13" x14ac:dyDescent="0.25">
      <c r="A33" s="40" t="s">
        <v>235</v>
      </c>
      <c r="B33" s="45">
        <f t="shared" ref="B33:C34" si="17">B$31</f>
        <v>1.1000000000000001</v>
      </c>
      <c r="C33" s="108">
        <f t="shared" si="17"/>
        <v>1.0900000000000001</v>
      </c>
      <c r="D33" s="45">
        <f t="shared" si="16"/>
        <v>0.01</v>
      </c>
      <c r="E33" s="153">
        <f t="shared" si="2"/>
        <v>9.0909090909090905E-3</v>
      </c>
      <c r="F33" s="45">
        <f t="shared" si="16"/>
        <v>0</v>
      </c>
      <c r="G33" s="79" t="str">
        <f t="shared" si="16"/>
        <v>coke - IPCC</v>
      </c>
      <c r="H33" s="79">
        <f t="shared" si="16"/>
        <v>0</v>
      </c>
      <c r="I33" s="79" t="str">
        <f t="shared" si="16"/>
        <v>charcoal - IPCC</v>
      </c>
      <c r="J33" s="45">
        <f t="shared" si="16"/>
        <v>0.05</v>
      </c>
      <c r="K33" s="45">
        <f t="shared" si="16"/>
        <v>0.15</v>
      </c>
      <c r="L33" s="45">
        <f t="shared" si="16"/>
        <v>7.4999999999999997E-2</v>
      </c>
    </row>
    <row r="34" spans="1:13" s="48" customFormat="1" ht="15.75" thickBot="1" x14ac:dyDescent="0.3">
      <c r="A34" s="49" t="s">
        <v>236</v>
      </c>
      <c r="B34" s="64">
        <f t="shared" si="17"/>
        <v>1.1000000000000001</v>
      </c>
      <c r="C34" s="109">
        <f t="shared" si="17"/>
        <v>1.0900000000000001</v>
      </c>
      <c r="D34" s="64">
        <f t="shared" si="16"/>
        <v>0.01</v>
      </c>
      <c r="E34" s="154">
        <f t="shared" si="2"/>
        <v>9.0909090909090905E-3</v>
      </c>
      <c r="F34" s="64">
        <f t="shared" si="16"/>
        <v>0</v>
      </c>
      <c r="G34" s="80" t="str">
        <f t="shared" si="16"/>
        <v>coke - IPCC</v>
      </c>
      <c r="H34" s="80">
        <f t="shared" si="16"/>
        <v>0</v>
      </c>
      <c r="I34" s="80" t="str">
        <f t="shared" si="16"/>
        <v>charcoal - IPCC</v>
      </c>
      <c r="J34" s="64">
        <f t="shared" si="16"/>
        <v>0.05</v>
      </c>
      <c r="K34" s="64">
        <f t="shared" si="16"/>
        <v>0.15</v>
      </c>
      <c r="L34" s="64">
        <f t="shared" si="16"/>
        <v>7.4999999999999997E-2</v>
      </c>
    </row>
    <row r="35" spans="1:13" s="1" customFormat="1" x14ac:dyDescent="0.25">
      <c r="A35" s="144" t="s">
        <v>199</v>
      </c>
      <c r="B35" s="110">
        <f>SUM(C35:D35)</f>
        <v>1.1000000000000001</v>
      </c>
      <c r="C35" s="104">
        <f>0.77</f>
        <v>0.77</v>
      </c>
      <c r="D35" s="54">
        <v>0.33</v>
      </c>
      <c r="E35" s="152">
        <f t="shared" si="2"/>
        <v>0.3</v>
      </c>
      <c r="F35" s="54">
        <v>0</v>
      </c>
      <c r="G35" s="1" t="s">
        <v>109</v>
      </c>
      <c r="H35" s="76">
        <v>0</v>
      </c>
      <c r="I35" s="76" t="s">
        <v>184</v>
      </c>
      <c r="J35" s="1">
        <v>0.03</v>
      </c>
      <c r="K35" s="1">
        <v>3.5000000000000003E-2</v>
      </c>
      <c r="L35" s="78">
        <v>7.4999999999999997E-2</v>
      </c>
    </row>
    <row r="36" spans="1:13" x14ac:dyDescent="0.25">
      <c r="A36" s="116" t="s">
        <v>200</v>
      </c>
      <c r="B36" s="21">
        <f>B35</f>
        <v>1.1000000000000001</v>
      </c>
      <c r="C36" s="105">
        <f>C$35</f>
        <v>0.77</v>
      </c>
      <c r="D36" s="21">
        <f>D$35</f>
        <v>0.33</v>
      </c>
      <c r="E36" s="153">
        <f t="shared" si="2"/>
        <v>0.3</v>
      </c>
      <c r="F36" s="21">
        <f t="shared" ref="F36:L37" si="18">F$35</f>
        <v>0</v>
      </c>
      <c r="G36" t="str">
        <f t="shared" si="18"/>
        <v>natural gas - IPCC</v>
      </c>
      <c r="H36">
        <f t="shared" si="18"/>
        <v>0</v>
      </c>
      <c r="I36" t="str">
        <f t="shared" si="18"/>
        <v>charcoal - IPCC</v>
      </c>
      <c r="J36" s="21">
        <f t="shared" si="18"/>
        <v>0.03</v>
      </c>
      <c r="K36" s="21">
        <f t="shared" si="18"/>
        <v>3.5000000000000003E-2</v>
      </c>
      <c r="L36" s="21">
        <f t="shared" si="18"/>
        <v>7.4999999999999997E-2</v>
      </c>
    </row>
    <row r="37" spans="1:13" x14ac:dyDescent="0.25">
      <c r="A37" s="116" t="s">
        <v>201</v>
      </c>
      <c r="B37" s="21">
        <f>B35</f>
        <v>1.1000000000000001</v>
      </c>
      <c r="C37" s="105">
        <f>C$35</f>
        <v>0.77</v>
      </c>
      <c r="D37" s="21">
        <f>D$35</f>
        <v>0.33</v>
      </c>
      <c r="E37" s="153">
        <f t="shared" si="2"/>
        <v>0.3</v>
      </c>
      <c r="F37" s="21">
        <f t="shared" si="18"/>
        <v>0</v>
      </c>
      <c r="G37" t="str">
        <f t="shared" si="18"/>
        <v>natural gas - IPCC</v>
      </c>
      <c r="H37">
        <f t="shared" si="18"/>
        <v>0</v>
      </c>
      <c r="I37" t="str">
        <f t="shared" si="18"/>
        <v>charcoal - IPCC</v>
      </c>
      <c r="J37" s="21">
        <f t="shared" si="18"/>
        <v>0.03</v>
      </c>
      <c r="K37" s="21">
        <f t="shared" si="18"/>
        <v>3.5000000000000003E-2</v>
      </c>
      <c r="L37" s="21">
        <f t="shared" si="18"/>
        <v>7.4999999999999997E-2</v>
      </c>
    </row>
    <row r="38" spans="1:13" s="48" customFormat="1" ht="15.75" thickBot="1" x14ac:dyDescent="0.3">
      <c r="A38" s="145" t="s">
        <v>202</v>
      </c>
      <c r="B38" s="47">
        <f>B35</f>
        <v>1.1000000000000001</v>
      </c>
      <c r="C38" s="47">
        <f t="shared" ref="C38:L38" si="19">C35</f>
        <v>0.77</v>
      </c>
      <c r="D38" s="47">
        <f t="shared" si="19"/>
        <v>0.33</v>
      </c>
      <c r="E38" s="154">
        <f t="shared" si="2"/>
        <v>0.3</v>
      </c>
      <c r="F38" s="47">
        <f t="shared" si="19"/>
        <v>0</v>
      </c>
      <c r="G38" s="47" t="str">
        <f t="shared" si="19"/>
        <v>natural gas - IPCC</v>
      </c>
      <c r="H38" s="47">
        <f t="shared" si="19"/>
        <v>0</v>
      </c>
      <c r="I38" s="47" t="str">
        <f t="shared" si="19"/>
        <v>charcoal - IPCC</v>
      </c>
      <c r="J38" s="47">
        <f t="shared" si="19"/>
        <v>0.03</v>
      </c>
      <c r="K38" s="47">
        <f t="shared" si="19"/>
        <v>3.5000000000000003E-2</v>
      </c>
      <c r="L38" s="47">
        <f t="shared" si="19"/>
        <v>7.4999999999999997E-2</v>
      </c>
    </row>
    <row r="39" spans="1:13" s="1" customFormat="1" x14ac:dyDescent="0.25">
      <c r="A39" s="144" t="s">
        <v>195</v>
      </c>
      <c r="B39" s="110">
        <f t="shared" ref="B39" si="20">SUM(C39:D39)</f>
        <v>1.1000000000000001</v>
      </c>
      <c r="C39" s="104">
        <f>0.77</f>
        <v>0.77</v>
      </c>
      <c r="D39" s="54">
        <v>0.33</v>
      </c>
      <c r="E39" s="152">
        <f t="shared" si="2"/>
        <v>0.3</v>
      </c>
      <c r="F39" s="54">
        <v>0</v>
      </c>
      <c r="G39" s="1" t="s">
        <v>109</v>
      </c>
      <c r="H39" s="1">
        <v>0</v>
      </c>
      <c r="I39" s="76" t="s">
        <v>184</v>
      </c>
      <c r="J39" s="1">
        <v>0.03</v>
      </c>
      <c r="K39" s="1">
        <v>0.03</v>
      </c>
      <c r="L39" s="78">
        <v>7.4999999999999997E-2</v>
      </c>
    </row>
    <row r="40" spans="1:13" x14ac:dyDescent="0.25">
      <c r="A40" s="116" t="s">
        <v>196</v>
      </c>
      <c r="B40" s="21">
        <f>B39</f>
        <v>1.1000000000000001</v>
      </c>
      <c r="C40" s="21">
        <f t="shared" ref="C40:L40" si="21">C39</f>
        <v>0.77</v>
      </c>
      <c r="D40" s="21">
        <f t="shared" si="21"/>
        <v>0.33</v>
      </c>
      <c r="E40" s="153">
        <f t="shared" si="2"/>
        <v>0.3</v>
      </c>
      <c r="F40" s="21">
        <f t="shared" si="21"/>
        <v>0</v>
      </c>
      <c r="G40" s="21" t="str">
        <f t="shared" si="21"/>
        <v>natural gas - IPCC</v>
      </c>
      <c r="H40" s="21">
        <f t="shared" si="21"/>
        <v>0</v>
      </c>
      <c r="I40" s="21" t="str">
        <f t="shared" si="21"/>
        <v>charcoal - IPCC</v>
      </c>
      <c r="J40" s="21">
        <f t="shared" si="21"/>
        <v>0.03</v>
      </c>
      <c r="K40" s="21">
        <f t="shared" si="21"/>
        <v>0.03</v>
      </c>
      <c r="L40" s="21">
        <f t="shared" si="21"/>
        <v>7.4999999999999997E-2</v>
      </c>
    </row>
    <row r="41" spans="1:13" x14ac:dyDescent="0.25">
      <c r="A41" s="116" t="s">
        <v>197</v>
      </c>
      <c r="B41" s="21">
        <f>B39</f>
        <v>1.1000000000000001</v>
      </c>
      <c r="C41" s="21">
        <f t="shared" ref="C41:L41" si="22">C39</f>
        <v>0.77</v>
      </c>
      <c r="D41" s="21">
        <f t="shared" si="22"/>
        <v>0.33</v>
      </c>
      <c r="E41" s="153">
        <f t="shared" si="2"/>
        <v>0.3</v>
      </c>
      <c r="F41" s="21">
        <f t="shared" si="22"/>
        <v>0</v>
      </c>
      <c r="G41" s="21" t="str">
        <f t="shared" si="22"/>
        <v>natural gas - IPCC</v>
      </c>
      <c r="H41" s="21">
        <f t="shared" si="22"/>
        <v>0</v>
      </c>
      <c r="I41" s="21" t="str">
        <f t="shared" si="22"/>
        <v>charcoal - IPCC</v>
      </c>
      <c r="J41" s="21">
        <f t="shared" si="22"/>
        <v>0.03</v>
      </c>
      <c r="K41" s="21">
        <f t="shared" si="22"/>
        <v>0.03</v>
      </c>
      <c r="L41" s="21">
        <f t="shared" si="22"/>
        <v>7.4999999999999997E-2</v>
      </c>
    </row>
    <row r="42" spans="1:13" s="48" customFormat="1" ht="15.75" thickBot="1" x14ac:dyDescent="0.3">
      <c r="A42" s="145" t="s">
        <v>198</v>
      </c>
      <c r="B42" s="47">
        <f>B39</f>
        <v>1.1000000000000001</v>
      </c>
      <c r="C42" s="47">
        <f t="shared" ref="C42:L42" si="23">C39</f>
        <v>0.77</v>
      </c>
      <c r="D42" s="47">
        <f t="shared" si="23"/>
        <v>0.33</v>
      </c>
      <c r="E42" s="154">
        <f t="shared" si="2"/>
        <v>0.3</v>
      </c>
      <c r="F42" s="47">
        <f t="shared" si="23"/>
        <v>0</v>
      </c>
      <c r="G42" s="47" t="str">
        <f t="shared" si="23"/>
        <v>natural gas - IPCC</v>
      </c>
      <c r="H42" s="47">
        <f t="shared" si="23"/>
        <v>0</v>
      </c>
      <c r="I42" s="47" t="str">
        <f t="shared" si="23"/>
        <v>charcoal - IPCC</v>
      </c>
      <c r="J42" s="47">
        <f t="shared" si="23"/>
        <v>0.03</v>
      </c>
      <c r="K42" s="47">
        <f t="shared" si="23"/>
        <v>0.03</v>
      </c>
      <c r="L42" s="47">
        <f t="shared" si="23"/>
        <v>7.4999999999999997E-2</v>
      </c>
    </row>
    <row r="43" spans="1:13" s="26" customFormat="1" x14ac:dyDescent="0.25">
      <c r="A43" s="53" t="s">
        <v>191</v>
      </c>
      <c r="B43" s="45">
        <f>SUM(C43:D43)</f>
        <v>1.1000000000000001</v>
      </c>
      <c r="C43" s="104">
        <f>0.77</f>
        <v>0.77</v>
      </c>
      <c r="D43" s="54">
        <v>0.33</v>
      </c>
      <c r="E43" s="152">
        <f t="shared" si="2"/>
        <v>0.3</v>
      </c>
      <c r="F43" s="54">
        <v>0</v>
      </c>
      <c r="G43" s="1" t="s">
        <v>109</v>
      </c>
      <c r="H43" s="1">
        <v>0</v>
      </c>
      <c r="I43" s="76" t="s">
        <v>184</v>
      </c>
      <c r="J43" s="1">
        <v>0.03</v>
      </c>
      <c r="K43" s="1">
        <v>0</v>
      </c>
      <c r="L43" s="78">
        <v>0.05</v>
      </c>
    </row>
    <row r="44" spans="1:13" x14ac:dyDescent="0.25">
      <c r="A44" s="116" t="s">
        <v>192</v>
      </c>
      <c r="B44" s="21">
        <f>B43</f>
        <v>1.1000000000000001</v>
      </c>
      <c r="C44" s="21">
        <f t="shared" ref="C44:D44" si="24">C43</f>
        <v>0.77</v>
      </c>
      <c r="D44" s="21">
        <f t="shared" si="24"/>
        <v>0.33</v>
      </c>
      <c r="E44" s="153">
        <f t="shared" si="2"/>
        <v>0.3</v>
      </c>
      <c r="F44" s="21">
        <f t="shared" ref="F44" si="25">F43</f>
        <v>0</v>
      </c>
      <c r="G44" s="21" t="str">
        <f t="shared" ref="G44" si="26">G43</f>
        <v>natural gas - IPCC</v>
      </c>
      <c r="H44" s="21">
        <f t="shared" ref="H44" si="27">H43</f>
        <v>0</v>
      </c>
      <c r="I44" s="21" t="str">
        <f t="shared" ref="I44" si="28">I43</f>
        <v>charcoal - IPCC</v>
      </c>
      <c r="J44" s="21">
        <f t="shared" ref="J44" si="29">J43</f>
        <v>0.03</v>
      </c>
      <c r="K44" s="21">
        <f t="shared" ref="K44" si="30">K43</f>
        <v>0</v>
      </c>
      <c r="L44" s="21">
        <f t="shared" ref="L44" si="31">L43</f>
        <v>0.05</v>
      </c>
    </row>
    <row r="45" spans="1:13" x14ac:dyDescent="0.25">
      <c r="A45" s="116" t="s">
        <v>193</v>
      </c>
      <c r="B45" s="21">
        <f>B43</f>
        <v>1.1000000000000001</v>
      </c>
      <c r="C45" s="21">
        <f t="shared" ref="C45:D45" si="32">C43</f>
        <v>0.77</v>
      </c>
      <c r="D45" s="21">
        <f t="shared" si="32"/>
        <v>0.33</v>
      </c>
      <c r="E45" s="153">
        <f t="shared" si="2"/>
        <v>0.3</v>
      </c>
      <c r="F45" s="21">
        <f t="shared" ref="F45:L45" si="33">F43</f>
        <v>0</v>
      </c>
      <c r="G45" s="21" t="str">
        <f t="shared" si="33"/>
        <v>natural gas - IPCC</v>
      </c>
      <c r="H45" s="21">
        <f t="shared" si="33"/>
        <v>0</v>
      </c>
      <c r="I45" s="21" t="str">
        <f t="shared" si="33"/>
        <v>charcoal - IPCC</v>
      </c>
      <c r="J45" s="21">
        <f t="shared" si="33"/>
        <v>0.03</v>
      </c>
      <c r="K45" s="21">
        <f t="shared" si="33"/>
        <v>0</v>
      </c>
      <c r="L45" s="21">
        <f t="shared" si="33"/>
        <v>0.05</v>
      </c>
    </row>
    <row r="46" spans="1:13" s="48" customFormat="1" ht="15.75" thickBot="1" x14ac:dyDescent="0.3">
      <c r="A46" s="145" t="s">
        <v>194</v>
      </c>
      <c r="B46" s="47">
        <f>B43</f>
        <v>1.1000000000000001</v>
      </c>
      <c r="C46" s="47">
        <f t="shared" ref="C46:D46" si="34">C43</f>
        <v>0.77</v>
      </c>
      <c r="D46" s="47">
        <f t="shared" si="34"/>
        <v>0.33</v>
      </c>
      <c r="E46" s="154">
        <f t="shared" si="2"/>
        <v>0.3</v>
      </c>
      <c r="F46" s="47">
        <f t="shared" ref="F46:L46" si="35">F43</f>
        <v>0</v>
      </c>
      <c r="G46" s="47" t="str">
        <f t="shared" si="35"/>
        <v>natural gas - IPCC</v>
      </c>
      <c r="H46" s="47">
        <f t="shared" si="35"/>
        <v>0</v>
      </c>
      <c r="I46" s="47" t="str">
        <f t="shared" si="35"/>
        <v>charcoal - IPCC</v>
      </c>
      <c r="J46" s="47">
        <f t="shared" si="35"/>
        <v>0.03</v>
      </c>
      <c r="K46" s="47">
        <f t="shared" si="35"/>
        <v>0</v>
      </c>
      <c r="L46" s="47">
        <f t="shared" si="35"/>
        <v>0.05</v>
      </c>
    </row>
    <row r="47" spans="1:13" x14ac:dyDescent="0.25">
      <c r="A47" s="116" t="s">
        <v>204</v>
      </c>
      <c r="B47" s="45">
        <f>SUM(C47:D47)</f>
        <v>1.1000000000000001</v>
      </c>
      <c r="C47" s="104">
        <f>0.77</f>
        <v>0.77</v>
      </c>
      <c r="D47" s="54">
        <v>0.33</v>
      </c>
      <c r="E47" s="152">
        <f t="shared" ref="E47:E50" si="36">D47/B47</f>
        <v>0.3</v>
      </c>
      <c r="F47" s="54">
        <v>0</v>
      </c>
      <c r="G47" s="1" t="s">
        <v>109</v>
      </c>
      <c r="H47" s="1">
        <v>0</v>
      </c>
      <c r="I47" s="76" t="s">
        <v>184</v>
      </c>
      <c r="J47" s="1">
        <v>0.03</v>
      </c>
      <c r="K47" s="1">
        <v>0</v>
      </c>
      <c r="L47" s="78">
        <v>0.05</v>
      </c>
      <c r="M47" s="26"/>
    </row>
    <row r="48" spans="1:13" x14ac:dyDescent="0.25">
      <c r="A48" s="116" t="s">
        <v>205</v>
      </c>
      <c r="B48" s="21">
        <f>B47</f>
        <v>1.1000000000000001</v>
      </c>
      <c r="C48" s="21">
        <f t="shared" ref="C48" si="37">C47</f>
        <v>0.77</v>
      </c>
      <c r="D48" s="21">
        <f t="shared" ref="D48" si="38">D47</f>
        <v>0.33</v>
      </c>
      <c r="E48" s="153">
        <f t="shared" si="36"/>
        <v>0.3</v>
      </c>
      <c r="F48" s="21">
        <f t="shared" ref="F48" si="39">F47</f>
        <v>0</v>
      </c>
      <c r="G48" s="21" t="str">
        <f t="shared" ref="G48" si="40">G47</f>
        <v>natural gas - IPCC</v>
      </c>
      <c r="H48" s="21">
        <f t="shared" ref="H48" si="41">H47</f>
        <v>0</v>
      </c>
      <c r="I48" s="21" t="str">
        <f t="shared" ref="I48" si="42">I47</f>
        <v>charcoal - IPCC</v>
      </c>
      <c r="J48" s="21">
        <f t="shared" ref="J48" si="43">J47</f>
        <v>0.03</v>
      </c>
      <c r="K48" s="21">
        <f t="shared" ref="K48" si="44">K47</f>
        <v>0</v>
      </c>
      <c r="L48" s="21">
        <f t="shared" ref="L48" si="45">L47</f>
        <v>0.05</v>
      </c>
    </row>
    <row r="49" spans="1:12" x14ac:dyDescent="0.25">
      <c r="A49" s="116" t="s">
        <v>241</v>
      </c>
      <c r="B49" s="21">
        <f>B47</f>
        <v>1.1000000000000001</v>
      </c>
      <c r="C49" s="21">
        <f t="shared" ref="C49:D49" si="46">C47</f>
        <v>0.77</v>
      </c>
      <c r="D49" s="21">
        <f t="shared" si="46"/>
        <v>0.33</v>
      </c>
      <c r="E49" s="153">
        <f t="shared" si="36"/>
        <v>0.3</v>
      </c>
      <c r="F49" s="21">
        <f t="shared" ref="F49:L49" si="47">F47</f>
        <v>0</v>
      </c>
      <c r="G49" s="21" t="str">
        <f t="shared" si="47"/>
        <v>natural gas - IPCC</v>
      </c>
      <c r="H49" s="21">
        <f t="shared" si="47"/>
        <v>0</v>
      </c>
      <c r="I49" s="21" t="str">
        <f t="shared" si="47"/>
        <v>charcoal - IPCC</v>
      </c>
      <c r="J49" s="21">
        <f t="shared" si="47"/>
        <v>0.03</v>
      </c>
      <c r="K49" s="21">
        <f t="shared" si="47"/>
        <v>0</v>
      </c>
      <c r="L49" s="21">
        <f t="shared" si="47"/>
        <v>0.05</v>
      </c>
    </row>
    <row r="50" spans="1:12" s="48" customFormat="1" ht="15.75" thickBot="1" x14ac:dyDescent="0.3">
      <c r="A50" s="145" t="s">
        <v>206</v>
      </c>
      <c r="B50" s="47">
        <f>B47</f>
        <v>1.1000000000000001</v>
      </c>
      <c r="C50" s="47">
        <f t="shared" ref="C50:D50" si="48">C47</f>
        <v>0.77</v>
      </c>
      <c r="D50" s="47">
        <f t="shared" si="48"/>
        <v>0.33</v>
      </c>
      <c r="E50" s="154">
        <f t="shared" si="36"/>
        <v>0.3</v>
      </c>
      <c r="F50" s="47">
        <f t="shared" ref="F50:L50" si="49">F47</f>
        <v>0</v>
      </c>
      <c r="G50" s="47" t="str">
        <f t="shared" si="49"/>
        <v>natural gas - IPCC</v>
      </c>
      <c r="H50" s="47">
        <f t="shared" si="49"/>
        <v>0</v>
      </c>
      <c r="I50" s="47" t="str">
        <f t="shared" si="49"/>
        <v>charcoal - IPCC</v>
      </c>
      <c r="J50" s="47">
        <f t="shared" si="49"/>
        <v>0.03</v>
      </c>
      <c r="K50" s="47">
        <f t="shared" si="49"/>
        <v>0</v>
      </c>
      <c r="L50" s="47">
        <f t="shared" si="49"/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D5" sqref="D5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58</v>
      </c>
      <c r="C1" s="18" t="s">
        <v>9</v>
      </c>
      <c r="D1" s="1" t="s">
        <v>78</v>
      </c>
    </row>
    <row r="2" spans="1:4" x14ac:dyDescent="0.25">
      <c r="A2" s="2" t="s">
        <v>1</v>
      </c>
      <c r="C2" s="19" t="s">
        <v>74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s="68" customFormat="1" x14ac:dyDescent="0.25">
      <c r="A5" s="67" t="s">
        <v>213</v>
      </c>
      <c r="B5" s="75">
        <f>0.87</f>
        <v>0.87</v>
      </c>
      <c r="C5" s="75">
        <v>1.5</v>
      </c>
      <c r="D5" s="30" t="s">
        <v>212</v>
      </c>
    </row>
    <row r="6" spans="1:4" customFormat="1" x14ac:dyDescent="0.25">
      <c r="A6" s="40" t="s">
        <v>214</v>
      </c>
      <c r="B6" s="21">
        <f t="shared" ref="B6:C8" si="0">B$5</f>
        <v>0.87</v>
      </c>
      <c r="C6" s="21">
        <f t="shared" si="0"/>
        <v>1.5</v>
      </c>
    </row>
    <row r="7" spans="1:4" customFormat="1" x14ac:dyDescent="0.25">
      <c r="A7" s="40" t="s">
        <v>215</v>
      </c>
      <c r="B7" s="21">
        <f t="shared" si="0"/>
        <v>0.87</v>
      </c>
      <c r="C7" s="21">
        <f t="shared" si="0"/>
        <v>1.5</v>
      </c>
    </row>
    <row r="8" spans="1:4" s="48" customFormat="1" ht="15.75" thickBot="1" x14ac:dyDescent="0.3">
      <c r="A8" s="49" t="s">
        <v>216</v>
      </c>
      <c r="B8" s="47">
        <f t="shared" si="0"/>
        <v>0.87</v>
      </c>
      <c r="C8" s="47">
        <f t="shared" si="0"/>
        <v>1.5</v>
      </c>
    </row>
    <row r="9" spans="1:4" s="1" customFormat="1" x14ac:dyDescent="0.25">
      <c r="A9" s="52" t="s">
        <v>217</v>
      </c>
      <c r="B9" s="81">
        <f>0.87</f>
        <v>0.87</v>
      </c>
      <c r="C9" s="75">
        <v>1.5</v>
      </c>
    </row>
    <row r="10" spans="1:4" customFormat="1" x14ac:dyDescent="0.25">
      <c r="A10" s="40" t="s">
        <v>218</v>
      </c>
      <c r="B10" s="21">
        <f t="shared" ref="B10:C12" si="1">B$9</f>
        <v>0.87</v>
      </c>
      <c r="C10" s="21">
        <f t="shared" si="1"/>
        <v>1.5</v>
      </c>
    </row>
    <row r="11" spans="1:4" customFormat="1" x14ac:dyDescent="0.25">
      <c r="A11" s="40" t="s">
        <v>219</v>
      </c>
      <c r="B11" s="21">
        <f t="shared" si="1"/>
        <v>0.87</v>
      </c>
      <c r="C11" s="21">
        <f t="shared" si="1"/>
        <v>1.5</v>
      </c>
    </row>
    <row r="12" spans="1:4" s="48" customFormat="1" ht="15.75" thickBot="1" x14ac:dyDescent="0.3">
      <c r="A12" s="49" t="s">
        <v>220</v>
      </c>
      <c r="B12" s="47">
        <f t="shared" si="1"/>
        <v>0.87</v>
      </c>
      <c r="C12" s="47">
        <f t="shared" si="1"/>
        <v>1.5</v>
      </c>
    </row>
    <row r="13" spans="1:4" s="1" customFormat="1" x14ac:dyDescent="0.25">
      <c r="A13" s="52" t="s">
        <v>221</v>
      </c>
      <c r="B13" s="82">
        <v>0.87</v>
      </c>
      <c r="C13" s="75">
        <v>1.5</v>
      </c>
    </row>
    <row r="14" spans="1:4" customFormat="1" x14ac:dyDescent="0.25">
      <c r="A14" s="40" t="s">
        <v>222</v>
      </c>
      <c r="B14" s="21">
        <f t="shared" ref="B14:C16" si="2">B$13</f>
        <v>0.87</v>
      </c>
      <c r="C14" s="21">
        <f t="shared" si="2"/>
        <v>1.5</v>
      </c>
    </row>
    <row r="15" spans="1:4" customFormat="1" x14ac:dyDescent="0.25">
      <c r="A15" s="40" t="s">
        <v>223</v>
      </c>
      <c r="B15" s="21">
        <f t="shared" si="2"/>
        <v>0.87</v>
      </c>
      <c r="C15" s="21">
        <f t="shared" si="2"/>
        <v>1.5</v>
      </c>
    </row>
    <row r="16" spans="1:4" s="48" customFormat="1" ht="15.75" thickBot="1" x14ac:dyDescent="0.3">
      <c r="A16" s="49" t="s">
        <v>224</v>
      </c>
      <c r="B16" s="47">
        <f t="shared" si="2"/>
        <v>0.87</v>
      </c>
      <c r="C16" s="47">
        <f t="shared" si="2"/>
        <v>1.5</v>
      </c>
    </row>
    <row r="17" spans="1:4" s="1" customFormat="1" x14ac:dyDescent="0.25">
      <c r="A17" s="52" t="s">
        <v>225</v>
      </c>
      <c r="B17" s="83">
        <f>0.87</f>
        <v>0.87</v>
      </c>
      <c r="C17" s="75">
        <v>1.5</v>
      </c>
    </row>
    <row r="18" spans="1:4" customFormat="1" x14ac:dyDescent="0.25">
      <c r="A18" s="40" t="s">
        <v>226</v>
      </c>
      <c r="B18" s="21">
        <f t="shared" ref="B18:C20" si="3">B$17</f>
        <v>0.87</v>
      </c>
      <c r="C18" s="21">
        <f t="shared" si="3"/>
        <v>1.5</v>
      </c>
    </row>
    <row r="19" spans="1:4" customFormat="1" x14ac:dyDescent="0.25">
      <c r="A19" s="40" t="s">
        <v>227</v>
      </c>
      <c r="B19" s="21">
        <f t="shared" si="3"/>
        <v>0.87</v>
      </c>
      <c r="C19" s="21">
        <f t="shared" si="3"/>
        <v>1.5</v>
      </c>
    </row>
    <row r="20" spans="1:4" s="48" customFormat="1" ht="15.75" thickBot="1" x14ac:dyDescent="0.3">
      <c r="A20" s="49" t="s">
        <v>228</v>
      </c>
      <c r="B20" s="47">
        <f t="shared" si="3"/>
        <v>0.87</v>
      </c>
      <c r="C20" s="47">
        <f t="shared" si="3"/>
        <v>1.5</v>
      </c>
    </row>
    <row r="21" spans="1:4" s="1" customFormat="1" x14ac:dyDescent="0.25">
      <c r="A21" s="52" t="s">
        <v>229</v>
      </c>
      <c r="B21" s="82">
        <v>0.87</v>
      </c>
      <c r="C21" s="75">
        <v>1.5</v>
      </c>
    </row>
    <row r="22" spans="1:4" customFormat="1" x14ac:dyDescent="0.25">
      <c r="A22" s="40" t="s">
        <v>230</v>
      </c>
      <c r="B22" s="21">
        <f t="shared" ref="B22:C24" si="4">B$21</f>
        <v>0.87</v>
      </c>
      <c r="C22" s="21">
        <f t="shared" si="4"/>
        <v>1.5</v>
      </c>
    </row>
    <row r="23" spans="1:4" customFormat="1" x14ac:dyDescent="0.25">
      <c r="A23" s="40" t="s">
        <v>231</v>
      </c>
      <c r="B23" s="21">
        <f t="shared" si="4"/>
        <v>0.87</v>
      </c>
      <c r="C23" s="21">
        <f t="shared" si="4"/>
        <v>1.5</v>
      </c>
    </row>
    <row r="24" spans="1:4" s="48" customFormat="1" ht="15.75" thickBot="1" x14ac:dyDescent="0.3">
      <c r="A24" s="49" t="s">
        <v>232</v>
      </c>
      <c r="B24" s="47">
        <f t="shared" si="4"/>
        <v>0.87</v>
      </c>
      <c r="C24" s="47">
        <f t="shared" si="4"/>
        <v>1.5</v>
      </c>
    </row>
    <row r="25" spans="1:4" s="1" customFormat="1" x14ac:dyDescent="0.25">
      <c r="A25" s="52" t="s">
        <v>233</v>
      </c>
      <c r="B25" s="83">
        <f>0.87</f>
        <v>0.87</v>
      </c>
      <c r="C25" s="75">
        <v>1.5</v>
      </c>
    </row>
    <row r="26" spans="1:4" customFormat="1" x14ac:dyDescent="0.25">
      <c r="A26" s="40" t="s">
        <v>234</v>
      </c>
      <c r="B26" s="21">
        <f t="shared" ref="B26:C28" si="5">B$25</f>
        <v>0.87</v>
      </c>
      <c r="C26" s="21">
        <f t="shared" si="5"/>
        <v>1.5</v>
      </c>
    </row>
    <row r="27" spans="1:4" customFormat="1" x14ac:dyDescent="0.25">
      <c r="A27" s="40" t="s">
        <v>235</v>
      </c>
      <c r="B27" s="21">
        <f t="shared" si="5"/>
        <v>0.87</v>
      </c>
      <c r="C27" s="21">
        <f t="shared" si="5"/>
        <v>1.5</v>
      </c>
    </row>
    <row r="28" spans="1:4" s="48" customFormat="1" ht="15.75" thickBot="1" x14ac:dyDescent="0.3">
      <c r="A28" s="49" t="s">
        <v>236</v>
      </c>
      <c r="B28" s="47">
        <f t="shared" si="5"/>
        <v>0.87</v>
      </c>
      <c r="C28" s="47">
        <f t="shared" si="5"/>
        <v>1.5</v>
      </c>
    </row>
    <row r="29" spans="1:4" customFormat="1" x14ac:dyDescent="0.25">
      <c r="A29" s="53" t="s">
        <v>191</v>
      </c>
      <c r="B29" s="27">
        <v>1</v>
      </c>
      <c r="C29" s="27">
        <v>0.2</v>
      </c>
      <c r="D29" s="30" t="s">
        <v>238</v>
      </c>
    </row>
    <row r="30" spans="1:4" x14ac:dyDescent="0.25">
      <c r="A30" s="116" t="s">
        <v>192</v>
      </c>
      <c r="B30" s="28">
        <f>B29</f>
        <v>1</v>
      </c>
      <c r="C30" s="28">
        <f>C29</f>
        <v>0.2</v>
      </c>
    </row>
    <row r="31" spans="1:4" x14ac:dyDescent="0.25">
      <c r="A31" s="116" t="s">
        <v>193</v>
      </c>
      <c r="B31" s="155">
        <f>B29</f>
        <v>1</v>
      </c>
      <c r="C31" s="155">
        <f>C29</f>
        <v>0.2</v>
      </c>
    </row>
    <row r="32" spans="1:4" s="84" customFormat="1" ht="15.75" thickBot="1" x14ac:dyDescent="0.3">
      <c r="A32" s="145" t="s">
        <v>194</v>
      </c>
      <c r="B32" s="156">
        <f>B29</f>
        <v>1</v>
      </c>
      <c r="C32" s="156">
        <f>C29</f>
        <v>0.2</v>
      </c>
    </row>
    <row r="33" spans="1:4" s="1" customFormat="1" x14ac:dyDescent="0.25">
      <c r="A33" s="52" t="s">
        <v>195</v>
      </c>
      <c r="B33" s="81">
        <v>0.9</v>
      </c>
      <c r="C33" s="81">
        <v>1</v>
      </c>
      <c r="D33" s="30" t="s">
        <v>238</v>
      </c>
    </row>
    <row r="34" spans="1:4" x14ac:dyDescent="0.25">
      <c r="A34" s="136" t="s">
        <v>197</v>
      </c>
      <c r="B34" s="28">
        <f>B33</f>
        <v>0.9</v>
      </c>
      <c r="C34" s="28">
        <f>C33</f>
        <v>1</v>
      </c>
    </row>
    <row r="35" spans="1:4" x14ac:dyDescent="0.25">
      <c r="A35" s="116" t="s">
        <v>196</v>
      </c>
      <c r="B35" s="155">
        <f>B33</f>
        <v>0.9</v>
      </c>
      <c r="C35" s="155">
        <f>C33</f>
        <v>1</v>
      </c>
    </row>
    <row r="36" spans="1:4" s="84" customFormat="1" ht="15.75" thickBot="1" x14ac:dyDescent="0.3">
      <c r="A36" s="145" t="s">
        <v>198</v>
      </c>
      <c r="B36" s="156">
        <f>B33</f>
        <v>0.9</v>
      </c>
      <c r="C36" s="156">
        <f>C33</f>
        <v>1</v>
      </c>
    </row>
    <row r="37" spans="1:4" x14ac:dyDescent="0.25">
      <c r="A37" s="116" t="s">
        <v>199</v>
      </c>
      <c r="B37" s="5">
        <v>0.9</v>
      </c>
      <c r="C37" s="81">
        <v>1</v>
      </c>
    </row>
    <row r="38" spans="1:4" x14ac:dyDescent="0.25">
      <c r="A38" s="116" t="s">
        <v>200</v>
      </c>
      <c r="B38" s="28">
        <f>B37</f>
        <v>0.9</v>
      </c>
      <c r="C38" s="28">
        <f>C37</f>
        <v>1</v>
      </c>
    </row>
    <row r="39" spans="1:4" x14ac:dyDescent="0.25">
      <c r="A39" s="116" t="s">
        <v>201</v>
      </c>
      <c r="B39" s="155">
        <f>B37</f>
        <v>0.9</v>
      </c>
      <c r="C39" s="155">
        <f>C37</f>
        <v>1</v>
      </c>
    </row>
    <row r="40" spans="1:4" s="84" customFormat="1" ht="15.75" thickBot="1" x14ac:dyDescent="0.3">
      <c r="A40" s="145" t="s">
        <v>202</v>
      </c>
      <c r="B40" s="156">
        <f>B37</f>
        <v>0.9</v>
      </c>
      <c r="C40" s="156">
        <f>C37</f>
        <v>1</v>
      </c>
    </row>
    <row r="41" spans="1:4" x14ac:dyDescent="0.25">
      <c r="A41" s="144" t="s">
        <v>204</v>
      </c>
      <c r="B41" s="5">
        <v>0.9</v>
      </c>
      <c r="C41" s="81">
        <v>1</v>
      </c>
    </row>
    <row r="42" spans="1:4" x14ac:dyDescent="0.25">
      <c r="A42" s="116" t="s">
        <v>205</v>
      </c>
      <c r="B42" s="28">
        <f>B41</f>
        <v>0.9</v>
      </c>
      <c r="C42" s="28">
        <f>C41</f>
        <v>1</v>
      </c>
    </row>
    <row r="43" spans="1:4" x14ac:dyDescent="0.25">
      <c r="A43" s="116" t="s">
        <v>241</v>
      </c>
      <c r="B43" s="155">
        <f>B41</f>
        <v>0.9</v>
      </c>
      <c r="C43" s="155">
        <f>C41</f>
        <v>1</v>
      </c>
    </row>
    <row r="44" spans="1:4" s="84" customFormat="1" ht="15.75" thickBot="1" x14ac:dyDescent="0.3">
      <c r="A44" s="145" t="s">
        <v>206</v>
      </c>
      <c r="B44" s="156">
        <f>B41</f>
        <v>0.9</v>
      </c>
      <c r="C44" s="156">
        <f>C41</f>
        <v>1</v>
      </c>
    </row>
  </sheetData>
  <hyperlinks>
    <hyperlink ref="D29" r:id="rId1" display="https://www.degruyter.com/downloadpdf/j/aoter.2015.36.issue-1/aoter-2015-0011/aoter-2015-0011.pdf"/>
    <hyperlink ref="D33" r:id="rId2" display="https://www.degruyter.com/downloadpdf/j/aoter.2015.36.issue-1/aoter-2015-0011/aoter-2015-0011.pdf"/>
    <hyperlink ref="D5" r:id="rId3" display="http://cryogenmash.ru/en/catalog/cryogenic-ASUs/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3" workbookViewId="0">
      <selection activeCell="E25" sqref="E25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112</v>
      </c>
      <c r="G1" s="1"/>
      <c r="H1" s="1"/>
      <c r="I1" s="1"/>
      <c r="J1" s="1"/>
    </row>
    <row r="2" spans="1:10" x14ac:dyDescent="0.25">
      <c r="A2" s="2" t="s">
        <v>1</v>
      </c>
      <c r="B2" s="19" t="s">
        <v>66</v>
      </c>
      <c r="C2" s="19" t="s">
        <v>80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0.4</v>
      </c>
      <c r="C4" s="5">
        <v>0</v>
      </c>
      <c r="D4" s="19" t="s">
        <v>109</v>
      </c>
    </row>
    <row r="5" spans="1:10" s="68" customFormat="1" x14ac:dyDescent="0.25">
      <c r="A5" s="67" t="s">
        <v>213</v>
      </c>
      <c r="B5" s="7">
        <v>1</v>
      </c>
      <c r="C5" s="68">
        <v>0</v>
      </c>
      <c r="D5" s="68" t="s">
        <v>178</v>
      </c>
    </row>
    <row r="6" spans="1:10" customFormat="1" x14ac:dyDescent="0.25">
      <c r="A6" s="40" t="s">
        <v>214</v>
      </c>
      <c r="B6" s="5">
        <f>B$5</f>
        <v>1</v>
      </c>
      <c r="C6" s="5">
        <f t="shared" ref="C6:D6" si="0">C$5</f>
        <v>0</v>
      </c>
      <c r="D6" s="5" t="str">
        <f t="shared" si="0"/>
        <v>electricity PROXY - EU 2016</v>
      </c>
    </row>
    <row r="7" spans="1:10" customFormat="1" x14ac:dyDescent="0.25">
      <c r="A7" s="40" t="s">
        <v>215</v>
      </c>
      <c r="B7" s="5">
        <f t="shared" ref="B7:D7" si="1">B$5</f>
        <v>1</v>
      </c>
      <c r="C7" s="5">
        <f t="shared" si="1"/>
        <v>0</v>
      </c>
      <c r="D7" s="5" t="str">
        <f t="shared" si="1"/>
        <v>electricity PROXY - EU 2016</v>
      </c>
    </row>
    <row r="8" spans="1:10" s="48" customFormat="1" ht="15.75" thickBot="1" x14ac:dyDescent="0.3">
      <c r="A8" s="49" t="s">
        <v>216</v>
      </c>
      <c r="B8" s="84">
        <f>B$5</f>
        <v>1</v>
      </c>
      <c r="C8" s="84">
        <f>C$5</f>
        <v>0</v>
      </c>
      <c r="D8" s="84" t="str">
        <f>D$5</f>
        <v>electricity PROXY - EU 2016</v>
      </c>
    </row>
    <row r="9" spans="1:10" s="1" customFormat="1" x14ac:dyDescent="0.25">
      <c r="A9" s="52" t="s">
        <v>217</v>
      </c>
      <c r="B9" s="1">
        <v>1</v>
      </c>
      <c r="C9" s="1">
        <v>0</v>
      </c>
      <c r="D9" s="1" t="s">
        <v>179</v>
      </c>
    </row>
    <row r="10" spans="1:10" customFormat="1" x14ac:dyDescent="0.25">
      <c r="A10" s="40" t="s">
        <v>218</v>
      </c>
      <c r="B10">
        <f>B$9</f>
        <v>1</v>
      </c>
      <c r="C10">
        <f t="shared" ref="C10:D11" si="2">C$9</f>
        <v>0</v>
      </c>
      <c r="D10" t="str">
        <f t="shared" si="2"/>
        <v>electricity PROXY - CN 2016</v>
      </c>
    </row>
    <row r="11" spans="1:10" customFormat="1" x14ac:dyDescent="0.25">
      <c r="A11" s="40" t="s">
        <v>219</v>
      </c>
      <c r="B11">
        <f>B$9</f>
        <v>1</v>
      </c>
      <c r="C11">
        <f t="shared" si="2"/>
        <v>0</v>
      </c>
      <c r="D11" t="str">
        <f t="shared" si="2"/>
        <v>electricity PROXY - CN 2016</v>
      </c>
    </row>
    <row r="12" spans="1:10" s="48" customFormat="1" ht="15.75" thickBot="1" x14ac:dyDescent="0.3">
      <c r="A12" s="49" t="s">
        <v>220</v>
      </c>
      <c r="B12" s="48">
        <f>B$9</f>
        <v>1</v>
      </c>
      <c r="C12" s="48">
        <f>C$9</f>
        <v>0</v>
      </c>
      <c r="D12" s="48" t="str">
        <f>D$9</f>
        <v>electricity PROXY - CN 2016</v>
      </c>
    </row>
    <row r="13" spans="1:10" s="1" customFormat="1" x14ac:dyDescent="0.25">
      <c r="A13" s="52" t="s">
        <v>221</v>
      </c>
      <c r="B13" s="1">
        <v>1</v>
      </c>
      <c r="C13" s="1">
        <v>0</v>
      </c>
      <c r="D13" s="1" t="s">
        <v>180</v>
      </c>
    </row>
    <row r="14" spans="1:10" customFormat="1" x14ac:dyDescent="0.25">
      <c r="A14" s="40" t="s">
        <v>222</v>
      </c>
      <c r="B14">
        <f t="shared" ref="B14:D16" si="3">B$13</f>
        <v>1</v>
      </c>
      <c r="C14">
        <f t="shared" si="3"/>
        <v>0</v>
      </c>
      <c r="D14" t="str">
        <f t="shared" si="3"/>
        <v>electricity PROXY - JP 2016</v>
      </c>
    </row>
    <row r="15" spans="1:10" customFormat="1" x14ac:dyDescent="0.25">
      <c r="A15" s="40" t="s">
        <v>223</v>
      </c>
      <c r="B15">
        <f t="shared" si="3"/>
        <v>1</v>
      </c>
      <c r="C15">
        <f t="shared" si="3"/>
        <v>0</v>
      </c>
      <c r="D15" t="str">
        <f t="shared" si="3"/>
        <v>electricity PROXY - JP 2016</v>
      </c>
    </row>
    <row r="16" spans="1:10" s="48" customFormat="1" ht="15.75" thickBot="1" x14ac:dyDescent="0.3">
      <c r="A16" s="49" t="s">
        <v>224</v>
      </c>
      <c r="B16" s="48">
        <f t="shared" si="3"/>
        <v>1</v>
      </c>
      <c r="C16" s="48">
        <f t="shared" si="3"/>
        <v>0</v>
      </c>
      <c r="D16" s="48" t="str">
        <f t="shared" si="3"/>
        <v>electricity PROXY - JP 2016</v>
      </c>
    </row>
    <row r="17" spans="1:4" s="1" customFormat="1" x14ac:dyDescent="0.25">
      <c r="A17" s="52" t="s">
        <v>225</v>
      </c>
      <c r="B17" s="1">
        <v>1</v>
      </c>
      <c r="C17" s="1">
        <v>0</v>
      </c>
      <c r="D17" s="1" t="s">
        <v>181</v>
      </c>
    </row>
    <row r="18" spans="1:4" customFormat="1" x14ac:dyDescent="0.25">
      <c r="A18" s="40" t="s">
        <v>226</v>
      </c>
      <c r="B18" s="44">
        <f t="shared" ref="B18:D20" si="4">B$17</f>
        <v>1</v>
      </c>
      <c r="C18" s="44">
        <f t="shared" si="4"/>
        <v>0</v>
      </c>
      <c r="D18" s="44" t="str">
        <f t="shared" si="4"/>
        <v>electricity PROXY - RU 2016</v>
      </c>
    </row>
    <row r="19" spans="1:4" customFormat="1" x14ac:dyDescent="0.25">
      <c r="A19" s="40" t="s">
        <v>227</v>
      </c>
      <c r="B19" s="44">
        <f t="shared" si="4"/>
        <v>1</v>
      </c>
      <c r="C19" s="44">
        <f t="shared" si="4"/>
        <v>0</v>
      </c>
      <c r="D19" s="44" t="str">
        <f t="shared" si="4"/>
        <v>electricity PROXY - RU 2016</v>
      </c>
    </row>
    <row r="20" spans="1:4" s="48" customFormat="1" ht="15.75" thickBot="1" x14ac:dyDescent="0.3">
      <c r="A20" s="49" t="s">
        <v>228</v>
      </c>
      <c r="B20" s="62">
        <f t="shared" si="4"/>
        <v>1</v>
      </c>
      <c r="C20" s="62">
        <f t="shared" si="4"/>
        <v>0</v>
      </c>
      <c r="D20" s="62" t="str">
        <f t="shared" si="4"/>
        <v>electricity PROXY - RU 2016</v>
      </c>
    </row>
    <row r="21" spans="1:4" s="1" customFormat="1" x14ac:dyDescent="0.25">
      <c r="A21" s="52" t="s">
        <v>229</v>
      </c>
      <c r="B21" s="1">
        <v>1</v>
      </c>
      <c r="C21" s="1">
        <v>0</v>
      </c>
      <c r="D21" s="1" t="s">
        <v>182</v>
      </c>
    </row>
    <row r="22" spans="1:4" customFormat="1" x14ac:dyDescent="0.25">
      <c r="A22" s="40" t="s">
        <v>230</v>
      </c>
      <c r="B22" s="44">
        <f t="shared" ref="B22:D24" si="5">B$21</f>
        <v>1</v>
      </c>
      <c r="C22" s="44">
        <f t="shared" si="5"/>
        <v>0</v>
      </c>
      <c r="D22" s="44" t="str">
        <f t="shared" si="5"/>
        <v>electricity PROXY - US 2016</v>
      </c>
    </row>
    <row r="23" spans="1:4" customFormat="1" x14ac:dyDescent="0.25">
      <c r="A23" s="40" t="s">
        <v>231</v>
      </c>
      <c r="B23" s="44">
        <f t="shared" si="5"/>
        <v>1</v>
      </c>
      <c r="C23" s="44">
        <f t="shared" si="5"/>
        <v>0</v>
      </c>
      <c r="D23" s="44" t="str">
        <f t="shared" si="5"/>
        <v>electricity PROXY - US 2016</v>
      </c>
    </row>
    <row r="24" spans="1:4" s="48" customFormat="1" ht="15.75" thickBot="1" x14ac:dyDescent="0.3">
      <c r="A24" s="49" t="s">
        <v>232</v>
      </c>
      <c r="B24" s="62">
        <f t="shared" si="5"/>
        <v>1</v>
      </c>
      <c r="C24" s="62">
        <f t="shared" si="5"/>
        <v>0</v>
      </c>
      <c r="D24" s="62" t="str">
        <f t="shared" si="5"/>
        <v>electricity PROXY - US 2016</v>
      </c>
    </row>
    <row r="25" spans="1:4" s="1" customFormat="1" x14ac:dyDescent="0.25">
      <c r="A25" s="52" t="s">
        <v>233</v>
      </c>
      <c r="B25" s="1">
        <v>1</v>
      </c>
      <c r="C25" s="1">
        <v>0</v>
      </c>
      <c r="D25" s="1" t="s">
        <v>183</v>
      </c>
    </row>
    <row r="26" spans="1:4" customFormat="1" x14ac:dyDescent="0.25">
      <c r="A26" s="40" t="s">
        <v>234</v>
      </c>
      <c r="B26" s="44">
        <f t="shared" ref="B26:D28" si="6">B$25</f>
        <v>1</v>
      </c>
      <c r="C26" s="44">
        <f t="shared" si="6"/>
        <v>0</v>
      </c>
      <c r="D26" s="44" t="str">
        <f t="shared" si="6"/>
        <v>electricity PROXY - IN 2016</v>
      </c>
    </row>
    <row r="27" spans="1:4" customFormat="1" x14ac:dyDescent="0.25">
      <c r="A27" s="40" t="s">
        <v>235</v>
      </c>
      <c r="B27" s="44">
        <f t="shared" si="6"/>
        <v>1</v>
      </c>
      <c r="C27" s="44">
        <f t="shared" si="6"/>
        <v>0</v>
      </c>
      <c r="D27" s="44" t="str">
        <f t="shared" si="6"/>
        <v>electricity PROXY - IN 2016</v>
      </c>
    </row>
    <row r="28" spans="1:4" s="48" customFormat="1" ht="15.75" thickBot="1" x14ac:dyDescent="0.3">
      <c r="A28" s="49" t="s">
        <v>236</v>
      </c>
      <c r="B28" s="62">
        <f t="shared" si="6"/>
        <v>1</v>
      </c>
      <c r="C28" s="62">
        <f t="shared" si="6"/>
        <v>0</v>
      </c>
      <c r="D28" s="62" t="str">
        <f t="shared" si="6"/>
        <v>electricity PROXY - IN 2016</v>
      </c>
    </row>
    <row r="29" spans="1:4" s="1" customFormat="1" x14ac:dyDescent="0.25">
      <c r="A29" s="53" t="s">
        <v>191</v>
      </c>
      <c r="B29" s="1">
        <v>1</v>
      </c>
      <c r="C29" s="1">
        <v>0</v>
      </c>
      <c r="D29" s="1" t="s">
        <v>240</v>
      </c>
    </row>
    <row r="30" spans="1:4" x14ac:dyDescent="0.25">
      <c r="A30" s="116" t="s">
        <v>192</v>
      </c>
      <c r="B30" s="5">
        <f>B29</f>
        <v>1</v>
      </c>
      <c r="C30" s="5">
        <f>C29</f>
        <v>0</v>
      </c>
      <c r="D30" s="5" t="str">
        <f>D29</f>
        <v>electricity PROXY - decarbonized</v>
      </c>
    </row>
    <row r="31" spans="1:4" ht="15.75" customHeight="1" x14ac:dyDescent="0.25">
      <c r="A31" s="116" t="s">
        <v>193</v>
      </c>
      <c r="B31" s="5">
        <f>B29</f>
        <v>1</v>
      </c>
      <c r="C31" s="5">
        <f>C29</f>
        <v>0</v>
      </c>
      <c r="D31" s="5" t="str">
        <f>D29</f>
        <v>electricity PROXY - decarbonized</v>
      </c>
    </row>
    <row r="32" spans="1:4" s="84" customFormat="1" ht="15.75" thickBot="1" x14ac:dyDescent="0.3">
      <c r="A32" s="145" t="s">
        <v>194</v>
      </c>
      <c r="B32" s="84">
        <f>B29</f>
        <v>1</v>
      </c>
      <c r="C32" s="84">
        <f>C29</f>
        <v>0</v>
      </c>
      <c r="D32" s="84" t="str">
        <f>D29</f>
        <v>electricity PROXY - decarbonized</v>
      </c>
    </row>
    <row r="33" spans="1:4" s="4" customFormat="1" x14ac:dyDescent="0.25">
      <c r="A33" s="52" t="s">
        <v>195</v>
      </c>
      <c r="B33" s="1">
        <v>1</v>
      </c>
      <c r="C33" s="1">
        <v>0</v>
      </c>
      <c r="D33" s="1" t="s">
        <v>240</v>
      </c>
    </row>
    <row r="34" spans="1:4" x14ac:dyDescent="0.25">
      <c r="A34" s="136" t="s">
        <v>197</v>
      </c>
      <c r="B34" s="5">
        <f>B33</f>
        <v>1</v>
      </c>
      <c r="C34" s="5">
        <f>C33</f>
        <v>0</v>
      </c>
      <c r="D34" s="5" t="str">
        <f>D33</f>
        <v>electricity PROXY - decarbonized</v>
      </c>
    </row>
    <row r="35" spans="1:4" x14ac:dyDescent="0.25">
      <c r="A35" s="116" t="s">
        <v>196</v>
      </c>
      <c r="B35" s="5">
        <f>B33</f>
        <v>1</v>
      </c>
      <c r="C35" s="5">
        <f>C33</f>
        <v>0</v>
      </c>
      <c r="D35" s="5" t="str">
        <f>D33</f>
        <v>electricity PROXY - decarbonized</v>
      </c>
    </row>
    <row r="36" spans="1:4" s="84" customFormat="1" ht="15.75" thickBot="1" x14ac:dyDescent="0.3">
      <c r="A36" s="145" t="s">
        <v>198</v>
      </c>
      <c r="B36" s="84">
        <f>B33</f>
        <v>1</v>
      </c>
      <c r="C36" s="84">
        <f>C33</f>
        <v>0</v>
      </c>
      <c r="D36" s="84" t="str">
        <f>D33</f>
        <v>electricity PROXY - decarbonized</v>
      </c>
    </row>
    <row r="37" spans="1:4" s="4" customFormat="1" x14ac:dyDescent="0.25">
      <c r="A37" s="144" t="s">
        <v>199</v>
      </c>
      <c r="B37" s="1">
        <v>1</v>
      </c>
      <c r="C37" s="1">
        <v>0</v>
      </c>
      <c r="D37" s="1" t="s">
        <v>240</v>
      </c>
    </row>
    <row r="38" spans="1:4" x14ac:dyDescent="0.25">
      <c r="A38" s="116" t="s">
        <v>200</v>
      </c>
      <c r="B38" s="5">
        <f>B37</f>
        <v>1</v>
      </c>
      <c r="C38" s="5">
        <f>C37</f>
        <v>0</v>
      </c>
      <c r="D38" s="5" t="str">
        <f>D37</f>
        <v>electricity PROXY - decarbonized</v>
      </c>
    </row>
    <row r="39" spans="1:4" ht="14.25" customHeight="1" x14ac:dyDescent="0.25">
      <c r="A39" s="116" t="s">
        <v>201</v>
      </c>
      <c r="B39" s="5">
        <f>B37</f>
        <v>1</v>
      </c>
      <c r="C39" s="5">
        <f>C37</f>
        <v>0</v>
      </c>
      <c r="D39" s="5" t="str">
        <f>D37</f>
        <v>electricity PROXY - decarbonized</v>
      </c>
    </row>
    <row r="40" spans="1:4" s="84" customFormat="1" ht="15.75" thickBot="1" x14ac:dyDescent="0.3">
      <c r="A40" s="145" t="s">
        <v>202</v>
      </c>
      <c r="B40" s="84">
        <f>B37</f>
        <v>1</v>
      </c>
      <c r="C40" s="84">
        <f>C37</f>
        <v>0</v>
      </c>
      <c r="D40" s="84" t="str">
        <f>D37</f>
        <v>electricity PROXY - decarbonized</v>
      </c>
    </row>
    <row r="41" spans="1:4" s="4" customFormat="1" x14ac:dyDescent="0.25">
      <c r="A41" s="144" t="s">
        <v>204</v>
      </c>
      <c r="B41" s="1">
        <v>1</v>
      </c>
      <c r="C41" s="1">
        <v>0</v>
      </c>
      <c r="D41" s="1" t="s">
        <v>240</v>
      </c>
    </row>
    <row r="42" spans="1:4" x14ac:dyDescent="0.25">
      <c r="A42" s="116" t="s">
        <v>205</v>
      </c>
      <c r="B42" s="5">
        <f>B41</f>
        <v>1</v>
      </c>
      <c r="C42" s="5">
        <f>C41</f>
        <v>0</v>
      </c>
      <c r="D42" s="5" t="str">
        <f>D41</f>
        <v>electricity PROXY - decarbonized</v>
      </c>
    </row>
    <row r="43" spans="1:4" x14ac:dyDescent="0.25">
      <c r="A43" s="116" t="s">
        <v>241</v>
      </c>
      <c r="B43" s="5">
        <f>B41</f>
        <v>1</v>
      </c>
      <c r="C43" s="5">
        <f>C41</f>
        <v>0</v>
      </c>
      <c r="D43" s="5" t="str">
        <f>D41</f>
        <v>electricity PROXY - decarbonized</v>
      </c>
    </row>
    <row r="44" spans="1:4" s="84" customFormat="1" ht="15.75" thickBot="1" x14ac:dyDescent="0.3">
      <c r="A44" s="145" t="s">
        <v>206</v>
      </c>
      <c r="B44" s="84">
        <f>B41</f>
        <v>1</v>
      </c>
      <c r="C44" s="84">
        <f>C41</f>
        <v>0</v>
      </c>
      <c r="D44" s="84" t="str">
        <f>D41</f>
        <v>electricity PROXY - decarbonized</v>
      </c>
    </row>
  </sheetData>
  <pageMargins left="0.7" right="0.7" top="0.75" bottom="0.75" header="0.3" footer="0.3"/>
  <pageSetup paperSize="9" orientation="portrait" r:id="rId1"/>
  <ignoredErrors>
    <ignoredError sqref="B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6" workbookViewId="0">
      <selection activeCell="B25" sqref="B25"/>
    </sheetView>
  </sheetViews>
  <sheetFormatPr defaultColWidth="8.8554687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112</v>
      </c>
    </row>
    <row r="2" spans="1:6" x14ac:dyDescent="0.25">
      <c r="A2" s="2" t="s">
        <v>1</v>
      </c>
      <c r="B2" s="19" t="s">
        <v>66</v>
      </c>
      <c r="C2" s="19" t="s">
        <v>80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s="1" customFormat="1" ht="17.25" customHeight="1" x14ac:dyDescent="0.25">
      <c r="A5" s="67" t="s">
        <v>213</v>
      </c>
      <c r="B5" s="97">
        <v>0.8</v>
      </c>
      <c r="C5" s="68">
        <v>0</v>
      </c>
      <c r="D5" s="69" t="str">
        <f>D$13</f>
        <v>natural gas - IPCC</v>
      </c>
      <c r="E5" s="68"/>
      <c r="F5" s="68"/>
    </row>
    <row r="6" spans="1:6" x14ac:dyDescent="0.25">
      <c r="A6" s="40" t="s">
        <v>214</v>
      </c>
      <c r="B6" s="15">
        <f>B$5</f>
        <v>0.8</v>
      </c>
      <c r="C6" s="5">
        <f t="shared" ref="C6" si="0">C$5</f>
        <v>0</v>
      </c>
      <c r="D6" t="s">
        <v>184</v>
      </c>
      <c r="E6"/>
      <c r="F6"/>
    </row>
    <row r="7" spans="1:6" ht="15.75" customHeight="1" x14ac:dyDescent="0.25">
      <c r="A7" s="40" t="s">
        <v>215</v>
      </c>
      <c r="B7" s="15">
        <f t="shared" ref="B7:C7" si="1">B$5</f>
        <v>0.8</v>
      </c>
      <c r="C7" s="5">
        <f t="shared" si="1"/>
        <v>0</v>
      </c>
      <c r="D7" t="s">
        <v>184</v>
      </c>
      <c r="E7"/>
      <c r="F7"/>
    </row>
    <row r="8" spans="1:6" s="48" customFormat="1" ht="15.75" thickBot="1" x14ac:dyDescent="0.3">
      <c r="A8" s="49" t="s">
        <v>216</v>
      </c>
      <c r="B8" s="98">
        <f>B$5</f>
        <v>0.8</v>
      </c>
      <c r="C8" s="84">
        <f>C$5</f>
        <v>0</v>
      </c>
      <c r="D8" s="84" t="s">
        <v>184</v>
      </c>
    </row>
    <row r="9" spans="1:6" s="1" customFormat="1" x14ac:dyDescent="0.25">
      <c r="A9" s="52" t="s">
        <v>217</v>
      </c>
      <c r="B9" s="16">
        <v>0.8</v>
      </c>
      <c r="C9" s="1">
        <v>0</v>
      </c>
      <c r="D9" s="1" t="s">
        <v>105</v>
      </c>
    </row>
    <row r="10" spans="1:6" x14ac:dyDescent="0.25">
      <c r="A10" s="40" t="s">
        <v>218</v>
      </c>
      <c r="B10" s="38">
        <f>B$9</f>
        <v>0.8</v>
      </c>
      <c r="C10">
        <f t="shared" ref="C10:C11" si="2">C$9</f>
        <v>0</v>
      </c>
      <c r="D10" t="s">
        <v>184</v>
      </c>
      <c r="E10"/>
      <c r="F10"/>
    </row>
    <row r="11" spans="1:6" x14ac:dyDescent="0.25">
      <c r="A11" s="40" t="s">
        <v>219</v>
      </c>
      <c r="B11" s="38">
        <f>B$9</f>
        <v>0.8</v>
      </c>
      <c r="C11">
        <f t="shared" si="2"/>
        <v>0</v>
      </c>
      <c r="D11" t="s">
        <v>184</v>
      </c>
      <c r="E11"/>
      <c r="F11"/>
    </row>
    <row r="12" spans="1:6" s="48" customFormat="1" ht="16.5" customHeight="1" thickBot="1" x14ac:dyDescent="0.3">
      <c r="A12" s="49" t="s">
        <v>220</v>
      </c>
      <c r="B12" s="65">
        <f>B$9</f>
        <v>0.8</v>
      </c>
      <c r="C12" s="48">
        <f>C$9</f>
        <v>0</v>
      </c>
      <c r="D12" s="48" t="s">
        <v>184</v>
      </c>
    </row>
    <row r="13" spans="1:6" s="1" customFormat="1" x14ac:dyDescent="0.25">
      <c r="A13" s="52" t="s">
        <v>221</v>
      </c>
      <c r="B13" s="90">
        <v>0.8</v>
      </c>
      <c r="C13" s="1">
        <v>0</v>
      </c>
      <c r="D13" s="1" t="s">
        <v>109</v>
      </c>
    </row>
    <row r="14" spans="1:6" x14ac:dyDescent="0.25">
      <c r="A14" s="40" t="s">
        <v>222</v>
      </c>
      <c r="B14" s="38">
        <f t="shared" ref="B14:C16" si="3">B$13</f>
        <v>0.8</v>
      </c>
      <c r="C14">
        <f t="shared" si="3"/>
        <v>0</v>
      </c>
      <c r="D14" t="s">
        <v>184</v>
      </c>
      <c r="E14"/>
      <c r="F14"/>
    </row>
    <row r="15" spans="1:6" x14ac:dyDescent="0.25">
      <c r="A15" s="40" t="s">
        <v>223</v>
      </c>
      <c r="B15" s="38">
        <f t="shared" si="3"/>
        <v>0.8</v>
      </c>
      <c r="C15">
        <f t="shared" si="3"/>
        <v>0</v>
      </c>
      <c r="D15" t="s">
        <v>184</v>
      </c>
      <c r="E15"/>
      <c r="F15"/>
    </row>
    <row r="16" spans="1:6" s="48" customFormat="1" ht="15.75" thickBot="1" x14ac:dyDescent="0.3">
      <c r="A16" s="49" t="s">
        <v>224</v>
      </c>
      <c r="B16" s="65">
        <f t="shared" si="3"/>
        <v>0.8</v>
      </c>
      <c r="C16" s="48">
        <f t="shared" si="3"/>
        <v>0</v>
      </c>
      <c r="D16" s="48" t="s">
        <v>184</v>
      </c>
    </row>
    <row r="17" spans="1:6" s="1" customFormat="1" x14ac:dyDescent="0.25">
      <c r="A17" s="52" t="s">
        <v>225</v>
      </c>
      <c r="B17" s="38">
        <f>B$13</f>
        <v>0.8</v>
      </c>
      <c r="C17" s="1">
        <v>0</v>
      </c>
      <c r="D17" s="1" t="s">
        <v>109</v>
      </c>
    </row>
    <row r="18" spans="1:6" x14ac:dyDescent="0.25">
      <c r="A18" s="40" t="s">
        <v>226</v>
      </c>
      <c r="B18" s="79">
        <f t="shared" ref="B18:C20" si="4">B$17</f>
        <v>0.8</v>
      </c>
      <c r="C18" s="44">
        <f t="shared" si="4"/>
        <v>0</v>
      </c>
      <c r="D18" s="44" t="s">
        <v>184</v>
      </c>
      <c r="E18"/>
      <c r="F18"/>
    </row>
    <row r="19" spans="1:6" x14ac:dyDescent="0.25">
      <c r="A19" s="40" t="s">
        <v>227</v>
      </c>
      <c r="B19" s="79">
        <f t="shared" si="4"/>
        <v>0.8</v>
      </c>
      <c r="C19" s="44">
        <f t="shared" si="4"/>
        <v>0</v>
      </c>
      <c r="D19" s="44" t="s">
        <v>184</v>
      </c>
      <c r="E19"/>
      <c r="F19"/>
    </row>
    <row r="20" spans="1:6" s="48" customFormat="1" ht="15.75" thickBot="1" x14ac:dyDescent="0.3">
      <c r="A20" s="49" t="s">
        <v>228</v>
      </c>
      <c r="B20" s="80">
        <f t="shared" si="4"/>
        <v>0.8</v>
      </c>
      <c r="C20" s="62">
        <f t="shared" si="4"/>
        <v>0</v>
      </c>
      <c r="D20" s="62" t="s">
        <v>184</v>
      </c>
    </row>
    <row r="21" spans="1:6" s="1" customFormat="1" x14ac:dyDescent="0.25">
      <c r="A21" s="52" t="s">
        <v>229</v>
      </c>
      <c r="B21" s="38">
        <f>B$13</f>
        <v>0.8</v>
      </c>
      <c r="C21" s="1">
        <v>0</v>
      </c>
      <c r="D21" s="1" t="s">
        <v>109</v>
      </c>
    </row>
    <row r="22" spans="1:6" x14ac:dyDescent="0.25">
      <c r="A22" s="40" t="s">
        <v>230</v>
      </c>
      <c r="B22" s="79">
        <f t="shared" ref="B22:C24" si="5">B$21</f>
        <v>0.8</v>
      </c>
      <c r="C22" s="44">
        <f t="shared" si="5"/>
        <v>0</v>
      </c>
      <c r="D22" s="44" t="s">
        <v>184</v>
      </c>
      <c r="E22"/>
      <c r="F22"/>
    </row>
    <row r="23" spans="1:6" x14ac:dyDescent="0.25">
      <c r="A23" s="40" t="s">
        <v>231</v>
      </c>
      <c r="B23" s="79">
        <f t="shared" si="5"/>
        <v>0.8</v>
      </c>
      <c r="C23" s="44">
        <f t="shared" si="5"/>
        <v>0</v>
      </c>
      <c r="D23" s="44" t="s">
        <v>184</v>
      </c>
      <c r="E23"/>
      <c r="F23"/>
    </row>
    <row r="24" spans="1:6" s="48" customFormat="1" ht="15.75" thickBot="1" x14ac:dyDescent="0.3">
      <c r="A24" s="49" t="s">
        <v>232</v>
      </c>
      <c r="B24" s="80">
        <f t="shared" si="5"/>
        <v>0.8</v>
      </c>
      <c r="C24" s="62">
        <f t="shared" si="5"/>
        <v>0</v>
      </c>
      <c r="D24" s="62" t="s">
        <v>184</v>
      </c>
    </row>
    <row r="25" spans="1:6" s="1" customFormat="1" x14ac:dyDescent="0.25">
      <c r="A25" s="52" t="s">
        <v>233</v>
      </c>
      <c r="B25" s="38">
        <f>B$13</f>
        <v>0.8</v>
      </c>
      <c r="C25" s="1">
        <v>0</v>
      </c>
      <c r="D25" s="1" t="s">
        <v>105</v>
      </c>
    </row>
    <row r="26" spans="1:6" x14ac:dyDescent="0.25">
      <c r="A26" s="40" t="s">
        <v>234</v>
      </c>
      <c r="B26" s="79">
        <f t="shared" ref="B26:C28" si="6">B$25</f>
        <v>0.8</v>
      </c>
      <c r="C26" s="44">
        <f t="shared" si="6"/>
        <v>0</v>
      </c>
      <c r="D26" s="44" t="s">
        <v>184</v>
      </c>
      <c r="E26"/>
      <c r="F26"/>
    </row>
    <row r="27" spans="1:6" ht="15.75" customHeight="1" x14ac:dyDescent="0.25">
      <c r="A27" s="40" t="s">
        <v>235</v>
      </c>
      <c r="B27" s="79">
        <f t="shared" si="6"/>
        <v>0.8</v>
      </c>
      <c r="C27" s="44">
        <f t="shared" si="6"/>
        <v>0</v>
      </c>
      <c r="D27" s="44" t="s">
        <v>184</v>
      </c>
      <c r="E27"/>
      <c r="F27"/>
    </row>
    <row r="28" spans="1:6" s="48" customFormat="1" ht="15.75" thickBot="1" x14ac:dyDescent="0.3">
      <c r="A28" s="49" t="s">
        <v>236</v>
      </c>
      <c r="B28" s="80">
        <f t="shared" si="6"/>
        <v>0.8</v>
      </c>
      <c r="C28" s="62">
        <f t="shared" si="6"/>
        <v>0</v>
      </c>
      <c r="D28" s="62" t="s">
        <v>184</v>
      </c>
    </row>
    <row r="29" spans="1:6" x14ac:dyDescent="0.25">
      <c r="A29" s="53" t="s">
        <v>191</v>
      </c>
      <c r="B29">
        <v>1</v>
      </c>
      <c r="C29">
        <v>0</v>
      </c>
      <c r="D29" s="1" t="s">
        <v>109</v>
      </c>
      <c r="E29"/>
      <c r="F29"/>
    </row>
    <row r="30" spans="1:6" x14ac:dyDescent="0.25">
      <c r="A30" s="116" t="s">
        <v>192</v>
      </c>
      <c r="B30" s="5">
        <f>B29</f>
        <v>1</v>
      </c>
      <c r="C30" s="5">
        <f>C29</f>
        <v>0</v>
      </c>
      <c r="D30" s="44" t="s">
        <v>184</v>
      </c>
    </row>
    <row r="31" spans="1:6" x14ac:dyDescent="0.25">
      <c r="A31" s="116" t="s">
        <v>193</v>
      </c>
      <c r="B31" s="5">
        <f>B29</f>
        <v>1</v>
      </c>
      <c r="C31" s="5">
        <f>C29</f>
        <v>0</v>
      </c>
      <c r="D31" s="44" t="s">
        <v>184</v>
      </c>
    </row>
    <row r="32" spans="1:6" s="48" customFormat="1" ht="15.75" thickBot="1" x14ac:dyDescent="0.3">
      <c r="A32" s="145" t="s">
        <v>194</v>
      </c>
      <c r="B32" s="84">
        <f>B29</f>
        <v>1</v>
      </c>
      <c r="C32" s="84">
        <f>C29</f>
        <v>0</v>
      </c>
      <c r="D32" s="62" t="s">
        <v>184</v>
      </c>
      <c r="E32" s="84"/>
      <c r="F32" s="84"/>
    </row>
    <row r="33" spans="1:6" x14ac:dyDescent="0.25">
      <c r="A33" s="52" t="s">
        <v>195</v>
      </c>
      <c r="B33">
        <v>0.9</v>
      </c>
      <c r="C33">
        <v>0</v>
      </c>
      <c r="D33" s="1" t="s">
        <v>109</v>
      </c>
    </row>
    <row r="34" spans="1:6" x14ac:dyDescent="0.25">
      <c r="A34" s="136" t="s">
        <v>197</v>
      </c>
      <c r="B34" s="5">
        <f>B33</f>
        <v>0.9</v>
      </c>
      <c r="C34" s="5">
        <f>C33</f>
        <v>0</v>
      </c>
      <c r="D34" s="44" t="s">
        <v>184</v>
      </c>
    </row>
    <row r="35" spans="1:6" x14ac:dyDescent="0.25">
      <c r="A35" s="116" t="s">
        <v>196</v>
      </c>
      <c r="B35" s="5">
        <f>B33</f>
        <v>0.9</v>
      </c>
      <c r="C35" s="5">
        <f>C33</f>
        <v>0</v>
      </c>
      <c r="D35" s="44" t="s">
        <v>184</v>
      </c>
    </row>
    <row r="36" spans="1:6" s="48" customFormat="1" ht="15.75" thickBot="1" x14ac:dyDescent="0.3">
      <c r="A36" s="145" t="s">
        <v>198</v>
      </c>
      <c r="B36" s="84">
        <f>B33</f>
        <v>0.9</v>
      </c>
      <c r="C36" s="84">
        <f>C33</f>
        <v>0</v>
      </c>
      <c r="D36" s="62" t="s">
        <v>184</v>
      </c>
      <c r="E36" s="84"/>
      <c r="F36" s="84"/>
    </row>
    <row r="37" spans="1:6" x14ac:dyDescent="0.25">
      <c r="A37" s="116" t="s">
        <v>199</v>
      </c>
      <c r="B37">
        <v>0.9</v>
      </c>
      <c r="C37">
        <v>0</v>
      </c>
      <c r="D37" s="1" t="s">
        <v>109</v>
      </c>
    </row>
    <row r="38" spans="1:6" x14ac:dyDescent="0.25">
      <c r="A38" s="116" t="s">
        <v>200</v>
      </c>
      <c r="B38" s="5">
        <f>B37</f>
        <v>0.9</v>
      </c>
      <c r="C38" s="5">
        <f>C37</f>
        <v>0</v>
      </c>
      <c r="D38" s="44" t="s">
        <v>184</v>
      </c>
    </row>
    <row r="39" spans="1:6" x14ac:dyDescent="0.25">
      <c r="A39" s="116" t="s">
        <v>201</v>
      </c>
      <c r="B39" s="5">
        <f>B37</f>
        <v>0.9</v>
      </c>
      <c r="C39" s="5">
        <f>C37</f>
        <v>0</v>
      </c>
      <c r="D39" s="44" t="s">
        <v>184</v>
      </c>
    </row>
    <row r="40" spans="1:6" s="48" customFormat="1" ht="15.75" thickBot="1" x14ac:dyDescent="0.3">
      <c r="A40" s="145" t="s">
        <v>202</v>
      </c>
      <c r="B40" s="84">
        <f>B37</f>
        <v>0.9</v>
      </c>
      <c r="C40" s="84">
        <f>C37</f>
        <v>0</v>
      </c>
      <c r="D40" s="62" t="s">
        <v>184</v>
      </c>
      <c r="E40" s="84"/>
      <c r="F40" s="84"/>
    </row>
    <row r="41" spans="1:6" x14ac:dyDescent="0.25">
      <c r="A41" s="144" t="s">
        <v>204</v>
      </c>
      <c r="B41">
        <v>0.9</v>
      </c>
      <c r="C41">
        <v>0</v>
      </c>
      <c r="D41" s="1" t="s">
        <v>109</v>
      </c>
    </row>
    <row r="42" spans="1:6" x14ac:dyDescent="0.25">
      <c r="A42" s="116" t="s">
        <v>205</v>
      </c>
      <c r="B42" s="5">
        <f>B41</f>
        <v>0.9</v>
      </c>
      <c r="C42" s="5">
        <f>C41</f>
        <v>0</v>
      </c>
      <c r="D42" s="44" t="s">
        <v>184</v>
      </c>
    </row>
    <row r="43" spans="1:6" x14ac:dyDescent="0.25">
      <c r="A43" s="116" t="s">
        <v>241</v>
      </c>
      <c r="B43" s="5">
        <f>B41</f>
        <v>0.9</v>
      </c>
      <c r="C43" s="5">
        <f>C41</f>
        <v>0</v>
      </c>
      <c r="D43" s="44" t="s">
        <v>184</v>
      </c>
    </row>
    <row r="44" spans="1:6" s="48" customFormat="1" ht="15.75" thickBot="1" x14ac:dyDescent="0.3">
      <c r="A44" s="145" t="s">
        <v>206</v>
      </c>
      <c r="B44" s="84">
        <f>B41</f>
        <v>0.9</v>
      </c>
      <c r="C44" s="84">
        <f>C41</f>
        <v>0</v>
      </c>
      <c r="D44" s="62" t="s">
        <v>184</v>
      </c>
      <c r="E44" s="84"/>
      <c r="F44" s="8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DRI</vt:lpstr>
      <vt:lpstr>EAF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2019-07-04T19:48:21Z</dcterms:modified>
</cp:coreProperties>
</file>