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Fuels!$A$1:$E$11</definedName>
  </definedNames>
  <calcPr calcId="162913"/>
</workbook>
</file>

<file path=xl/calcChain.xml><?xml version="1.0" encoding="utf-8"?>
<calcChain xmlns="http://schemas.openxmlformats.org/spreadsheetml/2006/main">
  <c r="M45" i="2" l="1"/>
  <c r="D47" i="2" l="1"/>
  <c r="D45" i="2"/>
  <c r="D38" i="2" l="1"/>
  <c r="D37" i="2"/>
  <c r="D36" i="2"/>
  <c r="D35" i="2"/>
  <c r="D34" i="2"/>
  <c r="D33" i="2"/>
  <c r="D32" i="2"/>
  <c r="D39" i="2"/>
  <c r="D40" i="2"/>
  <c r="D31" i="2"/>
  <c r="D30" i="2" l="1"/>
  <c r="D23" i="2"/>
  <c r="D16" i="2"/>
  <c r="K25" i="2" l="1"/>
  <c r="O26" i="2"/>
  <c r="O8" i="2"/>
  <c r="O21" i="2"/>
  <c r="O15" i="2"/>
  <c r="O13" i="2"/>
  <c r="O10" i="2"/>
  <c r="O28" i="2"/>
  <c r="O22" i="2"/>
  <c r="O11" i="2"/>
  <c r="O19" i="2"/>
  <c r="O27" i="2"/>
  <c r="O12" i="2"/>
  <c r="O20" i="2"/>
  <c r="O48" i="2"/>
  <c r="O14" i="2"/>
  <c r="O9" i="2"/>
  <c r="O41" i="2"/>
  <c r="O18" i="2"/>
  <c r="O7" i="2"/>
  <c r="C27" i="2" l="1"/>
  <c r="D27" i="2" s="1"/>
  <c r="D28" i="2"/>
  <c r="D26" i="2"/>
  <c r="D8" i="2" l="1"/>
  <c r="B27" i="2"/>
  <c r="D21" i="2"/>
  <c r="D15" i="2"/>
  <c r="D13" i="2"/>
  <c r="D10" i="2"/>
  <c r="D14" i="2"/>
  <c r="D20" i="2"/>
  <c r="D9" i="2"/>
  <c r="D22" i="2"/>
  <c r="C11" i="2"/>
  <c r="D11" i="2" s="1"/>
  <c r="D19" i="2" l="1"/>
  <c r="D12" i="2"/>
  <c r="D41" i="2" l="1"/>
  <c r="D7" i="2"/>
  <c r="O43" i="2" l="1"/>
  <c r="O44" i="2"/>
  <c r="O30" i="2" l="1"/>
  <c r="O23" i="2"/>
  <c r="O16" i="2"/>
  <c r="O42" i="2"/>
  <c r="O46" i="2"/>
  <c r="O49" i="2"/>
  <c r="O24" i="2"/>
  <c r="O25" i="2"/>
  <c r="O4" i="2"/>
  <c r="O5" i="2"/>
  <c r="D24" i="2" l="1"/>
  <c r="D4" i="2"/>
  <c r="E30" i="2"/>
  <c r="E23" i="2"/>
  <c r="E16" i="2"/>
  <c r="D5" i="2"/>
  <c r="J16" i="2" l="1"/>
  <c r="J30" i="2"/>
  <c r="J23" i="2"/>
</calcChain>
</file>

<file path=xl/comments1.xml><?xml version="1.0" encoding="utf-8"?>
<comments xmlns="http://schemas.openxmlformats.org/spreadsheetml/2006/main">
  <authors>
    <author>S.E. Tanzer</author>
  </authors>
  <commentList>
    <comment ref="D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<sst xmlns="http://schemas.openxmlformats.org/spreadsheetml/2006/main" count="109" uniqueCount="85">
  <si>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</si>
  <si>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</si>
  <si>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</si>
  <si>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</si>
  <si>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</si>
  <si>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</si>
  <si>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</si>
  <si>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</si>
  <si>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</si>
  <si>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</si>
  <si>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</si>
  <si>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</si>
  <si>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</si>
  <si>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</si>
  <si>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</si>
  <si>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</si>
  <si>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</si>
  <si>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</si>
  <si>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</si>
  <si>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</si>
  <si>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</si>
  <si>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</si>
  <si>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</si>
  <si>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</si>
  <si>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</si>
  <si>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</si>
  <si>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</si>
  <si>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</si>
  <si>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</si>
  <si>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</si>
  <si>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</si>
  <si>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</si>
  <si>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</si>
  <si>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</si>
  <si>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</si>
  <si>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</si>
  <si>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</si>
  <si>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</si>
  <si>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</si>
  <si>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</si>
  <si>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</si>
  <si>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</si>
  <si>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</si>
  <si>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</si>
  <si>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</si>
  <si>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</si>
  <si>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</si>
  <si>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</si>
  <si>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</si>
  <si>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</si>
  <si>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</si>
  <si>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</si>
  <si>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</si>
  <si>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</si>
  <si>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</si>
  <si>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</si>
  <si>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</si>
  <si>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</si>
  <si>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</si>
  <si>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</si>
  <si>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</si>
  <si>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</si>
  <si>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</si>
  <si>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</si>
  <si>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</si>
  <si>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</si>
  <si>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</si>
  <si>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PROXY - CN 2030</t>
  </si>
  <si>
    <t>PROXY - EU 2030</t>
  </si>
  <si>
    <t>PROXY - CN 2016</t>
  </si>
  <si>
    <t>PROXY - EU 2016</t>
  </si>
  <si>
    <t>PROXY - IN 2016</t>
  </si>
  <si>
    <t>PROXY - JP 2016</t>
  </si>
  <si>
    <t>PROXY - RU 2016</t>
  </si>
  <si>
    <t>PROXY - US 2016</t>
  </si>
  <si>
    <t>PROXY - CN 2040</t>
  </si>
  <si>
    <t>PROXY - EU 2040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</si>
  <si>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</si>
  <si>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</si>
  <si>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</si>
  <si>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</si>
  <si>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torrified rice husk</t>
  </si>
  <si>
    <t>CO2 value from IPCC</t>
  </si>
  <si>
    <t>coal coking - Birat</t>
  </si>
  <si>
    <t>coke - Birat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</si>
</sst>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5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x14ac:dyDescent="0.25">
      <c r="A4" t="s">
        <v>7</v>
      </c>
      <c r="B4">
        <v>29.6</v>
      </c>
      <c r="C4">
        <v>28.4</v>
      </c>
      <c r="D4">
        <f>G4*(44/12)</f>
        <v>2.9333333333333336</v>
      </c>
      <c r="E4">
        <v>0</v>
      </c>
      <c r="F4"/>
      <c r="G4">
        <v>0.8</v>
      </c>
      <c r="H4"/>
      <c r="I4"/>
      <c r="J4"/>
      <c r="K4">
        <v>1.5</v>
      </c>
      <c r="L4">
        <v>4</v>
      </c>
      <c r="M4" s="1">
        <v>1.25</v>
      </c>
      <c r="N4" s="1">
        <v>0</v>
      </c>
      <c r="O4">
        <f t="shared" ref="O4:O24" si="0">1-N4</f>
        <v>1</v>
      </c>
      <c r="P4"/>
      <c r="Q4" t="s">
        <v>66</v>
      </c>
    </row>
    <row r="5" spans="1:17" s="3" customFormat="1" x14ac:dyDescent="0.25">
      <c r="A5" t="s">
        <v>6</v>
      </c>
      <c r="B5">
        <v>31</v>
      </c>
      <c r="C5">
        <v>31</v>
      </c>
      <c r="D5">
        <f>G5*(44/12)</f>
        <v>2.97</v>
      </c>
      <c r="E5">
        <v>0</v>
      </c>
      <c r="F5"/>
      <c r="G5">
        <v>0.81</v>
      </c>
      <c r="H5"/>
      <c r="I5"/>
      <c r="J5"/>
      <c r="K5">
        <v>6.4000000000000001E-2</v>
      </c>
      <c r="L5">
        <v>0</v>
      </c>
      <c r="M5">
        <v>0</v>
      </c>
      <c r="N5">
        <v>1</v>
      </c>
      <c r="O5">
        <f t="shared" si="0"/>
        <v>0</v>
      </c>
      <c r="P5"/>
      <c r="Q5" t="s">
        <v>31</v>
      </c>
    </row>
    <row r="6" spans="1:17" s="3" customFormat="1" x14ac:dyDescent="0.25">
      <c r="A6" t="s">
        <v>83</v>
      </c>
      <c r="B6">
        <v>28.2</v>
      </c>
      <c r="C6">
        <v>28.2</v>
      </c>
      <c r="D6">
        <v>2.94</v>
      </c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t="s">
        <v>46</v>
      </c>
      <c r="B7">
        <v>26.34</v>
      </c>
      <c r="C7">
        <v>26.34</v>
      </c>
      <c r="D7">
        <f>(0.02657*C7)*(44/12)</f>
        <v>2.5661305999999997</v>
      </c>
      <c r="K7" s="5">
        <v>0.1</v>
      </c>
      <c r="M7">
        <v>0</v>
      </c>
      <c r="N7">
        <v>1</v>
      </c>
      <c r="O7">
        <f t="shared" si="0"/>
        <v>0</v>
      </c>
    </row>
    <row r="8" spans="1:17" x14ac:dyDescent="0.25">
      <c r="A8" t="s">
        <v>62</v>
      </c>
      <c r="B8">
        <v>28.2</v>
      </c>
      <c r="C8">
        <v>28.2</v>
      </c>
      <c r="D8">
        <f>94.6/C8</f>
        <v>3.354609929078014</v>
      </c>
      <c r="K8" s="5">
        <v>0.1</v>
      </c>
      <c r="M8">
        <v>0</v>
      </c>
      <c r="N8">
        <v>1</v>
      </c>
      <c r="O8">
        <f t="shared" si="0"/>
        <v>0</v>
      </c>
      <c r="Q8" t="s">
        <v>41</v>
      </c>
    </row>
    <row r="9" spans="1:17" x14ac:dyDescent="0.25">
      <c r="A9" t="s">
        <v>48</v>
      </c>
      <c r="B9">
        <v>31.7</v>
      </c>
      <c r="C9">
        <v>30.2</v>
      </c>
      <c r="D9">
        <f>0.094*C9</f>
        <v>2.8388</v>
      </c>
      <c r="K9" s="5">
        <v>0.1</v>
      </c>
      <c r="M9">
        <v>0</v>
      </c>
      <c r="N9">
        <v>1</v>
      </c>
      <c r="O9">
        <f t="shared" si="0"/>
        <v>0</v>
      </c>
      <c r="Q9" t="s">
        <v>42</v>
      </c>
    </row>
    <row r="10" spans="1:17" x14ac:dyDescent="0.25">
      <c r="A10" t="s">
        <v>58</v>
      </c>
      <c r="B10">
        <v>28.94</v>
      </c>
      <c r="C10">
        <v>26.68</v>
      </c>
      <c r="D10">
        <f>(((44/12)*26.5)*C10)/1000</f>
        <v>2.5924066666666663</v>
      </c>
      <c r="K10" s="5">
        <v>0.1</v>
      </c>
      <c r="M10">
        <v>0</v>
      </c>
      <c r="N10">
        <v>1</v>
      </c>
      <c r="O10">
        <f t="shared" si="0"/>
        <v>0</v>
      </c>
      <c r="Q10" t="s">
        <v>43</v>
      </c>
    </row>
    <row r="11" spans="1:17" x14ac:dyDescent="0.25">
      <c r="A11" t="s">
        <v>55</v>
      </c>
      <c r="C11">
        <f>13500/430</f>
        <v>31.395348837209301</v>
      </c>
      <c r="D11">
        <f>94.6/C11</f>
        <v>3.013185185185185</v>
      </c>
      <c r="K11" s="5">
        <v>0.1</v>
      </c>
      <c r="M11">
        <v>0</v>
      </c>
      <c r="N11">
        <v>1</v>
      </c>
      <c r="O11">
        <f t="shared" si="0"/>
        <v>0</v>
      </c>
      <c r="Q11" t="s">
        <v>45</v>
      </c>
    </row>
    <row r="12" spans="1:17" x14ac:dyDescent="0.25">
      <c r="A12" t="s">
        <v>52</v>
      </c>
      <c r="B12">
        <v>25.16</v>
      </c>
      <c r="C12">
        <v>25.16</v>
      </c>
      <c r="D12">
        <f>93.99/C12</f>
        <v>3.7356915739268679</v>
      </c>
      <c r="K12" s="5">
        <v>0.1</v>
      </c>
      <c r="M12">
        <v>0</v>
      </c>
      <c r="N12">
        <v>1</v>
      </c>
      <c r="O12">
        <f t="shared" si="0"/>
        <v>0</v>
      </c>
      <c r="Q12" t="s">
        <v>41</v>
      </c>
    </row>
    <row r="13" spans="1:17" x14ac:dyDescent="0.25">
      <c r="A13" t="s">
        <v>59</v>
      </c>
      <c r="B13">
        <v>28.01</v>
      </c>
      <c r="C13">
        <v>25.74</v>
      </c>
      <c r="D13">
        <f>(((44/12)*27.27)*C13)/1000</f>
        <v>2.5737425999999997</v>
      </c>
      <c r="K13" s="5">
        <v>0.1</v>
      </c>
      <c r="M13">
        <v>0</v>
      </c>
      <c r="N13">
        <v>1</v>
      </c>
      <c r="O13">
        <f t="shared" si="0"/>
        <v>0</v>
      </c>
      <c r="Q13" t="s">
        <v>43</v>
      </c>
    </row>
    <row r="14" spans="1:17" x14ac:dyDescent="0.25">
      <c r="A14" t="s">
        <v>49</v>
      </c>
      <c r="B14">
        <v>27.1</v>
      </c>
      <c r="C14">
        <v>25.8</v>
      </c>
      <c r="D14">
        <f>0.096*C14</f>
        <v>2.4768000000000003</v>
      </c>
      <c r="K14" s="5">
        <v>0.1</v>
      </c>
      <c r="M14">
        <v>0</v>
      </c>
      <c r="N14">
        <v>1</v>
      </c>
      <c r="O14">
        <f t="shared" si="0"/>
        <v>0</v>
      </c>
      <c r="Q14" t="s">
        <v>42</v>
      </c>
    </row>
    <row r="15" spans="1:17" x14ac:dyDescent="0.25">
      <c r="A15" t="s">
        <v>60</v>
      </c>
      <c r="B15">
        <v>25.97</v>
      </c>
      <c r="C15">
        <v>24.66</v>
      </c>
      <c r="D15">
        <f>(((44/12)*25.68)*C15)/1000</f>
        <v>2.3219856000000001</v>
      </c>
      <c r="K15" s="5">
        <v>0.1</v>
      </c>
      <c r="M15">
        <v>0</v>
      </c>
      <c r="N15">
        <v>1</v>
      </c>
      <c r="O15">
        <f t="shared" si="0"/>
        <v>0</v>
      </c>
      <c r="Q15" t="s">
        <v>43</v>
      </c>
    </row>
    <row r="16" spans="1:17" x14ac:dyDescent="0.25">
      <c r="A16" t="s">
        <v>13</v>
      </c>
      <c r="B16" s="6">
        <v>29.01</v>
      </c>
      <c r="C16" s="6">
        <v>29.01</v>
      </c>
      <c r="D16" s="6">
        <f>G16*3.7</f>
        <v>3.2578499999999999</v>
      </c>
      <c r="E16">
        <f>18/2*H16</f>
        <v>9.0000000000000011E-3</v>
      </c>
      <c r="F16">
        <v>0.04</v>
      </c>
      <c r="G16">
        <v>0.88049999999999995</v>
      </c>
      <c r="H16">
        <v>1E-3</v>
      </c>
      <c r="I16">
        <v>6.0000000000000001E-3</v>
      </c>
      <c r="J16">
        <f>1-SUM(G16:I16)</f>
        <v>0.11250000000000004</v>
      </c>
      <c r="L16">
        <v>0</v>
      </c>
      <c r="M16">
        <v>0</v>
      </c>
      <c r="N16">
        <v>1</v>
      </c>
      <c r="O16">
        <f t="shared" si="0"/>
        <v>0</v>
      </c>
      <c r="Q16" t="s">
        <v>20</v>
      </c>
    </row>
    <row r="17" spans="1:17" x14ac:dyDescent="0.25">
      <c r="A17" t="s">
        <v>84</v>
      </c>
      <c r="B17" s="6">
        <v>28.4</v>
      </c>
      <c r="C17" s="6">
        <v>28.4</v>
      </c>
      <c r="D17" s="6">
        <v>2.94</v>
      </c>
    </row>
    <row r="18" spans="1:17" x14ac:dyDescent="0.25">
      <c r="A18" t="s">
        <v>47</v>
      </c>
      <c r="B18">
        <v>28.434999999999999</v>
      </c>
      <c r="C18">
        <v>28.434999999999999</v>
      </c>
      <c r="D18" s="5">
        <v>3.01</v>
      </c>
      <c r="K18" s="5">
        <v>0.1</v>
      </c>
      <c r="M18">
        <v>0</v>
      </c>
      <c r="N18">
        <v>1</v>
      </c>
      <c r="O18">
        <f t="shared" si="0"/>
        <v>0</v>
      </c>
      <c r="Q18" t="s">
        <v>82</v>
      </c>
    </row>
    <row r="19" spans="1:17" x14ac:dyDescent="0.25">
      <c r="A19" t="s">
        <v>54</v>
      </c>
      <c r="B19">
        <v>28.2</v>
      </c>
      <c r="C19">
        <v>28.434999999999999</v>
      </c>
      <c r="D19">
        <f>C19*29.2*(44/12)/1000</f>
        <v>3.0444406666666666</v>
      </c>
      <c r="K19" s="5">
        <v>0.2</v>
      </c>
      <c r="M19">
        <v>0</v>
      </c>
      <c r="N19">
        <v>1</v>
      </c>
      <c r="O19">
        <f t="shared" si="0"/>
        <v>0</v>
      </c>
    </row>
    <row r="20" spans="1:17" x14ac:dyDescent="0.25">
      <c r="A20" t="s">
        <v>51</v>
      </c>
      <c r="B20">
        <v>30</v>
      </c>
      <c r="C20">
        <v>28.434999999999999</v>
      </c>
      <c r="D20">
        <f>0.109*C20</f>
        <v>3.099415</v>
      </c>
      <c r="K20" s="5">
        <v>0.1</v>
      </c>
      <c r="M20">
        <v>0</v>
      </c>
      <c r="N20">
        <v>1</v>
      </c>
      <c r="O20">
        <f t="shared" si="0"/>
        <v>0</v>
      </c>
      <c r="Q20" t="s">
        <v>42</v>
      </c>
    </row>
    <row r="21" spans="1:17" x14ac:dyDescent="0.25">
      <c r="A21" t="s">
        <v>61</v>
      </c>
      <c r="B21">
        <v>29.18</v>
      </c>
      <c r="C21">
        <v>28.434999999999999</v>
      </c>
      <c r="D21">
        <f>(((44/12)*30.6)*C21)/1000</f>
        <v>3.190407</v>
      </c>
      <c r="K21" s="5">
        <v>0.1</v>
      </c>
      <c r="M21">
        <v>0</v>
      </c>
      <c r="N21">
        <v>1</v>
      </c>
      <c r="O21">
        <f t="shared" si="0"/>
        <v>0</v>
      </c>
      <c r="Q21" t="s">
        <v>43</v>
      </c>
    </row>
    <row r="22" spans="1:17" x14ac:dyDescent="0.25">
      <c r="A22" t="s">
        <v>56</v>
      </c>
      <c r="C22">
        <v>28.434999999999999</v>
      </c>
      <c r="D22">
        <f>C22*29.2*(44/12)/1000</f>
        <v>3.0444406666666666</v>
      </c>
      <c r="K22" s="5">
        <v>0.1</v>
      </c>
      <c r="M22">
        <v>0</v>
      </c>
      <c r="N22">
        <v>1</v>
      </c>
      <c r="O22">
        <f t="shared" si="0"/>
        <v>0</v>
      </c>
      <c r="Q22" t="s">
        <v>45</v>
      </c>
    </row>
    <row r="23" spans="1:17" x14ac:dyDescent="0.25">
      <c r="A23" t="s">
        <v>19</v>
      </c>
      <c r="B23" s="6">
        <v>31.1</v>
      </c>
      <c r="C23">
        <v>28.434999999999999</v>
      </c>
      <c r="D23" s="6">
        <f>G23*3.7</f>
        <v>2.9174500000000001</v>
      </c>
      <c r="E23">
        <f>18/2*H23</f>
        <v>0.40590000000000004</v>
      </c>
      <c r="F23">
        <v>0.08</v>
      </c>
      <c r="G23">
        <v>0.78849999999999998</v>
      </c>
      <c r="H23">
        <v>4.5100000000000001E-2</v>
      </c>
      <c r="I23">
        <v>0</v>
      </c>
      <c r="J23">
        <f>1-SUM(G23:I23)</f>
        <v>0.16639999999999999</v>
      </c>
      <c r="L23">
        <v>0</v>
      </c>
      <c r="M23">
        <v>0</v>
      </c>
      <c r="N23">
        <v>1</v>
      </c>
      <c r="O23">
        <f t="shared" si="0"/>
        <v>0</v>
      </c>
      <c r="Q23" t="s">
        <v>20</v>
      </c>
    </row>
    <row r="24" spans="1:17" x14ac:dyDescent="0.25">
      <c r="A24" t="s">
        <v>9</v>
      </c>
      <c r="B24">
        <v>45.6</v>
      </c>
      <c r="C24">
        <v>28.434999999999999</v>
      </c>
      <c r="D24">
        <f>G24*(44/12)</f>
        <v>3.1533333333333333</v>
      </c>
      <c r="E24">
        <v>0</v>
      </c>
      <c r="G24">
        <v>0.86</v>
      </c>
      <c r="K24">
        <v>0.438</v>
      </c>
      <c r="L24">
        <v>0</v>
      </c>
      <c r="M24">
        <v>0</v>
      </c>
      <c r="N24">
        <v>1</v>
      </c>
      <c r="O24">
        <f t="shared" si="0"/>
        <v>0</v>
      </c>
      <c r="Q24" t="s">
        <v>31</v>
      </c>
    </row>
    <row r="25" spans="1:17" x14ac:dyDescent="0.25">
      <c r="A25" t="s">
        <v>8</v>
      </c>
      <c r="B25">
        <v>52</v>
      </c>
      <c r="C25">
        <v>47</v>
      </c>
      <c r="D25">
        <v>2.75</v>
      </c>
      <c r="E25">
        <v>0</v>
      </c>
      <c r="K25">
        <f>0.007*C25</f>
        <v>0.32900000000000001</v>
      </c>
      <c r="L25">
        <v>0</v>
      </c>
      <c r="M25">
        <v>0</v>
      </c>
      <c r="N25">
        <v>1</v>
      </c>
      <c r="O25">
        <f>1-N25</f>
        <v>0</v>
      </c>
      <c r="Q25" t="s">
        <v>31</v>
      </c>
    </row>
    <row r="26" spans="1:17" x14ac:dyDescent="0.25">
      <c r="A26" t="s">
        <v>63</v>
      </c>
      <c r="B26">
        <v>48</v>
      </c>
      <c r="C26">
        <v>48</v>
      </c>
      <c r="D26">
        <f>C26*15.3/1000*(44/12)</f>
        <v>2.6928000000000001</v>
      </c>
      <c r="K26" s="5">
        <v>0.1</v>
      </c>
      <c r="M26">
        <v>0</v>
      </c>
      <c r="N26">
        <v>1</v>
      </c>
      <c r="O26">
        <f>1-N26</f>
        <v>0</v>
      </c>
    </row>
    <row r="27" spans="1:17" ht="16.5" customHeight="1" x14ac:dyDescent="0.25">
      <c r="A27" t="s">
        <v>53</v>
      </c>
      <c r="B27">
        <f>40.36*(1/0.554)</f>
        <v>72.851985559566785</v>
      </c>
      <c r="C27">
        <f>36.4/0.7</f>
        <v>52</v>
      </c>
      <c r="D27">
        <f>55.2*C27/1000</f>
        <v>2.8704000000000001</v>
      </c>
      <c r="K27" s="5">
        <v>0.1</v>
      </c>
      <c r="M27">
        <v>0</v>
      </c>
      <c r="N27">
        <v>1</v>
      </c>
      <c r="O27">
        <f>1-N27</f>
        <v>0</v>
      </c>
      <c r="Q27" t="s">
        <v>44</v>
      </c>
    </row>
    <row r="28" spans="1:17" x14ac:dyDescent="0.25">
      <c r="A28" t="s">
        <v>57</v>
      </c>
      <c r="C28">
        <v>47.1</v>
      </c>
      <c r="D28">
        <f>56.1*C28/1000</f>
        <v>2.6423100000000002</v>
      </c>
      <c r="K28" s="5">
        <v>0.1</v>
      </c>
      <c r="M28">
        <v>0</v>
      </c>
      <c r="N28">
        <v>1</v>
      </c>
      <c r="O28">
        <f>1-N28</f>
        <v>0</v>
      </c>
      <c r="Q28" t="s">
        <v>45</v>
      </c>
    </row>
    <row r="29" spans="1:17" x14ac:dyDescent="0.25">
      <c r="A29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t="s">
        <v>40</v>
      </c>
    </row>
    <row r="30" spans="1:17" x14ac:dyDescent="0.25">
      <c r="A30" t="s">
        <v>23</v>
      </c>
      <c r="B30" s="6">
        <v>33.369999999999997</v>
      </c>
      <c r="C30" s="6">
        <v>33.369999999999997</v>
      </c>
      <c r="D30" s="6">
        <f>G30*3.7</f>
        <v>3.2190000000000003</v>
      </c>
      <c r="E30">
        <f>18/2*H30</f>
        <v>0.36270000000000002</v>
      </c>
      <c r="F30">
        <v>0.01</v>
      </c>
      <c r="G30">
        <v>0.87</v>
      </c>
      <c r="H30">
        <v>4.0300000000000002E-2</v>
      </c>
      <c r="I30">
        <v>0</v>
      </c>
      <c r="J30">
        <f>1-SUM(G30:I30)</f>
        <v>8.9700000000000002E-2</v>
      </c>
      <c r="L30">
        <v>0</v>
      </c>
      <c r="M30">
        <v>0</v>
      </c>
      <c r="N30">
        <v>1</v>
      </c>
      <c r="O30">
        <f>1-N30</f>
        <v>0</v>
      </c>
      <c r="Q30" t="s">
        <v>24</v>
      </c>
    </row>
    <row r="31" spans="1:17" x14ac:dyDescent="0.25">
      <c r="A31" t="s">
        <v>69</v>
      </c>
      <c r="B31">
        <v>1</v>
      </c>
      <c r="C31">
        <v>1</v>
      </c>
      <c r="D31" s="7">
        <f>4356/6225/3.6</f>
        <v>0.19437751004016066</v>
      </c>
      <c r="Q31" t="s">
        <v>77</v>
      </c>
    </row>
    <row r="32" spans="1:17" x14ac:dyDescent="0.25">
      <c r="A32" t="s">
        <v>67</v>
      </c>
      <c r="B32">
        <v>1</v>
      </c>
      <c r="C32">
        <v>1</v>
      </c>
      <c r="D32" s="7">
        <f>4849/9534/3.6</f>
        <v>0.14127799920751463</v>
      </c>
      <c r="Q32" t="s">
        <v>77</v>
      </c>
    </row>
    <row r="33" spans="1:17" x14ac:dyDescent="0.25">
      <c r="A33" t="s">
        <v>75</v>
      </c>
      <c r="B33">
        <v>1</v>
      </c>
      <c r="C33">
        <v>1</v>
      </c>
      <c r="D33" s="7">
        <f>4625/11187/3.6</f>
        <v>0.11484063843945849</v>
      </c>
      <c r="Q33" t="s">
        <v>77</v>
      </c>
    </row>
    <row r="34" spans="1:17" x14ac:dyDescent="0.25">
      <c r="A34" t="s">
        <v>70</v>
      </c>
      <c r="B34">
        <v>1</v>
      </c>
      <c r="C34">
        <v>1</v>
      </c>
      <c r="D34" s="7">
        <f>1077/4079/3.6</f>
        <v>7.334313965841302E-2</v>
      </c>
      <c r="Q34" t="s">
        <v>77</v>
      </c>
    </row>
    <row r="35" spans="1:17" x14ac:dyDescent="0.25">
      <c r="A35" t="s">
        <v>68</v>
      </c>
      <c r="B35">
        <v>1</v>
      </c>
      <c r="C35">
        <v>1</v>
      </c>
      <c r="D35" s="7">
        <f>575/33753.6</f>
        <v>1.7035219946909368E-2</v>
      </c>
      <c r="Q35" t="s">
        <v>77</v>
      </c>
    </row>
    <row r="36" spans="1:17" x14ac:dyDescent="0.25">
      <c r="A36" t="s">
        <v>76</v>
      </c>
      <c r="B36">
        <v>1</v>
      </c>
      <c r="C36">
        <v>1</v>
      </c>
      <c r="D36" s="7">
        <f>410/3515/3.6</f>
        <v>3.2400821874506082E-2</v>
      </c>
      <c r="Q36" t="s">
        <v>77</v>
      </c>
    </row>
    <row r="37" spans="1:17" x14ac:dyDescent="0.25">
      <c r="A37" t="s">
        <v>71</v>
      </c>
      <c r="B37">
        <v>1</v>
      </c>
      <c r="C37">
        <v>1</v>
      </c>
      <c r="D37">
        <f>1071/1478/3.6</f>
        <v>0.20128552097428956</v>
      </c>
      <c r="Q37" t="s">
        <v>77</v>
      </c>
    </row>
    <row r="38" spans="1:17" x14ac:dyDescent="0.25">
      <c r="A38" t="s">
        <v>72</v>
      </c>
      <c r="B38">
        <v>1</v>
      </c>
      <c r="C38">
        <v>1</v>
      </c>
      <c r="D38">
        <f>553/1052/3.6</f>
        <v>0.14601816645542881</v>
      </c>
      <c r="Q38" t="s">
        <v>77</v>
      </c>
    </row>
    <row r="39" spans="1:17" x14ac:dyDescent="0.25">
      <c r="A39" t="s">
        <v>73</v>
      </c>
      <c r="B39">
        <v>1</v>
      </c>
      <c r="C39">
        <v>1</v>
      </c>
      <c r="D39">
        <f>754/1076/3.6</f>
        <v>0.1946509706732755</v>
      </c>
      <c r="Q39" t="s">
        <v>77</v>
      </c>
    </row>
    <row r="40" spans="1:17" x14ac:dyDescent="0.25">
      <c r="A40" t="s">
        <v>74</v>
      </c>
      <c r="B40">
        <v>1</v>
      </c>
      <c r="C40">
        <v>1</v>
      </c>
      <c r="D40">
        <f>1877/4300/3.6</f>
        <v>0.1212532299741602</v>
      </c>
      <c r="Q40" t="s">
        <v>77</v>
      </c>
    </row>
    <row r="41" spans="1:17" x14ac:dyDescent="0.25">
      <c r="A41" t="s">
        <v>65</v>
      </c>
      <c r="B41">
        <v>1</v>
      </c>
      <c r="C41">
        <v>1</v>
      </c>
      <c r="D41">
        <f>(2.9/127.8)*(44/12)</f>
        <v>8.3202921231090243E-2</v>
      </c>
      <c r="K41" s="5">
        <v>0.1</v>
      </c>
      <c r="M41">
        <v>0</v>
      </c>
      <c r="N41">
        <v>1</v>
      </c>
      <c r="O41">
        <f>1-N41</f>
        <v>0</v>
      </c>
    </row>
    <row r="42" spans="1:17" x14ac:dyDescent="0.25">
      <c r="A42" t="s">
        <v>36</v>
      </c>
      <c r="B42">
        <v>1</v>
      </c>
      <c r="C42">
        <v>1</v>
      </c>
      <c r="D42">
        <v>0.11</v>
      </c>
      <c r="E42">
        <v>0</v>
      </c>
      <c r="L42">
        <v>0</v>
      </c>
      <c r="M42">
        <v>0</v>
      </c>
      <c r="N42">
        <v>1</v>
      </c>
      <c r="O42">
        <f>1-N42</f>
        <v>0</v>
      </c>
      <c r="Q42" t="s">
        <v>16</v>
      </c>
    </row>
    <row r="43" spans="1:17" x14ac:dyDescent="0.25">
      <c r="A43" t="s">
        <v>38</v>
      </c>
      <c r="B43">
        <v>1</v>
      </c>
      <c r="C43">
        <v>1</v>
      </c>
      <c r="D43">
        <v>5.5E-2</v>
      </c>
      <c r="E43">
        <v>0</v>
      </c>
      <c r="L43">
        <v>0</v>
      </c>
      <c r="M43">
        <v>0</v>
      </c>
      <c r="N43">
        <v>1</v>
      </c>
      <c r="O43">
        <f>1-N43</f>
        <v>0</v>
      </c>
      <c r="Q43" t="s">
        <v>16</v>
      </c>
    </row>
    <row r="44" spans="1:17" x14ac:dyDescent="0.25">
      <c r="A44" t="s">
        <v>37</v>
      </c>
      <c r="B44">
        <v>1</v>
      </c>
      <c r="C44">
        <v>1</v>
      </c>
      <c r="D44">
        <v>0</v>
      </c>
      <c r="E44">
        <v>0</v>
      </c>
      <c r="L44">
        <v>0</v>
      </c>
      <c r="M44">
        <v>0</v>
      </c>
      <c r="N44">
        <v>1</v>
      </c>
      <c r="O44">
        <f>1-N44</f>
        <v>0</v>
      </c>
      <c r="Q44" t="s">
        <v>16</v>
      </c>
    </row>
    <row r="45" spans="1:17" x14ac:dyDescent="0.25">
      <c r="A45" t="s">
        <v>80</v>
      </c>
      <c r="B45">
        <v>15.7</v>
      </c>
      <c r="C45" s="5">
        <v>14.4</v>
      </c>
      <c r="D45">
        <f>G45*(44/12)</f>
        <v>1.4923333333333331</v>
      </c>
      <c r="F45">
        <v>9.4E-2</v>
      </c>
      <c r="G45">
        <v>0.40699999999999997</v>
      </c>
      <c r="H45">
        <v>0.06</v>
      </c>
      <c r="I45">
        <v>0.02</v>
      </c>
      <c r="J45">
        <v>0.105</v>
      </c>
      <c r="K45" s="5">
        <v>0.1</v>
      </c>
      <c r="L45" s="5">
        <v>1</v>
      </c>
      <c r="M45" s="8">
        <f>(44/12)*G45</f>
        <v>1.4923333333333331</v>
      </c>
      <c r="N45" s="8">
        <v>0</v>
      </c>
      <c r="O45">
        <v>1</v>
      </c>
      <c r="Q45" s="9" t="s">
        <v>79</v>
      </c>
    </row>
    <row r="46" spans="1:17" x14ac:dyDescent="0.25">
      <c r="A46" t="s">
        <v>12</v>
      </c>
      <c r="B46">
        <v>2.77</v>
      </c>
      <c r="C46">
        <v>2.77</v>
      </c>
      <c r="D46">
        <v>0</v>
      </c>
      <c r="E46">
        <v>1</v>
      </c>
      <c r="L46">
        <v>0</v>
      </c>
      <c r="M46">
        <v>0</v>
      </c>
      <c r="N46">
        <v>1</v>
      </c>
      <c r="O46">
        <f>1-N46</f>
        <v>0</v>
      </c>
    </row>
    <row r="47" spans="1:17" x14ac:dyDescent="0.25">
      <c r="A47" t="s">
        <v>81</v>
      </c>
      <c r="B47">
        <v>27.27</v>
      </c>
      <c r="C47" s="5">
        <v>27.27</v>
      </c>
      <c r="D47">
        <f>G47*(44/12)</f>
        <v>2.2843333333333331</v>
      </c>
      <c r="F47">
        <v>2.4E-2</v>
      </c>
      <c r="G47">
        <v>0.623</v>
      </c>
      <c r="H47">
        <v>3.7999999999999999E-2</v>
      </c>
      <c r="I47">
        <v>0</v>
      </c>
      <c r="J47">
        <v>0.2311</v>
      </c>
      <c r="K47" s="5">
        <v>0.4</v>
      </c>
      <c r="L47" s="5">
        <v>4</v>
      </c>
      <c r="M47" s="8">
        <v>1</v>
      </c>
      <c r="N47" s="8">
        <v>0</v>
      </c>
      <c r="O47">
        <v>1</v>
      </c>
      <c r="Q47" s="9" t="s">
        <v>78</v>
      </c>
    </row>
    <row r="48" spans="1:17" x14ac:dyDescent="0.25">
      <c r="A48" t="s">
        <v>50</v>
      </c>
      <c r="K48" s="5">
        <v>0.1</v>
      </c>
      <c r="M48">
        <v>0</v>
      </c>
      <c r="N48">
        <v>1</v>
      </c>
      <c r="O48">
        <f>1-N48</f>
        <v>0</v>
      </c>
    </row>
    <row r="49" spans="1:15" x14ac:dyDescent="0.25">
      <c r="A49" t="s">
        <v>10</v>
      </c>
      <c r="B49">
        <v>16.2</v>
      </c>
      <c r="C49">
        <v>15.4</v>
      </c>
      <c r="D49">
        <v>1.8</v>
      </c>
      <c r="E49">
        <v>0</v>
      </c>
      <c r="K49" s="5">
        <v>0.1</v>
      </c>
      <c r="L49" s="5">
        <v>2</v>
      </c>
      <c r="M49" s="8">
        <v>1.25</v>
      </c>
      <c r="N49" s="8">
        <v>0</v>
      </c>
      <c r="O49">
        <f>1-N49</f>
        <v>1</v>
      </c>
    </row>
  </sheetData>
  <sortState ref="A2:Q47">
    <sortCondition ref="A1"/>
  </sortState>
  <hyperlinks>
    <hyperlink ref="Q47" r:id="rId1"/>
    <hyperlink ref="Q45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2019-05-21T15:04:22Z</dcterms:modified>
</cp:coreProperties>
</file>