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B7565D12-6FDD-EB4E-BDC7-9429F40E2606}" xr6:coauthVersionLast="45" xr6:coauthVersionMax="45" xr10:uidLastSave="{00000000-0000-0000-0000-000000000000}"/>
  <bookViews>
    <workbookView xWindow="0" yWindow="460" windowWidth="28800" windowHeight="17540" tabRatio="598" firstSheet="2" activeTab="2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2" l="1"/>
  <c r="L7" i="22"/>
  <c r="L10" i="22"/>
  <c r="M10" i="22"/>
  <c r="N10" i="22"/>
  <c r="O10" i="22"/>
  <c r="K25" i="22"/>
  <c r="H25" i="22"/>
  <c r="G25" i="22"/>
  <c r="E25" i="22"/>
  <c r="C25" i="22"/>
  <c r="B25" i="22"/>
  <c r="K24" i="22"/>
  <c r="H24" i="22"/>
  <c r="G24" i="22"/>
  <c r="E24" i="22"/>
  <c r="C24" i="22"/>
  <c r="B24" i="22"/>
  <c r="K23" i="22"/>
  <c r="H23" i="22"/>
  <c r="G23" i="22"/>
  <c r="E23" i="22"/>
  <c r="C23" i="22"/>
  <c r="B23" i="22"/>
  <c r="K22" i="22"/>
  <c r="H22" i="22"/>
  <c r="G22" i="22"/>
  <c r="E22" i="22"/>
  <c r="C22" i="22"/>
  <c r="B22" i="22"/>
  <c r="K21" i="22"/>
  <c r="H21" i="22"/>
  <c r="G21" i="22"/>
  <c r="E21" i="22"/>
  <c r="C21" i="22"/>
  <c r="B21" i="22"/>
  <c r="K20" i="22"/>
  <c r="H20" i="22"/>
  <c r="G20" i="22"/>
  <c r="E20" i="22"/>
  <c r="C20" i="22"/>
  <c r="B20" i="22"/>
  <c r="H11" i="15" l="1"/>
  <c r="D11" i="15"/>
  <c r="F14" i="12" l="1"/>
  <c r="E14" i="12"/>
  <c r="D11" i="12" l="1"/>
  <c r="D17" i="12"/>
  <c r="B19" i="24" l="1"/>
  <c r="B18" i="24"/>
  <c r="B16" i="24"/>
  <c r="B15" i="24"/>
  <c r="B13" i="24"/>
  <c r="B12" i="24"/>
  <c r="B10" i="24"/>
  <c r="B9" i="24"/>
  <c r="B7" i="24"/>
  <c r="B6" i="24"/>
  <c r="F17" i="23" l="1"/>
  <c r="F18" i="23" s="1"/>
  <c r="E17" i="23"/>
  <c r="E19" i="23" s="1"/>
  <c r="F14" i="23"/>
  <c r="F16" i="23" s="1"/>
  <c r="E14" i="23"/>
  <c r="E16" i="23" s="1"/>
  <c r="F11" i="23"/>
  <c r="E11" i="23"/>
  <c r="E13" i="23" s="1"/>
  <c r="F8" i="23"/>
  <c r="F9" i="23" s="1"/>
  <c r="E8" i="23"/>
  <c r="E10" i="23" s="1"/>
  <c r="F19" i="23"/>
  <c r="C19" i="23"/>
  <c r="B19" i="23"/>
  <c r="C18" i="23"/>
  <c r="B18" i="23"/>
  <c r="C16" i="23"/>
  <c r="B16" i="23"/>
  <c r="C15" i="23"/>
  <c r="B15" i="23"/>
  <c r="F15" i="23"/>
  <c r="F13" i="23"/>
  <c r="C13" i="23"/>
  <c r="B13" i="23"/>
  <c r="F12" i="23"/>
  <c r="C12" i="23"/>
  <c r="B12" i="23"/>
  <c r="C10" i="23"/>
  <c r="B10" i="23"/>
  <c r="C9" i="23"/>
  <c r="B9" i="23"/>
  <c r="C7" i="23"/>
  <c r="B7" i="23"/>
  <c r="C6" i="23"/>
  <c r="B6" i="23"/>
  <c r="F5" i="23"/>
  <c r="F7" i="23" s="1"/>
  <c r="E5" i="23"/>
  <c r="E6" i="23" s="1"/>
  <c r="F10" i="23" l="1"/>
  <c r="E18" i="23"/>
  <c r="E12" i="23"/>
  <c r="F6" i="23"/>
  <c r="E7" i="23"/>
  <c r="E9" i="23"/>
  <c r="E15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H19" i="22"/>
  <c r="G19" i="22"/>
  <c r="E19" i="22"/>
  <c r="C19" i="22"/>
  <c r="B19" i="22"/>
  <c r="K18" i="22"/>
  <c r="H18" i="22"/>
  <c r="G18" i="22"/>
  <c r="E18" i="22"/>
  <c r="C18" i="22"/>
  <c r="B18" i="22"/>
  <c r="K17" i="22"/>
  <c r="H17" i="22"/>
  <c r="G17" i="22"/>
  <c r="E17" i="22"/>
  <c r="C17" i="22"/>
  <c r="B17" i="22"/>
  <c r="K16" i="22"/>
  <c r="H16" i="22"/>
  <c r="G16" i="22"/>
  <c r="E16" i="22"/>
  <c r="C16" i="22"/>
  <c r="B16" i="22"/>
  <c r="K15" i="22"/>
  <c r="H15" i="22"/>
  <c r="G15" i="22"/>
  <c r="E15" i="22"/>
  <c r="C15" i="22"/>
  <c r="B15" i="22"/>
  <c r="K14" i="22"/>
  <c r="H14" i="22"/>
  <c r="G14" i="22"/>
  <c r="E14" i="22"/>
  <c r="C14" i="22"/>
  <c r="B14" i="22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K10" i="22"/>
  <c r="J10" i="22"/>
  <c r="G10" i="22"/>
  <c r="E10" i="22"/>
  <c r="D4" i="22"/>
  <c r="F8" i="22"/>
  <c r="F9" i="22"/>
  <c r="F25" i="22" l="1"/>
  <c r="F20" i="22"/>
  <c r="F24" i="22"/>
  <c r="F23" i="22"/>
  <c r="F22" i="22"/>
  <c r="F21" i="22"/>
  <c r="F19" i="22"/>
  <c r="F15" i="22"/>
  <c r="F18" i="22"/>
  <c r="F14" i="22"/>
  <c r="F17" i="22"/>
  <c r="F16" i="22"/>
  <c r="F13" i="22"/>
  <c r="F12" i="22"/>
  <c r="F11" i="22"/>
  <c r="J9" i="22"/>
  <c r="D9" i="22"/>
  <c r="J8" i="22"/>
  <c r="D8" i="22"/>
  <c r="C5" i="22"/>
  <c r="C10" i="22" s="1"/>
  <c r="J20" i="22" l="1"/>
  <c r="J25" i="22"/>
  <c r="J21" i="22"/>
  <c r="J24" i="22"/>
  <c r="J23" i="22"/>
  <c r="J22" i="22"/>
  <c r="D23" i="22"/>
  <c r="D22" i="22"/>
  <c r="D25" i="22"/>
  <c r="D21" i="22"/>
  <c r="D24" i="22"/>
  <c r="D20" i="22"/>
  <c r="J16" i="22"/>
  <c r="J19" i="22"/>
  <c r="J15" i="22"/>
  <c r="J18" i="22"/>
  <c r="J14" i="22"/>
  <c r="J17" i="22"/>
  <c r="D17" i="22"/>
  <c r="D19" i="22"/>
  <c r="D15" i="22"/>
  <c r="D14" i="22"/>
  <c r="D16" i="22"/>
  <c r="D18" i="22"/>
  <c r="J13" i="22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10" i="18" s="1"/>
  <c r="D6" i="18"/>
  <c r="D7" i="18" s="1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C13" i="15"/>
  <c r="N12" i="15"/>
  <c r="S12" i="15"/>
  <c r="J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8" i="3" l="1"/>
  <c r="D14" i="12"/>
  <c r="C5" i="24"/>
  <c r="C17" i="24"/>
  <c r="C8" i="24"/>
  <c r="C11" i="24"/>
  <c r="C14" i="24"/>
  <c r="D8" i="23"/>
  <c r="D14" i="23"/>
  <c r="D17" i="23"/>
  <c r="D11" i="23"/>
  <c r="D5" i="23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G11" i="15" s="1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G12" i="15" l="1"/>
  <c r="G13" i="15"/>
  <c r="D6" i="23"/>
  <c r="D7" i="23"/>
  <c r="D10" i="23"/>
  <c r="D9" i="23"/>
  <c r="C19" i="24"/>
  <c r="C18" i="24"/>
  <c r="D13" i="23"/>
  <c r="D12" i="23"/>
  <c r="C15" i="24"/>
  <c r="C16" i="24"/>
  <c r="C7" i="24"/>
  <c r="C6" i="24"/>
  <c r="D19" i="23"/>
  <c r="D18" i="23"/>
  <c r="C13" i="24"/>
  <c r="C12" i="24"/>
  <c r="D15" i="23"/>
  <c r="D16" i="23"/>
  <c r="C9" i="24"/>
  <c r="C10" i="24"/>
  <c r="C10" i="16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<sst xmlns="http://schemas.openxmlformats.org/spreadsheetml/2006/main" count="723" uniqueCount="214">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</sst>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165" fontId="14" fillId="0" borderId="0" xfId="0" applyNumberFormat="1" applyFont="1" applyFill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24.83203125" customWidth="1"/>
    <col min="2" max="2" width="19.33203125" customWidth="1"/>
    <col min="3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171</v>
      </c>
      <c r="N1" t="s">
        <v>173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174</v>
      </c>
      <c r="L2" s="3" t="s">
        <v>178</v>
      </c>
      <c r="M2" s="3" t="s">
        <v>172</v>
      </c>
      <c r="N2" s="3" t="s">
        <v>172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3" t="s">
        <v>213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176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3" t="s">
        <v>213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0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177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3" t="s">
        <v>213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0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175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" t="s">
        <v>213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2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3" t="s">
        <v>213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0">
        <f>J8*0.0015</f>
        <v>1.8600000000000001E-3</v>
      </c>
      <c r="M8" s="131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8">
        <v>0.5</v>
      </c>
      <c r="E9" t="str">
        <f t="shared" si="1"/>
        <v>charcoal - IPCC</v>
      </c>
      <c r="F9">
        <f t="shared" si="1"/>
        <v>1.52</v>
      </c>
      <c r="G9" t="str">
        <f t="shared" si="1"/>
        <v>dry wood chips (EU no swiss)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1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dry wood chips (EU no swiss)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2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3" t="s">
        <v>213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0">
        <f>J11*0.0015</f>
        <v>1.8600000000000001E-3</v>
      </c>
      <c r="M11" s="131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8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dry wood chips (EU no swiss)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1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dry wood chips (EU no swiss)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2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5" t="s">
        <v>9</v>
      </c>
      <c r="D1" s="42" t="s">
        <v>106</v>
      </c>
      <c r="E1" t="s">
        <v>89</v>
      </c>
      <c r="F1" t="s">
        <v>206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6">
        <f>(2.1+2.1+2.6)*Ref!$C$12</f>
        <v>9.7078540198090469E-3</v>
      </c>
      <c r="C5" s="57">
        <f>(10.3+25+105.3)*Ref!B$18</f>
        <v>0.50615999999999994</v>
      </c>
      <c r="D5" s="112">
        <v>5.0000000000000001E-3</v>
      </c>
      <c r="E5">
        <f>1-(1000/1080)</f>
        <v>7.407407407407407E-2</v>
      </c>
      <c r="F5" t="s">
        <v>207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6">
        <f>(2.1+2.1+2.6)*Ref!$C$12</f>
        <v>9.7078540198090469E-3</v>
      </c>
      <c r="C8" s="57">
        <f>(10.3+25+105.3)*Ref!B$18</f>
        <v>0.50615999999999994</v>
      </c>
      <c r="D8" s="112">
        <v>5.0000000000000001E-3</v>
      </c>
      <c r="E8">
        <f>1-(1000/1080)</f>
        <v>7.407407407407407E-2</v>
      </c>
      <c r="F8" t="s">
        <v>207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6">
        <f>(2.1+2.1+2.6)*Ref!$C$12</f>
        <v>9.7078540198090469E-3</v>
      </c>
      <c r="C11" s="57">
        <f>(10.3+25+105.3)*Ref!B$18</f>
        <v>0.50615999999999994</v>
      </c>
      <c r="D11" s="112">
        <v>5.0000000000000001E-3</v>
      </c>
      <c r="E11">
        <f>1-(1000/1080)</f>
        <v>7.407407407407407E-2</v>
      </c>
      <c r="F11" t="s">
        <v>207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6">
        <f>(2.1+2.1+2.6)*Ref!$C$12</f>
        <v>9.7078540198090469E-3</v>
      </c>
      <c r="C14" s="57">
        <f>(10.3+25+105.3)*Ref!B$18</f>
        <v>0.50615999999999994</v>
      </c>
      <c r="D14" s="112">
        <v>5.0000000000000001E-3</v>
      </c>
      <c r="E14">
        <f>1-(1000/1080)</f>
        <v>7.407407407407407E-2</v>
      </c>
      <c r="F14" t="s">
        <v>207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6">
        <f>(2.1+2.1+2.6)*Ref!$C$12</f>
        <v>9.7078540198090469E-3</v>
      </c>
      <c r="C17" s="57">
        <f>(10.3+25+105.3)*Ref!B$18</f>
        <v>0.50615999999999994</v>
      </c>
      <c r="D17" s="112">
        <v>5.0000000000000001E-3</v>
      </c>
      <c r="E17">
        <f>1-(1000/1080)</f>
        <v>7.407407407407407E-2</v>
      </c>
      <c r="F17" t="s">
        <v>207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2" workbookViewId="0">
      <selection activeCell="G38" sqref="G38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5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6">
        <v>0.9</v>
      </c>
      <c r="C4" s="57">
        <f>0.55*Ref!B$18/Ref!$C$12</f>
        <v>1.3869182594347289</v>
      </c>
    </row>
    <row r="5" spans="1:4" x14ac:dyDescent="0.2">
      <c r="A5" s="21" t="s">
        <v>176</v>
      </c>
      <c r="B5" s="96">
        <f>B4</f>
        <v>0.9</v>
      </c>
      <c r="C5" s="57">
        <f>C4</f>
        <v>1.3869182594347289</v>
      </c>
    </row>
    <row r="6" spans="1:4" x14ac:dyDescent="0.2">
      <c r="A6" s="21" t="s">
        <v>177</v>
      </c>
      <c r="B6" s="96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175</v>
      </c>
      <c r="B7" s="68">
        <f>B4</f>
        <v>0.9</v>
      </c>
      <c r="C7" s="119">
        <f>C4</f>
        <v>1.3869182594347289</v>
      </c>
    </row>
    <row r="8" spans="1:4" s="42" customFormat="1" ht="16" x14ac:dyDescent="0.2">
      <c r="A8" s="33" t="s">
        <v>150</v>
      </c>
      <c r="B8" s="96">
        <v>0.9</v>
      </c>
      <c r="C8" s="57">
        <f>0.55*Ref!B$18/Ref!$C$12</f>
        <v>1.3869182594347289</v>
      </c>
      <c r="D8" s="97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6">
        <v>0.9</v>
      </c>
      <c r="C11" s="96">
        <f>(0.55*Ref!B18/Ref!C12*(38/158.3))+(0.47*Ref!B18/Ref!C12*(120.3/158.3))</f>
        <v>1.2336109450282529</v>
      </c>
      <c r="D11" s="97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6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G13" sqref="G13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7.6640625" style="20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8" t="s">
        <v>56</v>
      </c>
      <c r="C1" s="98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8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">
      <c r="A5" s="21" t="s">
        <v>176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177</v>
      </c>
      <c r="B6" s="54">
        <f>B4</f>
        <v>0.56599999999999995</v>
      </c>
      <c r="C6" s="129">
        <v>0</v>
      </c>
      <c r="D6" s="54" t="str">
        <f>D4</f>
        <v>natural gas - IPCC</v>
      </c>
    </row>
    <row r="7" spans="1:10" s="45" customFormat="1" ht="16" thickBot="1" x14ac:dyDescent="0.25">
      <c r="A7" s="30" t="s">
        <v>175</v>
      </c>
      <c r="B7" s="45">
        <f>B4</f>
        <v>0.56599999999999995</v>
      </c>
      <c r="C7" s="46">
        <v>0</v>
      </c>
      <c r="D7" s="111" t="str">
        <f>D4</f>
        <v>natural gas - IPCC</v>
      </c>
    </row>
    <row r="8" spans="1:10" s="42" customFormat="1" ht="16" x14ac:dyDescent="0.2">
      <c r="A8" s="33" t="s">
        <v>150</v>
      </c>
      <c r="B8" s="81">
        <v>0.56599999999999995</v>
      </c>
      <c r="C8" s="140">
        <v>0</v>
      </c>
      <c r="D8" s="81" t="s">
        <v>95</v>
      </c>
    </row>
    <row r="9" spans="1:10" s="21" customFormat="1" ht="16" x14ac:dyDescent="0.2">
      <c r="A9" s="25" t="s">
        <v>151</v>
      </c>
      <c r="B9" s="81">
        <v>0.56599999999999995</v>
      </c>
      <c r="C9" s="141">
        <f t="shared" ref="C9" si="0">C$8</f>
        <v>0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2">
        <v>0.56599999999999995</v>
      </c>
      <c r="C10" s="142">
        <f t="shared" ref="C10:D10" si="1">C$8</f>
        <v>0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1">
        <v>0.56599999999999995</v>
      </c>
      <c r="C11" s="140">
        <v>0</v>
      </c>
      <c r="D11" s="81" t="s">
        <v>95</v>
      </c>
      <c r="E11" s="81"/>
      <c r="F11" s="81"/>
      <c r="G11" s="81"/>
      <c r="H11" s="81"/>
      <c r="I11" s="81"/>
      <c r="J11" s="81"/>
    </row>
    <row r="12" spans="1:10" s="42" customFormat="1" ht="16" x14ac:dyDescent="0.2">
      <c r="A12" s="60" t="s">
        <v>152</v>
      </c>
      <c r="B12" s="20">
        <f>B11</f>
        <v>0.56599999999999995</v>
      </c>
      <c r="C12" s="141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142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1">
        <v>0.56599999999999995</v>
      </c>
      <c r="C14" s="140">
        <v>0</v>
      </c>
      <c r="D14" s="81" t="s">
        <v>95</v>
      </c>
      <c r="E14" s="81"/>
      <c r="F14" s="81"/>
      <c r="G14" s="81"/>
      <c r="H14" s="81"/>
      <c r="I14" s="81"/>
      <c r="J14" s="81"/>
    </row>
    <row r="15" spans="1:10" s="21" customFormat="1" ht="16" x14ac:dyDescent="0.2">
      <c r="A15" s="53" t="s">
        <v>153</v>
      </c>
      <c r="B15" s="20">
        <f>B14</f>
        <v>0.56599999999999995</v>
      </c>
      <c r="C15" s="141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142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1">
        <v>0.56599999999999995</v>
      </c>
      <c r="C17" s="140">
        <v>0</v>
      </c>
      <c r="D17" s="81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141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142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1">
        <v>0.56599999999999995</v>
      </c>
      <c r="C20" s="140">
        <v>0</v>
      </c>
      <c r="D20" s="81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141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142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1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1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1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7.33203125" style="20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8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1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v>0</v>
      </c>
      <c r="D5" s="42" t="s">
        <v>95</v>
      </c>
      <c r="E5" s="42">
        <v>0</v>
      </c>
      <c r="F5" s="3" t="s">
        <v>213</v>
      </c>
      <c r="H5" s="89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</v>
      </c>
      <c r="D6" s="21" t="str">
        <f>D5</f>
        <v>natural gas - IPCC</v>
      </c>
      <c r="E6" s="51">
        <v>1</v>
      </c>
      <c r="F6" s="3" t="s">
        <v>213</v>
      </c>
      <c r="G6" s="21"/>
      <c r="H6" s="89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</v>
      </c>
      <c r="D7" s="21" t="str">
        <f>D6</f>
        <v>natural gas - IPCC</v>
      </c>
      <c r="E7" s="51">
        <v>1</v>
      </c>
      <c r="F7" s="3" t="s">
        <v>213</v>
      </c>
      <c r="H7" s="77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v>0</v>
      </c>
      <c r="D8" s="42" t="s">
        <v>95</v>
      </c>
      <c r="E8" s="42">
        <v>0</v>
      </c>
      <c r="F8" s="3" t="s">
        <v>213</v>
      </c>
      <c r="G8" s="42"/>
      <c r="H8" s="89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</v>
      </c>
      <c r="D9" s="21" t="str">
        <f>D8</f>
        <v>natural gas - IPCC</v>
      </c>
      <c r="E9" s="51">
        <v>1</v>
      </c>
      <c r="F9" s="3" t="s">
        <v>213</v>
      </c>
      <c r="G9" s="21"/>
      <c r="H9" s="89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</v>
      </c>
      <c r="D10" s="21" t="str">
        <f>D9</f>
        <v>natural gas - IPCC</v>
      </c>
      <c r="E10" s="51">
        <v>1</v>
      </c>
      <c r="F10" s="3" t="s">
        <v>213</v>
      </c>
      <c r="G10" s="38"/>
      <c r="H10" s="77">
        <f>H8</f>
        <v>1.9516585240421703E-2</v>
      </c>
      <c r="I10" s="45"/>
      <c r="J10" s="45"/>
    </row>
    <row r="11" spans="1:10" ht="16" x14ac:dyDescent="0.2">
      <c r="A11" s="62" t="s">
        <v>120</v>
      </c>
      <c r="B11" s="99">
        <v>0.9</v>
      </c>
      <c r="C11" s="132">
        <v>0</v>
      </c>
      <c r="D11" s="42" t="s">
        <v>95</v>
      </c>
      <c r="E11" s="42">
        <v>0</v>
      </c>
      <c r="F11" s="3" t="s">
        <v>213</v>
      </c>
      <c r="G11" s="42"/>
      <c r="H11" s="89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3" t="s">
        <v>213</v>
      </c>
      <c r="G12" s="27"/>
      <c r="H12" s="89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3" t="s">
        <v>213</v>
      </c>
      <c r="G13" s="38"/>
      <c r="H13" s="77">
        <f>H11</f>
        <v>1.9516585240421703E-2</v>
      </c>
      <c r="I13" s="45"/>
      <c r="J13" s="45"/>
    </row>
    <row r="14" spans="1:10" x14ac:dyDescent="0.2">
      <c r="A14" s="21" t="s">
        <v>141</v>
      </c>
      <c r="B14" s="99">
        <v>0.9</v>
      </c>
      <c r="C14" s="133">
        <v>0</v>
      </c>
      <c r="D14" s="42" t="s">
        <v>95</v>
      </c>
      <c r="E14" s="42">
        <v>0</v>
      </c>
      <c r="F14" s="3" t="s">
        <v>213</v>
      </c>
      <c r="G14" s="42"/>
      <c r="H14" s="89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3" t="s">
        <v>213</v>
      </c>
      <c r="G15" s="21"/>
      <c r="H15" s="89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3" t="s">
        <v>213</v>
      </c>
      <c r="G16" s="38"/>
      <c r="H16" s="77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99">
        <v>0.9</v>
      </c>
      <c r="C17" s="133">
        <v>0</v>
      </c>
      <c r="D17" s="42" t="s">
        <v>95</v>
      </c>
      <c r="E17" s="42">
        <v>0</v>
      </c>
      <c r="F17" s="3" t="s">
        <v>213</v>
      </c>
      <c r="H17" s="89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3" t="s">
        <v>213</v>
      </c>
      <c r="G18" s="21"/>
      <c r="H18" s="89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3" t="s">
        <v>213</v>
      </c>
      <c r="G19" s="38"/>
      <c r="H19" s="77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5"/>
    <col min="7" max="16384" width="8.83203125" style="21"/>
  </cols>
  <sheetData>
    <row r="1" spans="1:7" x14ac:dyDescent="0.2">
      <c r="A1" s="100" t="s">
        <v>77</v>
      </c>
      <c r="B1" s="100" t="s">
        <v>78</v>
      </c>
      <c r="C1" s="101" t="s">
        <v>79</v>
      </c>
      <c r="D1" s="101" t="s">
        <v>9</v>
      </c>
      <c r="E1" s="101" t="s">
        <v>80</v>
      </c>
      <c r="F1" s="101" t="s">
        <v>130</v>
      </c>
      <c r="G1" s="101" t="s">
        <v>81</v>
      </c>
    </row>
    <row r="2" spans="1:7" x14ac:dyDescent="0.2">
      <c r="A2" s="102" t="s">
        <v>72</v>
      </c>
      <c r="B2" s="103" t="s">
        <v>82</v>
      </c>
      <c r="C2" s="104" t="s">
        <v>83</v>
      </c>
      <c r="D2" s="104" t="s">
        <v>84</v>
      </c>
      <c r="E2" s="104" t="s">
        <v>85</v>
      </c>
      <c r="F2" s="114" t="s">
        <v>165</v>
      </c>
      <c r="G2" s="105"/>
    </row>
    <row r="3" spans="1:7" x14ac:dyDescent="0.2">
      <c r="A3" s="102" t="s">
        <v>2</v>
      </c>
      <c r="B3" s="103" t="s">
        <v>86</v>
      </c>
      <c r="C3" s="104" t="s">
        <v>87</v>
      </c>
      <c r="D3" s="105"/>
      <c r="E3" s="105"/>
      <c r="F3" s="114"/>
      <c r="G3" s="105"/>
    </row>
    <row r="4" spans="1:7" s="30" customFormat="1" ht="16" thickBot="1" x14ac:dyDescent="0.25">
      <c r="A4" s="108" t="s">
        <v>3</v>
      </c>
      <c r="B4" s="108">
        <v>1</v>
      </c>
      <c r="C4" s="109">
        <v>0.9</v>
      </c>
      <c r="D4" s="109">
        <v>1.05</v>
      </c>
      <c r="E4" s="109">
        <v>0</v>
      </c>
      <c r="F4" s="29"/>
      <c r="G4" s="110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4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4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5">
        <f>F5</f>
        <v>1E-3</v>
      </c>
    </row>
    <row r="8" spans="1:7" ht="16" x14ac:dyDescent="0.2">
      <c r="A8" s="79" t="s">
        <v>119</v>
      </c>
      <c r="B8" s="106">
        <v>1</v>
      </c>
      <c r="C8" s="106">
        <v>0.9</v>
      </c>
      <c r="D8" s="47">
        <v>0.62</v>
      </c>
      <c r="E8" s="106">
        <v>0</v>
      </c>
      <c r="F8" s="22">
        <f>0.001</f>
        <v>1E-3</v>
      </c>
      <c r="G8" s="107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4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5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3">
        <f>F11</f>
        <v>0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4" t="s">
        <v>211</v>
      </c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3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185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185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185</v>
      </c>
    </row>
    <row r="21" spans="1:7" s="42" customFormat="1" x14ac:dyDescent="0.2">
      <c r="A21" s="21"/>
      <c r="B21" s="21"/>
      <c r="C21" s="21"/>
      <c r="D21" s="21"/>
      <c r="E21" s="21"/>
      <c r="F21" s="95"/>
      <c r="G21" s="21"/>
    </row>
    <row r="25" spans="1:7" s="42" customFormat="1" x14ac:dyDescent="0.2">
      <c r="A25" s="21"/>
      <c r="B25" s="21"/>
      <c r="C25" s="21"/>
      <c r="D25" s="21"/>
      <c r="E25" s="21"/>
      <c r="F25" s="95"/>
      <c r="G25" s="21"/>
    </row>
    <row r="33" spans="1:7" s="107" customFormat="1" x14ac:dyDescent="0.2">
      <c r="A33" s="21"/>
      <c r="B33" s="21"/>
      <c r="C33" s="21"/>
      <c r="D33" s="21"/>
      <c r="E33" s="21"/>
      <c r="F33" s="95"/>
      <c r="G33" s="21"/>
    </row>
    <row r="37" spans="1:7" s="42" customFormat="1" x14ac:dyDescent="0.2">
      <c r="A37" s="21"/>
      <c r="B37" s="21"/>
      <c r="C37" s="21"/>
      <c r="D37" s="21"/>
      <c r="E37" s="21"/>
      <c r="F37" s="95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5"/>
    <col min="7" max="16384" width="8.83203125" style="21"/>
  </cols>
  <sheetData>
    <row r="1" spans="1:7" x14ac:dyDescent="0.2">
      <c r="A1" s="100" t="s">
        <v>77</v>
      </c>
      <c r="B1" s="100" t="s">
        <v>78</v>
      </c>
      <c r="C1" s="101" t="s">
        <v>79</v>
      </c>
      <c r="D1" s="101" t="s">
        <v>9</v>
      </c>
      <c r="E1" s="101" t="s">
        <v>80</v>
      </c>
      <c r="F1" s="101" t="s">
        <v>130</v>
      </c>
      <c r="G1" s="101" t="s">
        <v>81</v>
      </c>
    </row>
    <row r="2" spans="1:7" x14ac:dyDescent="0.2">
      <c r="A2" s="102" t="s">
        <v>72</v>
      </c>
      <c r="B2" s="103" t="s">
        <v>82</v>
      </c>
      <c r="C2" s="104" t="s">
        <v>83</v>
      </c>
      <c r="D2" s="104" t="s">
        <v>84</v>
      </c>
      <c r="E2" s="104" t="s">
        <v>85</v>
      </c>
      <c r="F2" s="114" t="s">
        <v>165</v>
      </c>
      <c r="G2" s="105"/>
    </row>
    <row r="3" spans="1:7" x14ac:dyDescent="0.2">
      <c r="A3" s="102" t="s">
        <v>2</v>
      </c>
      <c r="B3" s="103" t="s">
        <v>86</v>
      </c>
      <c r="C3" s="104" t="s">
        <v>87</v>
      </c>
      <c r="D3" s="105"/>
      <c r="E3" s="105"/>
      <c r="F3" s="114"/>
      <c r="G3" s="105"/>
    </row>
    <row r="4" spans="1:7" s="30" customFormat="1" ht="16" thickBot="1" x14ac:dyDescent="0.25">
      <c r="A4" s="108" t="s">
        <v>3</v>
      </c>
      <c r="B4" s="108">
        <v>1</v>
      </c>
      <c r="C4" s="109">
        <v>0.9</v>
      </c>
      <c r="D4" s="109">
        <v>1.05</v>
      </c>
      <c r="E4" s="109">
        <v>0</v>
      </c>
      <c r="F4" s="29"/>
      <c r="G4" s="110"/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4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4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5">
        <f>F5</f>
        <v>1E-3</v>
      </c>
    </row>
    <row r="8" spans="1:7" ht="16" x14ac:dyDescent="0.2">
      <c r="A8" s="79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7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4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5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3">
        <f>F11</f>
        <v>1E-3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4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3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">
      <c r="A21" s="21"/>
      <c r="B21" s="21"/>
      <c r="C21" s="21"/>
      <c r="D21" s="21"/>
      <c r="E21" s="21"/>
      <c r="F21" s="95"/>
      <c r="G21" s="21"/>
    </row>
    <row r="25" spans="1:7" s="42" customFormat="1" x14ac:dyDescent="0.2">
      <c r="A25" s="21"/>
      <c r="B25" s="21"/>
      <c r="C25" s="21"/>
      <c r="D25" s="21"/>
      <c r="E25" s="21"/>
      <c r="F25" s="95"/>
      <c r="G25" s="21"/>
    </row>
    <row r="33" spans="1:7" s="107" customFormat="1" x14ac:dyDescent="0.2">
      <c r="A33" s="21"/>
      <c r="B33" s="21"/>
      <c r="C33" s="21"/>
      <c r="D33" s="21"/>
      <c r="E33" s="21"/>
      <c r="F33" s="95"/>
      <c r="G33" s="21"/>
    </row>
    <row r="37" spans="1:7" s="42" customFormat="1" x14ac:dyDescent="0.2">
      <c r="A37" s="21"/>
      <c r="B37" s="21"/>
      <c r="C37" s="21"/>
      <c r="D37" s="21"/>
      <c r="E37" s="21"/>
      <c r="F37" s="95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9"/>
  <sheetViews>
    <sheetView topLeftCell="A2" zoomScaleNormal="100" workbookViewId="0">
      <selection activeCell="B7" sqref="B7"/>
    </sheetView>
  </sheetViews>
  <sheetFormatPr baseColWidth="10" defaultColWidth="11.5" defaultRowHeight="15" x14ac:dyDescent="0.2"/>
  <sheetData>
    <row r="1" spans="1:3" x14ac:dyDescent="0.2">
      <c r="A1" s="100" t="s">
        <v>77</v>
      </c>
      <c r="B1" s="100" t="s">
        <v>209</v>
      </c>
      <c r="C1" s="101" t="s">
        <v>9</v>
      </c>
    </row>
    <row r="2" spans="1:3" x14ac:dyDescent="0.2">
      <c r="A2" s="102" t="s">
        <v>72</v>
      </c>
      <c r="B2" s="103" t="s">
        <v>210</v>
      </c>
      <c r="C2" s="104" t="s">
        <v>84</v>
      </c>
    </row>
    <row r="3" spans="1:3" x14ac:dyDescent="0.2">
      <c r="A3" s="102" t="s">
        <v>2</v>
      </c>
      <c r="B3" s="103" t="s">
        <v>86</v>
      </c>
      <c r="C3" s="105"/>
    </row>
    <row r="4" spans="1:3" ht="16" thickBot="1" x14ac:dyDescent="0.25">
      <c r="A4" s="108" t="s">
        <v>3</v>
      </c>
      <c r="B4" s="47">
        <v>0</v>
      </c>
      <c r="C4" s="109">
        <v>0.32</v>
      </c>
    </row>
    <row r="5" spans="1:3" ht="16" x14ac:dyDescent="0.2">
      <c r="A5" s="33" t="s">
        <v>150</v>
      </c>
      <c r="B5" s="47">
        <v>0</v>
      </c>
      <c r="C5" s="47">
        <f>90*Ref!$B$18</f>
        <v>0.32400000000000001</v>
      </c>
    </row>
    <row r="6" spans="1:3" ht="16" x14ac:dyDescent="0.2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7" thickBot="1" x14ac:dyDescent="0.25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ht="16" x14ac:dyDescent="0.2">
      <c r="A8" s="79" t="s">
        <v>119</v>
      </c>
      <c r="B8" s="47">
        <v>0</v>
      </c>
      <c r="C8" s="47">
        <f>90*Ref!$B$18</f>
        <v>0.32400000000000001</v>
      </c>
    </row>
    <row r="9" spans="1:3" ht="16" x14ac:dyDescent="0.2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7" thickBot="1" x14ac:dyDescent="0.25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ht="16" x14ac:dyDescent="0.2">
      <c r="A11" s="62" t="s">
        <v>120</v>
      </c>
      <c r="B11" s="47">
        <v>0</v>
      </c>
      <c r="C11" s="47">
        <f>90*Ref!$B$18</f>
        <v>0.32400000000000001</v>
      </c>
    </row>
    <row r="12" spans="1:3" ht="16" x14ac:dyDescent="0.2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7" thickBot="1" x14ac:dyDescent="0.25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">
      <c r="A14" s="21" t="s">
        <v>141</v>
      </c>
      <c r="B14" s="47">
        <v>0</v>
      </c>
      <c r="C14" s="47">
        <f>90*Ref!$B$18</f>
        <v>0.32400000000000001</v>
      </c>
    </row>
    <row r="15" spans="1:3" x14ac:dyDescent="0.2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6" thickBot="1" x14ac:dyDescent="0.25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">
      <c r="A17" s="21" t="s">
        <v>144</v>
      </c>
      <c r="B17" s="47">
        <v>0</v>
      </c>
      <c r="C17" s="47">
        <f>90*Ref!$B$18</f>
        <v>0.32400000000000001</v>
      </c>
    </row>
    <row r="18" spans="1:3" x14ac:dyDescent="0.2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6" thickBot="1" x14ac:dyDescent="0.25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5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0" t="s">
        <v>77</v>
      </c>
      <c r="B1" s="21" t="s">
        <v>89</v>
      </c>
      <c r="C1" s="21" t="s">
        <v>90</v>
      </c>
      <c r="D1" t="s">
        <v>179</v>
      </c>
      <c r="E1" s="21" t="s">
        <v>7</v>
      </c>
    </row>
    <row r="2" spans="1:5" x14ac:dyDescent="0.2">
      <c r="A2" s="102" t="s">
        <v>72</v>
      </c>
      <c r="B2" s="21" t="s">
        <v>91</v>
      </c>
      <c r="C2" s="21" t="s">
        <v>92</v>
      </c>
      <c r="E2" s="27" t="s">
        <v>184</v>
      </c>
    </row>
    <row r="3" spans="1:5" x14ac:dyDescent="0.2">
      <c r="A3" s="102" t="s">
        <v>2</v>
      </c>
    </row>
    <row r="4" spans="1:5" s="30" customFormat="1" ht="16" thickBot="1" x14ac:dyDescent="0.25">
      <c r="A4" s="108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"/>
  <sheetViews>
    <sheetView workbookViewId="0">
      <selection activeCell="S25" sqref="S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27</v>
      </c>
      <c r="B1" s="5"/>
      <c r="C1" s="5"/>
    </row>
    <row r="2" spans="1:8" x14ac:dyDescent="0.2">
      <c r="A2" s="4" t="s">
        <v>28</v>
      </c>
      <c r="B2" s="5"/>
      <c r="C2" s="5"/>
    </row>
    <row r="3" spans="1:8" x14ac:dyDescent="0.2">
      <c r="A3" s="6"/>
      <c r="B3" s="7" t="s">
        <v>29</v>
      </c>
      <c r="C3" s="8" t="s">
        <v>30</v>
      </c>
    </row>
    <row r="4" spans="1:8" x14ac:dyDescent="0.2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40</v>
      </c>
      <c r="B15" s="15"/>
      <c r="C15" s="15"/>
    </row>
    <row r="16" spans="1:8" x14ac:dyDescent="0.2">
      <c r="A16" s="20"/>
      <c r="B16" s="16" t="s">
        <v>41</v>
      </c>
      <c r="C16" s="16"/>
      <c r="H16" s="121"/>
    </row>
    <row r="17" spans="1:8" x14ac:dyDescent="0.2">
      <c r="A17" s="20" t="s">
        <v>42</v>
      </c>
      <c r="B17" s="23">
        <v>3.6</v>
      </c>
      <c r="C17" s="10"/>
    </row>
    <row r="18" spans="1:8" x14ac:dyDescent="0.2">
      <c r="A18" s="20" t="s">
        <v>43</v>
      </c>
      <c r="B18" s="48">
        <f>B17/1000</f>
        <v>3.5999999999999999E-3</v>
      </c>
      <c r="C18" s="10"/>
      <c r="D18" s="23"/>
      <c r="E18" s="121"/>
    </row>
    <row r="19" spans="1:8" x14ac:dyDescent="0.2">
      <c r="A19" s="20" t="s">
        <v>44</v>
      </c>
      <c r="B19" s="10">
        <f>1/0.022414</f>
        <v>44.614972784866602</v>
      </c>
      <c r="C19" s="10"/>
    </row>
    <row r="20" spans="1:8" x14ac:dyDescent="0.2">
      <c r="A20" s="19" t="s">
        <v>71</v>
      </c>
      <c r="B20" s="21">
        <f>1.163</f>
        <v>1.163</v>
      </c>
      <c r="E20" s="121"/>
    </row>
    <row r="21" spans="1:8" x14ac:dyDescent="0.2">
      <c r="A21" s="19" t="s">
        <v>73</v>
      </c>
      <c r="B21" s="22">
        <f>2000/2204.62</f>
        <v>0.90718581887127947</v>
      </c>
    </row>
    <row r="28" spans="1:8" x14ac:dyDescent="0.2">
      <c r="H28" t="s">
        <v>212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0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0" t="s">
        <v>98</v>
      </c>
      <c r="E1" s="80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0"/>
      <c r="E8" s="80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</v>
      </c>
      <c r="C11" s="57">
        <v>0</v>
      </c>
    </row>
    <row r="12" spans="1:6" ht="16" x14ac:dyDescent="0.2">
      <c r="A12" s="53" t="s">
        <v>153</v>
      </c>
      <c r="B12" s="21">
        <f>B11</f>
        <v>0</v>
      </c>
      <c r="C12" s="21">
        <f>C11</f>
        <v>0</v>
      </c>
    </row>
    <row r="13" spans="1:6" s="30" customFormat="1" ht="17" thickBot="1" x14ac:dyDescent="0.25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8" sqref="D38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0" customWidth="1"/>
    <col min="3" max="3" width="12.5" style="21" bestFit="1" customWidth="1"/>
    <col min="4" max="4" width="18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0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4" t="s">
        <v>158</v>
      </c>
      <c r="H2" s="21" t="s">
        <v>109</v>
      </c>
    </row>
    <row r="3" spans="1:9" x14ac:dyDescent="0.2">
      <c r="A3" s="55" t="s">
        <v>2</v>
      </c>
      <c r="B3" s="84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5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5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6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5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5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7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ht="16" x14ac:dyDescent="0.2">
      <c r="A11" s="53" t="s">
        <v>120</v>
      </c>
      <c r="B11" s="88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ht="16" x14ac:dyDescent="0.2">
      <c r="A12" s="53" t="s">
        <v>153</v>
      </c>
      <c r="B12" s="88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7" thickBot="1" x14ac:dyDescent="0.25">
      <c r="A13" s="63" t="s">
        <v>156</v>
      </c>
      <c r="B13" s="87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0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0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0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8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0" hidden="1" customWidth="1"/>
    <col min="18" max="18" width="0" style="80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3" t="s">
        <v>180</v>
      </c>
      <c r="F1" s="123" t="s">
        <v>182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0" t="s">
        <v>114</v>
      </c>
      <c r="R1" s="80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4" t="s">
        <v>181</v>
      </c>
      <c r="F2" s="124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4" t="s">
        <v>54</v>
      </c>
    </row>
    <row r="3" spans="1:20" x14ac:dyDescent="0.2">
      <c r="A3" s="55" t="s">
        <v>2</v>
      </c>
      <c r="B3" s="55"/>
      <c r="C3" s="55"/>
      <c r="D3" s="55"/>
      <c r="E3" s="124"/>
      <c r="F3" s="124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5"/>
      <c r="F4" s="125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3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6">
        <v>0</v>
      </c>
      <c r="F5" s="126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7">
        <v>0</v>
      </c>
      <c r="F6" s="126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89">
        <f>M$5</f>
        <v>0.152</v>
      </c>
      <c r="N6" s="26" t="s">
        <v>118</v>
      </c>
      <c r="O6" s="52">
        <v>1</v>
      </c>
      <c r="P6" s="26" t="s">
        <v>113</v>
      </c>
      <c r="Q6" s="80"/>
      <c r="R6" s="80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5">
        <v>0</v>
      </c>
      <c r="F7" s="125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7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6">
        <v>0</v>
      </c>
      <c r="F8" s="126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8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7">
        <v>0</v>
      </c>
      <c r="F9" s="126">
        <f t="shared" si="0"/>
        <v>0</v>
      </c>
      <c r="G9" s="56">
        <f t="shared" si="5"/>
        <v>0.12564</v>
      </c>
      <c r="H9" s="90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89">
        <f>M8</f>
        <v>0.152</v>
      </c>
      <c r="N9" s="26" t="s">
        <v>118</v>
      </c>
      <c r="O9" s="52">
        <v>1</v>
      </c>
      <c r="P9" s="26" t="s">
        <v>113</v>
      </c>
      <c r="Q9" s="80"/>
      <c r="R9" s="80"/>
      <c r="S9" s="78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5">
        <v>0</v>
      </c>
      <c r="F10" s="125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6">
        <v>8.9999999999999993E-3</v>
      </c>
      <c r="F11" s="126">
        <f t="shared" si="0"/>
        <v>4.2929999999999991E-3</v>
      </c>
      <c r="G11" s="143">
        <f>G5</f>
        <v>0.37331999999999999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1">
        <f>12*Ref!C5</f>
        <v>8.5888069956277322E-3</v>
      </c>
      <c r="R11" s="59" t="s">
        <v>95</v>
      </c>
      <c r="S11" s="74">
        <f t="shared" si="4"/>
        <v>15.738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6">
        <v>8.9999999999999993E-3</v>
      </c>
      <c r="F12" s="126">
        <f t="shared" si="0"/>
        <v>4.2929999999999991E-3</v>
      </c>
      <c r="G12" s="26">
        <f t="shared" si="6"/>
        <v>0.37331999999999999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0"/>
      <c r="R12" s="80"/>
      <c r="S12" s="65">
        <f t="shared" si="4"/>
        <v>15.738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6">
        <v>8.9999999999999993E-3</v>
      </c>
      <c r="F13" s="126">
        <f t="shared" si="0"/>
        <v>4.2929999999999991E-3</v>
      </c>
      <c r="G13" s="21">
        <f t="shared" si="7"/>
        <v>0.37331999999999999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0"/>
      <c r="R13" s="80"/>
      <c r="S13" s="65">
        <f t="shared" si="4"/>
        <v>15.738</v>
      </c>
      <c r="T13" s="21"/>
    </row>
    <row r="14" spans="1:20" x14ac:dyDescent="0.2">
      <c r="H14" s="21"/>
      <c r="S14" s="117"/>
    </row>
    <row r="17" spans="1:20" s="42" customFormat="1" x14ac:dyDescent="0.2">
      <c r="A17" s="21"/>
      <c r="B17" s="21"/>
      <c r="C17" s="21"/>
      <c r="D17" s="21"/>
      <c r="E17" s="128"/>
      <c r="F17" s="128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0"/>
      <c r="R17" s="80"/>
      <c r="S17" s="55"/>
      <c r="T17" s="21"/>
    </row>
    <row r="21" spans="1:20" s="42" customFormat="1" x14ac:dyDescent="0.2">
      <c r="A21" s="21"/>
      <c r="B21" s="21"/>
      <c r="C21" s="21"/>
      <c r="D21" s="21"/>
      <c r="E21" s="128"/>
      <c r="F21" s="128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0"/>
      <c r="R21" s="80"/>
      <c r="S21" s="55"/>
      <c r="T21" s="21"/>
    </row>
    <row r="25" spans="1:20" s="42" customFormat="1" x14ac:dyDescent="0.2">
      <c r="A25" s="21"/>
      <c r="B25" s="21"/>
      <c r="C25" s="21"/>
      <c r="D25" s="21"/>
      <c r="E25" s="128"/>
      <c r="F25" s="128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0"/>
      <c r="R25" s="80"/>
      <c r="S25" s="55"/>
      <c r="T25" s="21"/>
    </row>
    <row r="29" spans="1:20" s="27" customFormat="1" x14ac:dyDescent="0.2">
      <c r="E29" s="123"/>
      <c r="F29" s="123"/>
      <c r="Q29" s="115"/>
      <c r="R29" s="115"/>
      <c r="S29" s="64"/>
    </row>
    <row r="33" spans="1:20" s="26" customFormat="1" x14ac:dyDescent="0.2">
      <c r="A33" s="21"/>
      <c r="B33" s="21"/>
      <c r="C33" s="21"/>
      <c r="D33" s="21"/>
      <c r="E33" s="128"/>
      <c r="F33" s="128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0"/>
      <c r="R33" s="80"/>
      <c r="S33" s="55"/>
      <c r="T33" s="21"/>
    </row>
    <row r="34" spans="1:20" s="26" customFormat="1" x14ac:dyDescent="0.2">
      <c r="A34" s="21"/>
      <c r="B34" s="21"/>
      <c r="C34" s="21"/>
      <c r="D34" s="21"/>
      <c r="E34" s="128"/>
      <c r="F34" s="128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0"/>
      <c r="R34" s="80"/>
      <c r="S34" s="55"/>
      <c r="T34" s="21"/>
    </row>
    <row r="41" spans="1:20" s="42" customFormat="1" x14ac:dyDescent="0.2">
      <c r="A41" s="21"/>
      <c r="B41" s="21"/>
      <c r="C41" s="21"/>
      <c r="D41" s="21"/>
      <c r="E41" s="128"/>
      <c r="F41" s="128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0"/>
      <c r="R41" s="80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0" customWidth="1"/>
    <col min="4" max="4" width="14.1640625" style="21" bestFit="1" customWidth="1"/>
    <col min="5" max="5" width="14.83203125" style="80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0" t="s">
        <v>68</v>
      </c>
      <c r="D1" s="21" t="s">
        <v>20</v>
      </c>
      <c r="E1" s="80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4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4"/>
    </row>
    <row r="4" spans="1:13" s="30" customFormat="1" ht="16" thickBot="1" x14ac:dyDescent="0.25">
      <c r="A4" s="30" t="s">
        <v>3</v>
      </c>
      <c r="B4" s="94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1">
        <f>0.9008</f>
        <v>0.90080000000000005</v>
      </c>
      <c r="D5" s="57">
        <f>0.1169+0.0731</f>
        <v>0.19</v>
      </c>
      <c r="E5" s="92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3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1">
        <f>0.9008</f>
        <v>0.90080000000000005</v>
      </c>
      <c r="D8" s="57">
        <f>0.1169+0.0731</f>
        <v>0.19</v>
      </c>
      <c r="E8" s="92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3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1">
        <f>0.9008</f>
        <v>0.90080000000000005</v>
      </c>
      <c r="D11" s="57">
        <f>0.1169+0.0731</f>
        <v>0.19</v>
      </c>
      <c r="E11" s="92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0"/>
      <c r="D14" s="21"/>
      <c r="E14" s="80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0"/>
      <c r="D18" s="21"/>
      <c r="E18" s="80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0"/>
      <c r="D22" s="21"/>
      <c r="E22" s="80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0"/>
      <c r="D26" s="21"/>
      <c r="E26" s="80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0"/>
      <c r="D30" s="21"/>
      <c r="E30" s="80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0"/>
      <c r="D34" s="21"/>
      <c r="E34" s="80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0"/>
      <c r="D38" s="21"/>
      <c r="E38" s="80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zoomScaleNormal="100" workbookViewId="0">
      <selection activeCell="H32" sqref="H32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202</v>
      </c>
      <c r="G1" s="36" t="s">
        <v>199</v>
      </c>
      <c r="H1" s="36" t="s">
        <v>193</v>
      </c>
      <c r="I1" s="36" t="s">
        <v>200</v>
      </c>
      <c r="J1" t="s">
        <v>194</v>
      </c>
      <c r="K1" t="s">
        <v>7</v>
      </c>
      <c r="L1" s="36" t="s">
        <v>201</v>
      </c>
      <c r="M1" s="36" t="s">
        <v>171</v>
      </c>
      <c r="N1" s="36" t="s">
        <v>173</v>
      </c>
      <c r="O1" s="36" t="s">
        <v>191</v>
      </c>
      <c r="P1" t="s">
        <v>2</v>
      </c>
    </row>
    <row r="2" spans="1:16" s="2" customFormat="1" x14ac:dyDescent="0.2">
      <c r="A2" s="2" t="s">
        <v>1</v>
      </c>
      <c r="C2" s="2" t="s">
        <v>188</v>
      </c>
      <c r="D2" s="2" t="s">
        <v>186</v>
      </c>
      <c r="F2" s="2" t="s">
        <v>187</v>
      </c>
      <c r="G2" s="136" t="s">
        <v>187</v>
      </c>
      <c r="H2" s="136" t="s">
        <v>187</v>
      </c>
      <c r="I2" s="136" t="s">
        <v>187</v>
      </c>
      <c r="J2" s="2" t="s">
        <v>187</v>
      </c>
      <c r="K2" s="2" t="s">
        <v>174</v>
      </c>
      <c r="L2" s="2" t="s">
        <v>208</v>
      </c>
      <c r="M2" s="136" t="s">
        <v>172</v>
      </c>
      <c r="N2" s="136" t="s">
        <v>172</v>
      </c>
      <c r="O2" s="136" t="s">
        <v>192</v>
      </c>
    </row>
    <row r="3" spans="1:16" x14ac:dyDescent="0.2">
      <c r="A3" s="55" t="s">
        <v>2</v>
      </c>
    </row>
    <row r="4" spans="1:16" x14ac:dyDescent="0.2">
      <c r="A4" s="26" t="s">
        <v>189</v>
      </c>
      <c r="B4" t="s">
        <v>198</v>
      </c>
      <c r="C4">
        <v>0</v>
      </c>
      <c r="D4">
        <f>0.0102+0.10641+2.406035</f>
        <v>2.5226450000000002</v>
      </c>
      <c r="E4" t="s">
        <v>190</v>
      </c>
      <c r="F4" s="24">
        <f>G4+H4</f>
        <v>2.6949999999999998</v>
      </c>
      <c r="H4" s="36">
        <v>2.6949999999999998</v>
      </c>
      <c r="I4" s="137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197</v>
      </c>
      <c r="B5" t="s">
        <v>198</v>
      </c>
      <c r="C5">
        <f>13.1*28.6/1000</f>
        <v>0.37466000000000005</v>
      </c>
      <c r="D5">
        <f>3.7*1.31/1.4</f>
        <v>3.4621428571428576</v>
      </c>
      <c r="E5" t="s">
        <v>190</v>
      </c>
      <c r="F5" s="24">
        <f>G5+H5</f>
        <v>1.7271428571428573</v>
      </c>
      <c r="H5" s="137">
        <f>2.418/1.4</f>
        <v>1.7271428571428573</v>
      </c>
      <c r="I5" s="137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195</v>
      </c>
      <c r="B6" t="s">
        <v>198</v>
      </c>
      <c r="C6">
        <v>0</v>
      </c>
      <c r="D6">
        <f>3.7/1.3</f>
        <v>2.8461538461538463</v>
      </c>
      <c r="E6" t="s">
        <v>190</v>
      </c>
      <c r="F6" s="24">
        <f>G6+H6</f>
        <v>1.2030769230769232</v>
      </c>
      <c r="H6" s="137">
        <f>1.564/1.3</f>
        <v>1.2030769230769232</v>
      </c>
      <c r="I6" s="137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203</v>
      </c>
    </row>
    <row r="7" spans="1:16" x14ac:dyDescent="0.2">
      <c r="A7" s="26" t="s">
        <v>196</v>
      </c>
      <c r="B7" t="s">
        <v>198</v>
      </c>
      <c r="C7">
        <v>0</v>
      </c>
      <c r="D7">
        <f>3.7/1.3</f>
        <v>2.8461538461538463</v>
      </c>
      <c r="E7" t="s">
        <v>190</v>
      </c>
      <c r="F7" s="24">
        <f>G7+H7</f>
        <v>2.25</v>
      </c>
      <c r="H7" s="137">
        <f>2.925/1.3</f>
        <v>2.25</v>
      </c>
      <c r="I7" s="137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203</v>
      </c>
    </row>
    <row r="8" spans="1:16" x14ac:dyDescent="0.2">
      <c r="A8" s="138" t="s">
        <v>204</v>
      </c>
      <c r="B8" t="s">
        <v>198</v>
      </c>
      <c r="C8">
        <v>0</v>
      </c>
      <c r="D8">
        <f>1/0.364</f>
        <v>2.7472527472527473</v>
      </c>
      <c r="E8" t="s">
        <v>190</v>
      </c>
      <c r="F8" s="24">
        <f t="shared" ref="F8" si="0">G8+H8</f>
        <v>0.54300000000000004</v>
      </c>
      <c r="H8" s="139">
        <v>0.54300000000000004</v>
      </c>
      <c r="I8" s="137"/>
      <c r="J8" s="18">
        <f>0.0365*28</f>
        <v>1.022</v>
      </c>
      <c r="K8">
        <v>0</v>
      </c>
    </row>
    <row r="9" spans="1:16" x14ac:dyDescent="0.2">
      <c r="A9" s="138" t="s">
        <v>205</v>
      </c>
      <c r="B9" t="s">
        <v>198</v>
      </c>
      <c r="C9">
        <v>0</v>
      </c>
      <c r="D9">
        <f>1/0.341</f>
        <v>2.9325513196480935</v>
      </c>
      <c r="E9" t="s">
        <v>190</v>
      </c>
      <c r="F9" s="24">
        <f>G9+H9</f>
        <v>1.3819999999999999</v>
      </c>
      <c r="H9" s="139">
        <v>1.3819999999999999</v>
      </c>
      <c r="I9" s="137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198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25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25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7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  <row r="20" spans="1:15" x14ac:dyDescent="0.2">
      <c r="A20" t="s">
        <v>141</v>
      </c>
      <c r="B20" t="str">
        <f>B$9</f>
        <v>diesel</v>
      </c>
      <c r="C20">
        <f t="shared" si="2"/>
        <v>0</v>
      </c>
      <c r="D20">
        <f t="shared" si="2"/>
        <v>2.9325513196480935</v>
      </c>
      <c r="E20" t="str">
        <f t="shared" si="2"/>
        <v>dry cleft timber</v>
      </c>
      <c r="F20">
        <f t="shared" si="2"/>
        <v>1.3819999999999999</v>
      </c>
      <c r="G20" s="36">
        <f t="shared" si="2"/>
        <v>0</v>
      </c>
      <c r="H20" s="36">
        <f t="shared" si="2"/>
        <v>1.3819999999999999</v>
      </c>
      <c r="I20"/>
      <c r="J20">
        <f t="shared" si="2"/>
        <v>1.3160000000000001</v>
      </c>
      <c r="K20">
        <f t="shared" si="2"/>
        <v>0</v>
      </c>
    </row>
    <row r="21" spans="1:15" x14ac:dyDescent="0.2">
      <c r="A21" t="s">
        <v>142</v>
      </c>
      <c r="B21" t="str">
        <f t="shared" si="3"/>
        <v>diesel</v>
      </c>
      <c r="C21">
        <f t="shared" si="2"/>
        <v>0</v>
      </c>
      <c r="D21">
        <f t="shared" si="2"/>
        <v>2.9325513196480935</v>
      </c>
      <c r="E21" t="str">
        <f t="shared" si="2"/>
        <v>dry cleft timber</v>
      </c>
      <c r="F21">
        <f t="shared" si="2"/>
        <v>1.3819999999999999</v>
      </c>
      <c r="G21" s="36">
        <f t="shared" si="2"/>
        <v>0</v>
      </c>
      <c r="H21" s="36">
        <f t="shared" si="2"/>
        <v>1.3819999999999999</v>
      </c>
      <c r="I21"/>
      <c r="J21">
        <f t="shared" si="2"/>
        <v>1.3160000000000001</v>
      </c>
      <c r="K21">
        <f t="shared" si="2"/>
        <v>0</v>
      </c>
    </row>
    <row r="22" spans="1:15" ht="16" thickBot="1" x14ac:dyDescent="0.25">
      <c r="A22" s="30" t="s">
        <v>143</v>
      </c>
      <c r="B22" s="30" t="str">
        <f t="shared" si="3"/>
        <v>diesel</v>
      </c>
      <c r="C22" s="30">
        <f t="shared" si="2"/>
        <v>0</v>
      </c>
      <c r="D22" s="30">
        <f t="shared" si="2"/>
        <v>2.9325513196480935</v>
      </c>
      <c r="E22" s="30" t="str">
        <f t="shared" si="2"/>
        <v>dry cleft timber</v>
      </c>
      <c r="F22" s="30">
        <f t="shared" si="2"/>
        <v>1.3819999999999999</v>
      </c>
      <c r="G22" s="37">
        <f t="shared" si="2"/>
        <v>0</v>
      </c>
      <c r="H22" s="37">
        <f t="shared" si="2"/>
        <v>1.3819999999999999</v>
      </c>
      <c r="I22" s="30"/>
      <c r="J22" s="30">
        <f t="shared" si="2"/>
        <v>1.3160000000000001</v>
      </c>
      <c r="K22" s="30">
        <f t="shared" si="2"/>
        <v>0</v>
      </c>
    </row>
    <row r="23" spans="1:15" x14ac:dyDescent="0.2">
      <c r="A23" t="s">
        <v>144</v>
      </c>
      <c r="B23" t="str">
        <f>B$9</f>
        <v>diesel</v>
      </c>
      <c r="C23">
        <f t="shared" si="2"/>
        <v>0</v>
      </c>
      <c r="D23">
        <f t="shared" si="2"/>
        <v>2.9325513196480935</v>
      </c>
      <c r="E23" t="str">
        <f t="shared" si="2"/>
        <v>dry cleft timber</v>
      </c>
      <c r="F23">
        <f t="shared" si="2"/>
        <v>1.3819999999999999</v>
      </c>
      <c r="G23" s="36">
        <f t="shared" si="2"/>
        <v>0</v>
      </c>
      <c r="H23" s="36">
        <f t="shared" si="2"/>
        <v>1.3819999999999999</v>
      </c>
      <c r="I23"/>
      <c r="J23">
        <f t="shared" si="2"/>
        <v>1.3160000000000001</v>
      </c>
      <c r="K23">
        <f t="shared" si="2"/>
        <v>0</v>
      </c>
    </row>
    <row r="24" spans="1:15" x14ac:dyDescent="0.2">
      <c r="A24" t="s">
        <v>145</v>
      </c>
      <c r="B24" t="str">
        <f t="shared" si="3"/>
        <v>diesel</v>
      </c>
      <c r="C24">
        <f t="shared" si="2"/>
        <v>0</v>
      </c>
      <c r="D24">
        <f t="shared" si="2"/>
        <v>2.9325513196480935</v>
      </c>
      <c r="E24" t="str">
        <f t="shared" si="2"/>
        <v>dry cleft timber</v>
      </c>
      <c r="F24">
        <f t="shared" si="2"/>
        <v>1.3819999999999999</v>
      </c>
      <c r="G24" s="36">
        <f t="shared" si="2"/>
        <v>0</v>
      </c>
      <c r="H24" s="36">
        <f t="shared" si="2"/>
        <v>1.3819999999999999</v>
      </c>
      <c r="I24"/>
      <c r="J24">
        <f t="shared" si="2"/>
        <v>1.3160000000000001</v>
      </c>
      <c r="K24">
        <f t="shared" si="2"/>
        <v>0</v>
      </c>
    </row>
    <row r="25" spans="1:15" ht="16" thickBot="1" x14ac:dyDescent="0.25">
      <c r="A25" s="30" t="s">
        <v>146</v>
      </c>
      <c r="B25" s="30" t="str">
        <f t="shared" si="3"/>
        <v>diesel</v>
      </c>
      <c r="C25" s="30">
        <f t="shared" si="2"/>
        <v>0</v>
      </c>
      <c r="D25" s="30">
        <f t="shared" si="2"/>
        <v>2.9325513196480935</v>
      </c>
      <c r="E25" s="30" t="str">
        <f t="shared" si="2"/>
        <v>dry cleft timber</v>
      </c>
      <c r="F25" s="30">
        <f t="shared" si="2"/>
        <v>1.3819999999999999</v>
      </c>
      <c r="G25" s="37">
        <f t="shared" si="2"/>
        <v>0</v>
      </c>
      <c r="H25" s="37">
        <f t="shared" si="2"/>
        <v>1.3819999999999999</v>
      </c>
      <c r="I25" s="30"/>
      <c r="J25" s="30">
        <f t="shared" si="2"/>
        <v>1.3160000000000001</v>
      </c>
      <c r="K25" s="30">
        <f t="shared" si="2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A5" sqref="A5:A10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9.8320312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6.332031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5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5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6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5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0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5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0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6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6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5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0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5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0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6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6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2020-05-06T13:32:23Z</dcterms:modified>
</cp:coreProperties>
</file>