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anzer/GitHub/BlackBlox/data/steel/"/>
    </mc:Choice>
  </mc:AlternateContent>
  <xr:revisionPtr revIDLastSave="0" documentId="13_ncr:1_{12C6F935-C98F-7E42-B66F-A1B333A579D8}" xr6:coauthVersionLast="36" xr6:coauthVersionMax="36" xr10:uidLastSave="{00000000-0000-0000-0000-000000000000}"/>
  <bookViews>
    <workbookView xWindow="9400" yWindow="560" windowWidth="17440" windowHeight="16180" firstSheet="5" activeTab="6" xr2:uid="{00000000-000D-0000-FFFF-FFFF00000000}"/>
  </bookViews>
  <sheets>
    <sheet name="Lime Kiln" sheetId="1" r:id="rId1"/>
    <sheet name="Coke Oven" sheetId="2" r:id="rId2"/>
    <sheet name="Sinter Plant" sheetId="3" r:id="rId3"/>
    <sheet name="Blast Furnace" sheetId="5" r:id="rId4"/>
    <sheet name="BOF Steelmaking" sheetId="6" r:id="rId5"/>
    <sheet name="Ladle Metallurgy" sheetId="7" r:id="rId6"/>
    <sheet name="Forming" sheetId="13" r:id="rId7"/>
    <sheet name="Reference Values" sheetId="14" r:id="rId8"/>
    <sheet name="Power Plant" sheetId="4" r:id="rId9"/>
    <sheet name="Heat Recovery" sheetId="9" r:id="rId10"/>
    <sheet name="Air Seperation" sheetId="8" r:id="rId11"/>
    <sheet name="Electric Arc Furnace" sheetId="11" r:id="rId12"/>
    <sheet name="CO2 Capture" sheetId="12" r:id="rId13"/>
  </sheets>
  <calcPr calcId="179021"/>
  <fileRecoveryPr repairLoad="1"/>
</workbook>
</file>

<file path=xl/calcChain.xml><?xml version="1.0" encoding="utf-8"?>
<calcChain xmlns="http://schemas.openxmlformats.org/spreadsheetml/2006/main">
  <c r="E4" i="13" l="1"/>
  <c r="D4" i="13"/>
  <c r="C4" i="13"/>
  <c r="B4" i="13"/>
  <c r="E5" i="13"/>
  <c r="C5" i="13"/>
  <c r="F5" i="7"/>
  <c r="F4" i="7" s="1"/>
  <c r="D5" i="13"/>
  <c r="B5" i="13"/>
  <c r="B18" i="14"/>
  <c r="E5" i="7"/>
  <c r="E4" i="7" s="1"/>
  <c r="G4" i="6"/>
  <c r="E4" i="6"/>
  <c r="D4" i="6"/>
  <c r="C4" i="6"/>
  <c r="B4" i="6"/>
  <c r="I4" i="7"/>
  <c r="H4" i="7"/>
  <c r="G4" i="7"/>
  <c r="D4" i="7"/>
  <c r="C4" i="7"/>
  <c r="B4" i="7"/>
  <c r="G5" i="7"/>
  <c r="H7" i="14"/>
  <c r="H6" i="14"/>
  <c r="H5" i="14"/>
  <c r="H4" i="14"/>
  <c r="F5" i="6"/>
  <c r="F4" i="6" s="1"/>
  <c r="J5" i="5"/>
  <c r="H5" i="3"/>
  <c r="E5" i="2"/>
  <c r="G6" i="14"/>
  <c r="G5" i="14"/>
  <c r="B19" i="14"/>
  <c r="C9" i="14" s="1"/>
  <c r="B10" i="14"/>
  <c r="G4" i="14" s="1"/>
  <c r="H5" i="6"/>
  <c r="H4" i="6" s="1"/>
  <c r="G5" i="6"/>
  <c r="E5" i="6"/>
  <c r="C5" i="6"/>
  <c r="B5" i="6"/>
  <c r="I5" i="14" l="1"/>
  <c r="I6" i="14"/>
  <c r="C6" i="14"/>
  <c r="C10" i="14"/>
  <c r="C7" i="14"/>
  <c r="C11" i="14"/>
  <c r="I4" i="14"/>
  <c r="C4" i="14"/>
  <c r="C8" i="14"/>
  <c r="C12" i="14"/>
  <c r="I5" i="6" s="1"/>
  <c r="I4" i="6" s="1"/>
  <c r="C5" i="14"/>
  <c r="M4" i="5"/>
  <c r="N4" i="5"/>
  <c r="O4" i="5"/>
  <c r="H5" i="5"/>
  <c r="H4" i="5" s="1"/>
  <c r="L4" i="5"/>
  <c r="I4" i="5"/>
  <c r="G4" i="5"/>
  <c r="F4" i="5"/>
  <c r="E4" i="5"/>
  <c r="D4" i="5"/>
  <c r="C4" i="5"/>
  <c r="B4" i="5"/>
  <c r="J4" i="5"/>
  <c r="K5" i="5"/>
  <c r="K4" i="5" s="1"/>
  <c r="J4" i="3"/>
  <c r="G4" i="3"/>
  <c r="F4" i="3"/>
  <c r="E4" i="3"/>
  <c r="C4" i="3"/>
  <c r="B4" i="3"/>
  <c r="I5" i="3"/>
  <c r="I4" i="3" s="1"/>
  <c r="H4" i="3"/>
  <c r="D5" i="3"/>
  <c r="D4" i="3" s="1"/>
  <c r="C5" i="2" l="1"/>
  <c r="H4" i="2"/>
  <c r="E4" i="2" l="1"/>
  <c r="D5" i="2"/>
  <c r="D4" i="2" s="1"/>
  <c r="G4" i="2"/>
  <c r="C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Samantha Tanzer - TBM</author>
  </authors>
  <commentList>
    <comment ref="B5" authorId="0" shapeId="0" xr:uid="{00000000-0006-0000-0100-000001000000}">
      <text>
        <r>
          <rPr>
            <b/>
            <sz val="9"/>
            <color rgb="FF000000"/>
            <rFont val="Tahoma"/>
            <charset val="1"/>
          </rPr>
          <t>Samantha Tanzer - TBM:</t>
        </r>
        <r>
          <rPr>
            <sz val="9"/>
            <color rgb="FF000000"/>
            <rFont val="Tahoma"/>
            <charset val="1"/>
          </rPr>
          <t xml:space="preserve">
</t>
        </r>
        <r>
          <rPr>
            <sz val="9"/>
            <color rgb="FF000000"/>
            <rFont val="Tahoma"/>
            <charset val="1"/>
          </rPr>
          <t>Table D1, pg 95 of the PDF</t>
        </r>
      </text>
    </comment>
    <comment ref="E5" authorId="0" shapeId="0" xr:uid="{00000000-0006-0000-0100-000002000000}">
      <text>
        <r>
          <rPr>
            <b/>
            <sz val="9"/>
            <color rgb="FF000000"/>
            <rFont val="Tahoma"/>
            <family val="2"/>
          </rPr>
          <t>Samantha Tanzer - TBM: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COG, BFG, and Steam consumption, multplied by their respective heat content (pg c-13 to c-15) and converted to GJ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Samantha Tanzer - TBM</author>
  </authors>
  <commentList>
    <comment ref="J5" authorId="0" shapeId="0" xr:uid="{00000000-0006-0000-0300-000001000000}">
      <text>
        <r>
          <rPr>
            <b/>
            <sz val="9"/>
            <color rgb="FF000000"/>
            <rFont val="Tahoma"/>
            <family val="2"/>
          </rPr>
          <t>Samantha Tanzer - TBM: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COG + BFG + Steam Consumption from Table D-5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5" authorId="0" shapeId="0" xr:uid="{8C24CC26-976E-A54B-A77B-3C3E41B0C73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[(hot metal + scrap in) - liquid steel out] / hot metal in</t>
        </r>
      </text>
    </comment>
    <comment ref="C5" authorId="0" shapeId="0" xr:uid="{14574FDC-7B1A-1F4F-9398-11418352A89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scrap / total metal in</t>
        </r>
      </text>
    </comment>
    <comment ref="F5" authorId="0" shapeId="0" xr:uid="{47F1E4A8-0F44-3F48-A134-4DF602EA31E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[Nm3 BOF gas * (mj/Nm3) + kg steam * (mj/kg)] / 1000</t>
        </r>
      </text>
    </comment>
    <comment ref="G5" authorId="0" shapeId="0" xr:uid="{850C9328-3FFA-474C-9561-EAD266EA8EC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Lime + Burnt Dolomite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6E6ADCFC-FB5E-1D4A-8346-4C1CD99FF3A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 (g/mol * mol/nM3 / g/kg) / kg/t  </t>
        </r>
      </text>
    </comment>
    <comment ref="J3" authorId="0" shapeId="0" xr:uid="{392F1A16-A245-3A46-AFAA-E2918C3B2CA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numbers are those of PDF</t>
        </r>
      </text>
    </comment>
    <comment ref="I4" authorId="0" shapeId="0" xr:uid="{78321E9A-6BCC-5546-A40C-84F68D8AE3B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Nm3 /kg * MJ/Nm3 = MJ/kg = GJ/t
using: 
</t>
        </r>
        <r>
          <rPr>
            <sz val="10"/>
            <color rgb="FF000000"/>
            <rFont val="Tahoma"/>
            <family val="2"/>
          </rPr>
          <t xml:space="preserve">1000 </t>
        </r>
        <r>
          <rPr>
            <sz val="10"/>
            <color rgb="FF000000"/>
            <rFont val="Calibri"/>
            <family val="2"/>
            <scheme val="minor"/>
          </rPr>
          <t xml:space="preserve">/ g/Nm3 = Nm3/kg 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g/mol * mol/Nm3 = g/Nm3</t>
        </r>
      </text>
    </comment>
    <comment ref="I5" authorId="0" shapeId="0" xr:uid="{CA660664-4C5B-5341-AD1F-59F7E6F42A9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Nm3 /kg * MJ/Nm3 = MJ/kg = GJ/t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using: 
</t>
        </r>
        <r>
          <rPr>
            <sz val="10"/>
            <color rgb="FF000000"/>
            <rFont val="Tahoma"/>
            <family val="2"/>
          </rPr>
          <t xml:space="preserve">1000 </t>
        </r>
        <r>
          <rPr>
            <sz val="10"/>
            <color rgb="FF000000"/>
            <rFont val="Calibri"/>
            <family val="2"/>
          </rPr>
          <t xml:space="preserve">/ g/Nm3 = Nm3/kg 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g/mol * mol/Nm3 = g/Nm3</t>
        </r>
      </text>
    </comment>
    <comment ref="I6" authorId="0" shapeId="0" xr:uid="{49295FB3-30D1-1142-AF52-72D7563F157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Nm3 /kg * MJ/Nm3 = MJ/kg = GJ/t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using: 
</t>
        </r>
        <r>
          <rPr>
            <sz val="10"/>
            <color rgb="FF000000"/>
            <rFont val="Tahoma"/>
            <family val="2"/>
          </rPr>
          <t xml:space="preserve">1000 </t>
        </r>
        <r>
          <rPr>
            <sz val="10"/>
            <color rgb="FF000000"/>
            <rFont val="Calibri"/>
            <family val="2"/>
          </rPr>
          <t xml:space="preserve">/ g/Nm3 = Nm3/kg 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g/mol * mol/Nm3 = g/Nm3</t>
        </r>
      </text>
    </comment>
    <comment ref="I7" authorId="0" shapeId="0" xr:uid="{06459B3F-9073-B64D-8001-6DD0C93C0FB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9 bar, 175C</t>
        </r>
      </text>
    </comment>
  </commentList>
</comments>
</file>

<file path=xl/sharedStrings.xml><?xml version="1.0" encoding="utf-8"?>
<sst xmlns="http://schemas.openxmlformats.org/spreadsheetml/2006/main" count="233" uniqueCount="147">
  <si>
    <t>Electricity Demand</t>
  </si>
  <si>
    <t>Carbon Content of Hot Metal</t>
  </si>
  <si>
    <t>Power Plant Efficiency</t>
  </si>
  <si>
    <t>Scenario</t>
  </si>
  <si>
    <t>meta-units</t>
  </si>
  <si>
    <t>MJ/t lime</t>
  </si>
  <si>
    <t>Heat Demand</t>
  </si>
  <si>
    <t>Combustion Efficiency</t>
  </si>
  <si>
    <t>% usable heat</t>
  </si>
  <si>
    <t>default</t>
  </si>
  <si>
    <t>Coking Efficiency</t>
  </si>
  <si>
    <t>CaO Fraction of Sinter</t>
  </si>
  <si>
    <t>meta-notes</t>
  </si>
  <si>
    <t>Remainder is lost to coal gas</t>
  </si>
  <si>
    <t>Remainder is lost to waste heat</t>
  </si>
  <si>
    <t>Heat Recovery Efficiency</t>
  </si>
  <si>
    <t>Sinter Demand</t>
  </si>
  <si>
    <t>Coke Demand</t>
  </si>
  <si>
    <t>t / t hot metal</t>
  </si>
  <si>
    <t>MJ Electricity Out / MJ Fuel In</t>
  </si>
  <si>
    <t>MJ Usable Heat / MJ Waste Heat</t>
  </si>
  <si>
    <t>Scrap Fraction of Steel</t>
  </si>
  <si>
    <t>Process CO2</t>
  </si>
  <si>
    <t>O2 Recovery Efficiency</t>
  </si>
  <si>
    <t>MJ / t O2</t>
  </si>
  <si>
    <t>t O2 / t air</t>
  </si>
  <si>
    <t>O2-in-air ratio</t>
  </si>
  <si>
    <t>t O2 / t O2-in-air</t>
  </si>
  <si>
    <t>Air is simplified to O2 and N2</t>
  </si>
  <si>
    <t>CO2 Capture Efficiency</t>
  </si>
  <si>
    <t>t CO2 Captured / t CO2 In</t>
  </si>
  <si>
    <t>IEAGHG 2013</t>
  </si>
  <si>
    <t>Birat</t>
  </si>
  <si>
    <t>meta-scenario notes</t>
  </si>
  <si>
    <t>VPSA</t>
  </si>
  <si>
    <t>from EOP-LP 2 (pg C-11)</t>
  </si>
  <si>
    <t>t CO2 / t Hot Rolled Coil</t>
  </si>
  <si>
    <t>MJ Electricity / t Hot Rolled Coil</t>
  </si>
  <si>
    <t>EU-BAT-median</t>
  </si>
  <si>
    <t>EU-BAT-minimum</t>
  </si>
  <si>
    <t>GJ Electricity / t CO2 in</t>
  </si>
  <si>
    <t>GJ Heat / t CO2 in</t>
  </si>
  <si>
    <t>mj biomass / mj energy use</t>
  </si>
  <si>
    <t>meta-scenario source</t>
  </si>
  <si>
    <t>IEAGHG-base</t>
  </si>
  <si>
    <t>biomass co-fire fraction</t>
  </si>
  <si>
    <t>biofuel type</t>
  </si>
  <si>
    <t>GJ/t dry coke</t>
  </si>
  <si>
    <t>charcoal</t>
  </si>
  <si>
    <t>IEAGHG 2013-04</t>
  </si>
  <si>
    <t>COG recovery effeciency</t>
  </si>
  <si>
    <t>t COG / t fuel lost</t>
  </si>
  <si>
    <t>t dry Coke Out / t coking coal In</t>
  </si>
  <si>
    <t>Fe Fraction of Sinter</t>
  </si>
  <si>
    <t>Misc Fraction of Sinter</t>
  </si>
  <si>
    <t>t CaO /t Sinter</t>
  </si>
  <si>
    <t>t Fe / t Sinter</t>
  </si>
  <si>
    <t>GJ/t sinter</t>
  </si>
  <si>
    <t>Heat Demand (LHV)</t>
  </si>
  <si>
    <t>Biomass Cofiring</t>
  </si>
  <si>
    <t>replacement for coke fines</t>
  </si>
  <si>
    <t>t Other minerals / t sinter</t>
  </si>
  <si>
    <t xml:space="preserve">GJ biomass replacement / GJ original Coal in </t>
  </si>
  <si>
    <t>t Coke / t sinter</t>
  </si>
  <si>
    <t>GJ biomass replacement /GJ coke demand</t>
  </si>
  <si>
    <t>PCI Demand</t>
  </si>
  <si>
    <t>Biomass Cofiring - Coke</t>
  </si>
  <si>
    <t>Biomass Cofiring - PCI</t>
  </si>
  <si>
    <t>Fe Fraction of Iron Ore Fines</t>
  </si>
  <si>
    <t>gj / t hot metal</t>
  </si>
  <si>
    <t>BFG recovery efficiency</t>
  </si>
  <si>
    <t>% BFG recovered</t>
  </si>
  <si>
    <t>Fe in Ore</t>
  </si>
  <si>
    <t>Fe in Sinter</t>
  </si>
  <si>
    <t>t / t ore</t>
  </si>
  <si>
    <t>t / t sinter</t>
  </si>
  <si>
    <t>Fe in Hot metal</t>
  </si>
  <si>
    <t>Iron Ore Demand</t>
  </si>
  <si>
    <t>CaCO3 demand</t>
  </si>
  <si>
    <t>Flux Demand</t>
  </si>
  <si>
    <t>t / t liquid steel</t>
  </si>
  <si>
    <t>t scrap / t metal in</t>
  </si>
  <si>
    <t>Metal Loss</t>
  </si>
  <si>
    <t>t loss / t metal in</t>
  </si>
  <si>
    <t>t C /  t hot metal</t>
  </si>
  <si>
    <t>t CaO / t flux</t>
  </si>
  <si>
    <t>Lime in Flux</t>
  </si>
  <si>
    <t>Oxygen Demand</t>
  </si>
  <si>
    <t>t O2 / t liquid steel</t>
  </si>
  <si>
    <t>t steel lost / t steel in</t>
  </si>
  <si>
    <t>Steel Loss</t>
  </si>
  <si>
    <t>t O2 / t steel out</t>
  </si>
  <si>
    <t>t flux / t steel out</t>
  </si>
  <si>
    <t>t CaO / t Flux</t>
  </si>
  <si>
    <t>GJ / t Hot Metal</t>
  </si>
  <si>
    <t>Heat Export</t>
  </si>
  <si>
    <t>Burnt Dolomite</t>
  </si>
  <si>
    <t>Hot Rolled Coil</t>
  </si>
  <si>
    <t>Liquid Steel</t>
  </si>
  <si>
    <t>Hot Metal</t>
  </si>
  <si>
    <t>Sinter</t>
  </si>
  <si>
    <t>CaO</t>
  </si>
  <si>
    <t>C (t/t)</t>
  </si>
  <si>
    <t>Fe (t/t)</t>
  </si>
  <si>
    <t>Composition of Products</t>
  </si>
  <si>
    <t>Steam</t>
  </si>
  <si>
    <t>BOFG</t>
  </si>
  <si>
    <t>BFG</t>
  </si>
  <si>
    <t>COG</t>
  </si>
  <si>
    <t>GJ/t</t>
  </si>
  <si>
    <t>Gas</t>
  </si>
  <si>
    <t>Molar Mass</t>
  </si>
  <si>
    <t>g/mol</t>
  </si>
  <si>
    <t>CH4</t>
  </si>
  <si>
    <t>CO</t>
  </si>
  <si>
    <t>CO2</t>
  </si>
  <si>
    <t>C</t>
  </si>
  <si>
    <t>H2</t>
  </si>
  <si>
    <t>H2O</t>
  </si>
  <si>
    <t>HCs (BTX)</t>
  </si>
  <si>
    <t>N2</t>
  </si>
  <si>
    <t>O2</t>
  </si>
  <si>
    <t>CONSTANTS</t>
  </si>
  <si>
    <t>IEAGHG 2013 (Steel)</t>
  </si>
  <si>
    <t>Conversions</t>
  </si>
  <si>
    <t>Source</t>
  </si>
  <si>
    <t>Table C-24, p87</t>
  </si>
  <si>
    <t>Table C-23, p 86</t>
  </si>
  <si>
    <t>p88</t>
  </si>
  <si>
    <t>ratio</t>
  </si>
  <si>
    <t>kWh in MJ</t>
  </si>
  <si>
    <t>mol in Nm3</t>
  </si>
  <si>
    <t>t / Nm3</t>
  </si>
  <si>
    <t>Properties of of Produced Gases</t>
  </si>
  <si>
    <t>MJ/Nm3 (LHV)</t>
  </si>
  <si>
    <t>Alloy Demand</t>
  </si>
  <si>
    <t>t Alloy metals / t steel out</t>
  </si>
  <si>
    <t>t scrap / t steel out</t>
  </si>
  <si>
    <t>GJ electricity / t steel</t>
  </si>
  <si>
    <t>GJ heat / GJ steel</t>
  </si>
  <si>
    <t>t lost / t stee out</t>
  </si>
  <si>
    <t>Steel loss</t>
  </si>
  <si>
    <t>remainder is assumed to be carbon</t>
  </si>
  <si>
    <t>Scrap Demand</t>
  </si>
  <si>
    <t>kWh in GJ</t>
  </si>
  <si>
    <t>GJ Electricity / t steel out</t>
  </si>
  <si>
    <t>GJ heat / t steel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</si>
</sst>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3" formatCode="0.00000"/>
    <numFmt numFmtId="174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rgb="FF000000"/>
      <name val="Tahoma"/>
      <charset val="1"/>
    </font>
    <font>
      <sz val="9"/>
      <color rgb="FF000000"/>
      <name val="Tahoma"/>
      <charset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9" fontId="0" fillId="0" borderId="0" xfId="0" applyNumberFormat="1"/>
    <xf numFmtId="0" fontId="0" fillId="0" borderId="0" xfId="0" applyFont="1"/>
    <xf numFmtId="0" fontId="6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0" fontId="0" fillId="0" borderId="0" xfId="0" applyNumberFormat="1" applyBorder="1"/>
    <xf numFmtId="10" fontId="0" fillId="0" borderId="5" xfId="0" applyNumberFormat="1" applyBorder="1"/>
    <xf numFmtId="0" fontId="0" fillId="0" borderId="6" xfId="0" applyBorder="1"/>
    <xf numFmtId="0" fontId="0" fillId="0" borderId="7" xfId="0" applyBorder="1"/>
    <xf numFmtId="9" fontId="0" fillId="0" borderId="8" xfId="0" applyNumberFormat="1" applyBorder="1"/>
    <xf numFmtId="0" fontId="0" fillId="0" borderId="1" xfId="0" applyBorder="1"/>
    <xf numFmtId="0" fontId="1" fillId="0" borderId="0" xfId="0" applyFont="1" applyBorder="1"/>
    <xf numFmtId="0" fontId="0" fillId="0" borderId="0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173" fontId="0" fillId="0" borderId="0" xfId="0" applyNumberFormat="1" applyFill="1" applyBorder="1"/>
    <xf numFmtId="173" fontId="0" fillId="0" borderId="7" xfId="0" applyNumberFormat="1" applyFill="1" applyBorder="1"/>
    <xf numFmtId="2" fontId="0" fillId="0" borderId="0" xfId="0" applyNumberFormat="1" applyFill="1" applyBorder="1"/>
    <xf numFmtId="2" fontId="0" fillId="0" borderId="5" xfId="0" applyNumberFormat="1" applyFill="1" applyBorder="1"/>
    <xf numFmtId="2" fontId="0" fillId="0" borderId="7" xfId="0" applyNumberFormat="1" applyFill="1" applyBorder="1"/>
    <xf numFmtId="2" fontId="0" fillId="0" borderId="8" xfId="0" applyNumberFormat="1" applyFill="1" applyBorder="1"/>
    <xf numFmtId="174" fontId="0" fillId="0" borderId="5" xfId="0" applyNumberFormat="1" applyBorder="1"/>
    <xf numFmtId="2" fontId="0" fillId="0" borderId="5" xfId="0" applyNumberFormat="1" applyBorder="1"/>
    <xf numFmtId="2" fontId="0" fillId="0" borderId="8" xfId="0" applyNumberFormat="1" applyBorder="1"/>
    <xf numFmtId="2" fontId="0" fillId="0" borderId="0" xfId="0" applyNumberFormat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3" xfId="0" applyFont="1" applyBorder="1"/>
    <xf numFmtId="2" fontId="1" fillId="0" borderId="3" xfId="0" applyNumberFormat="1" applyFont="1" applyBorder="1"/>
    <xf numFmtId="2" fontId="0" fillId="0" borderId="0" xfId="0" applyNumberFormat="1" applyBorder="1"/>
    <xf numFmtId="2" fontId="1" fillId="0" borderId="0" xfId="0" applyNumberFormat="1" applyFont="1" applyBorder="1"/>
    <xf numFmtId="0" fontId="1" fillId="0" borderId="2" xfId="0" applyFont="1" applyBorder="1"/>
    <xf numFmtId="2" fontId="0" fillId="0" borderId="7" xfId="0" applyNumberFormat="1" applyBorder="1"/>
    <xf numFmtId="173" fontId="0" fillId="0" borderId="5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workbookViewId="0">
      <selection activeCell="C30" sqref="C30"/>
    </sheetView>
  </sheetViews>
  <sheetFormatPr baseColWidth="10" defaultColWidth="8.83203125" defaultRowHeight="15" x14ac:dyDescent="0.2"/>
  <cols>
    <col min="1" max="1" width="11.33203125" bestFit="1" customWidth="1"/>
    <col min="2" max="2" width="11.5" bestFit="1" customWidth="1"/>
    <col min="3" max="3" width="13.83203125" bestFit="1" customWidth="1"/>
    <col min="4" max="4" width="16.6640625" bestFit="1" customWidth="1"/>
    <col min="5" max="5" width="15.6640625" bestFit="1" customWidth="1"/>
    <col min="6" max="6" width="24.83203125" bestFit="1" customWidth="1"/>
  </cols>
  <sheetData>
    <row r="1" spans="1:4" s="1" customFormat="1" x14ac:dyDescent="0.2">
      <c r="A1" s="1" t="s">
        <v>3</v>
      </c>
      <c r="B1" s="1" t="s">
        <v>0</v>
      </c>
      <c r="C1" s="1" t="s">
        <v>6</v>
      </c>
      <c r="D1" s="1" t="s">
        <v>7</v>
      </c>
    </row>
    <row r="2" spans="1:4" s="2" customFormat="1" x14ac:dyDescent="0.2">
      <c r="A2" s="2" t="s">
        <v>4</v>
      </c>
      <c r="B2" s="2" t="s">
        <v>5</v>
      </c>
      <c r="C2" s="2" t="s">
        <v>5</v>
      </c>
      <c r="D2" s="2" t="s">
        <v>8</v>
      </c>
    </row>
    <row r="3" spans="1:4" x14ac:dyDescent="0.2">
      <c r="A3" t="s">
        <v>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>
      <selection activeCell="D13" sqref="D13"/>
    </sheetView>
  </sheetViews>
  <sheetFormatPr baseColWidth="10" defaultColWidth="8.83203125" defaultRowHeight="15" x14ac:dyDescent="0.2"/>
  <cols>
    <col min="1" max="1" width="17" customWidth="1"/>
    <col min="2" max="2" width="29.83203125" bestFit="1" customWidth="1"/>
    <col min="3" max="3" width="15.1640625" bestFit="1" customWidth="1"/>
    <col min="4" max="4" width="16.6640625" bestFit="1" customWidth="1"/>
    <col min="5" max="5" width="15.6640625" bestFit="1" customWidth="1"/>
  </cols>
  <sheetData>
    <row r="1" spans="1:2" x14ac:dyDescent="0.2">
      <c r="A1" s="1" t="s">
        <v>3</v>
      </c>
      <c r="B1" t="s">
        <v>15</v>
      </c>
    </row>
    <row r="2" spans="1:2" x14ac:dyDescent="0.2">
      <c r="A2" s="2" t="s">
        <v>4</v>
      </c>
      <c r="B2" t="s">
        <v>20</v>
      </c>
    </row>
    <row r="3" spans="1:2" x14ac:dyDescent="0.2">
      <c r="A3" s="2" t="s">
        <v>12</v>
      </c>
    </row>
    <row r="4" spans="1:2" x14ac:dyDescent="0.2">
      <c r="A4" t="s"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"/>
  <sheetViews>
    <sheetView workbookViewId="0">
      <selection activeCell="C8" sqref="C8"/>
    </sheetView>
  </sheetViews>
  <sheetFormatPr baseColWidth="10" defaultColWidth="8.83203125" defaultRowHeight="15" x14ac:dyDescent="0.2"/>
  <cols>
    <col min="1" max="1" width="11.33203125" bestFit="1" customWidth="1"/>
    <col min="2" max="2" width="11.5" bestFit="1" customWidth="1"/>
    <col min="3" max="3" width="13.83203125" bestFit="1" customWidth="1"/>
    <col min="4" max="4" width="16.6640625" bestFit="1" customWidth="1"/>
    <col min="5" max="5" width="15.6640625" bestFit="1" customWidth="1"/>
    <col min="6" max="6" width="24.83203125" bestFit="1" customWidth="1"/>
  </cols>
  <sheetData>
    <row r="1" spans="1:6" x14ac:dyDescent="0.2">
      <c r="A1" s="3" t="s">
        <v>3</v>
      </c>
      <c r="B1" s="1" t="s">
        <v>0</v>
      </c>
      <c r="C1" s="1" t="s">
        <v>26</v>
      </c>
      <c r="D1" s="1" t="s">
        <v>23</v>
      </c>
      <c r="E1" s="1"/>
      <c r="F1" s="1"/>
    </row>
    <row r="2" spans="1:6" x14ac:dyDescent="0.2">
      <c r="A2" s="4" t="s">
        <v>4</v>
      </c>
      <c r="B2" t="s">
        <v>24</v>
      </c>
      <c r="C2" t="s">
        <v>25</v>
      </c>
      <c r="D2" t="s">
        <v>27</v>
      </c>
    </row>
    <row r="3" spans="1:6" x14ac:dyDescent="0.2">
      <c r="A3" s="4" t="s">
        <v>12</v>
      </c>
      <c r="C3" t="s">
        <v>28</v>
      </c>
    </row>
    <row r="4" spans="1:6" x14ac:dyDescent="0.2">
      <c r="A4" s="5" t="s">
        <v>9</v>
      </c>
      <c r="C4" s="6">
        <v>0.21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6"/>
  <sheetViews>
    <sheetView workbookViewId="0">
      <selection activeCell="L23" sqref="L23"/>
    </sheetView>
  </sheetViews>
  <sheetFormatPr baseColWidth="10" defaultColWidth="8.83203125" defaultRowHeight="15" x14ac:dyDescent="0.2"/>
  <cols>
    <col min="1" max="1" width="17.83203125" customWidth="1"/>
    <col min="2" max="2" width="11.5" bestFit="1" customWidth="1"/>
    <col min="3" max="3" width="13.83203125" bestFit="1" customWidth="1"/>
    <col min="4" max="4" width="16.6640625" bestFit="1" customWidth="1"/>
    <col min="5" max="5" width="15.6640625" bestFit="1" customWidth="1"/>
  </cols>
  <sheetData>
    <row r="1" spans="1:6" x14ac:dyDescent="0.2">
      <c r="A1" s="3" t="s">
        <v>3</v>
      </c>
      <c r="B1" s="1" t="s">
        <v>22</v>
      </c>
      <c r="C1" s="1" t="s">
        <v>0</v>
      </c>
      <c r="D1" s="1" t="s">
        <v>33</v>
      </c>
      <c r="E1" s="1"/>
      <c r="F1" s="1"/>
    </row>
    <row r="2" spans="1:6" x14ac:dyDescent="0.2">
      <c r="A2" s="4" t="s">
        <v>4</v>
      </c>
      <c r="B2" t="s">
        <v>36</v>
      </c>
      <c r="C2" t="s">
        <v>37</v>
      </c>
    </row>
    <row r="3" spans="1:6" x14ac:dyDescent="0.2">
      <c r="A3" s="4" t="s">
        <v>12</v>
      </c>
    </row>
    <row r="4" spans="1:6" x14ac:dyDescent="0.2">
      <c r="A4" s="5" t="s">
        <v>9</v>
      </c>
    </row>
    <row r="5" spans="1:6" x14ac:dyDescent="0.2">
      <c r="A5" t="s">
        <v>38</v>
      </c>
      <c r="B5">
        <v>0.12</v>
      </c>
      <c r="C5">
        <v>1980</v>
      </c>
    </row>
    <row r="6" spans="1:6" x14ac:dyDescent="0.2">
      <c r="A6" t="s">
        <v>39</v>
      </c>
      <c r="B6">
        <v>7.0000000000000007E-2</v>
      </c>
      <c r="C6">
        <v>1440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6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2.33203125" customWidth="1"/>
    <col min="2" max="2" width="23.1640625" customWidth="1"/>
    <col min="3" max="3" width="21.5" bestFit="1" customWidth="1"/>
    <col min="4" max="4" width="13.1640625" bestFit="1" customWidth="1"/>
    <col min="5" max="5" width="24.33203125" customWidth="1"/>
  </cols>
  <sheetData>
    <row r="1" spans="1:5" x14ac:dyDescent="0.2">
      <c r="A1" s="3" t="s">
        <v>3</v>
      </c>
      <c r="B1" s="1" t="s">
        <v>29</v>
      </c>
      <c r="C1" s="1" t="s">
        <v>0</v>
      </c>
      <c r="D1" s="1" t="s">
        <v>6</v>
      </c>
      <c r="E1" s="1" t="s">
        <v>33</v>
      </c>
    </row>
    <row r="2" spans="1:5" x14ac:dyDescent="0.2">
      <c r="A2" s="4" t="s">
        <v>4</v>
      </c>
      <c r="B2" t="s">
        <v>30</v>
      </c>
      <c r="C2" t="s">
        <v>40</v>
      </c>
      <c r="D2" t="s">
        <v>41</v>
      </c>
    </row>
    <row r="3" spans="1:5" x14ac:dyDescent="0.2">
      <c r="A3" s="4" t="s">
        <v>12</v>
      </c>
    </row>
    <row r="4" spans="1:5" x14ac:dyDescent="0.2">
      <c r="A4" s="5" t="s">
        <v>9</v>
      </c>
    </row>
    <row r="5" spans="1:5" x14ac:dyDescent="0.2">
      <c r="A5" t="s">
        <v>31</v>
      </c>
      <c r="B5">
        <v>0.9</v>
      </c>
      <c r="C5">
        <v>0.13</v>
      </c>
      <c r="D5">
        <v>6.0000000000000001E-3</v>
      </c>
      <c r="E5" t="s">
        <v>35</v>
      </c>
    </row>
    <row r="6" spans="1:5" x14ac:dyDescent="0.2">
      <c r="A6" t="s">
        <v>32</v>
      </c>
      <c r="B6">
        <v>0.872</v>
      </c>
      <c r="C6">
        <v>0.38</v>
      </c>
      <c r="D6">
        <v>0</v>
      </c>
      <c r="E6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workbookViewId="0">
      <selection activeCell="E5" sqref="E5"/>
    </sheetView>
  </sheetViews>
  <sheetFormatPr baseColWidth="10" defaultColWidth="8.83203125" defaultRowHeight="15" x14ac:dyDescent="0.2"/>
  <cols>
    <col min="1" max="1" width="11.33203125" bestFit="1" customWidth="1"/>
    <col min="2" max="2" width="21.1640625" customWidth="1"/>
    <col min="3" max="3" width="27.5" customWidth="1"/>
    <col min="4" max="4" width="14.33203125" bestFit="1" customWidth="1"/>
    <col min="5" max="5" width="16.6640625" bestFit="1" customWidth="1"/>
    <col min="6" max="6" width="16.6640625" customWidth="1"/>
    <col min="7" max="7" width="22.5" customWidth="1"/>
  </cols>
  <sheetData>
    <row r="1" spans="1:8" s="1" customFormat="1" x14ac:dyDescent="0.2">
      <c r="A1" s="1" t="s">
        <v>3</v>
      </c>
      <c r="B1" s="1" t="s">
        <v>43</v>
      </c>
      <c r="C1" s="1" t="s">
        <v>10</v>
      </c>
      <c r="D1" s="1" t="s">
        <v>0</v>
      </c>
      <c r="E1" s="1" t="s">
        <v>6</v>
      </c>
      <c r="F1" s="1" t="s">
        <v>50</v>
      </c>
      <c r="G1" s="1" t="s">
        <v>45</v>
      </c>
      <c r="H1" s="1" t="s">
        <v>46</v>
      </c>
    </row>
    <row r="2" spans="1:8" x14ac:dyDescent="0.2">
      <c r="A2" s="2" t="s">
        <v>4</v>
      </c>
      <c r="B2" s="2"/>
      <c r="C2" s="2" t="s">
        <v>52</v>
      </c>
      <c r="D2" t="s">
        <v>47</v>
      </c>
      <c r="E2" t="s">
        <v>47</v>
      </c>
      <c r="F2" s="2" t="s">
        <v>51</v>
      </c>
      <c r="G2" s="2" t="s">
        <v>62</v>
      </c>
    </row>
    <row r="3" spans="1:8" x14ac:dyDescent="0.2">
      <c r="A3" s="2" t="s">
        <v>12</v>
      </c>
      <c r="B3" s="2"/>
      <c r="C3" s="2" t="s">
        <v>13</v>
      </c>
    </row>
    <row r="4" spans="1:8" x14ac:dyDescent="0.2">
      <c r="A4" t="s">
        <v>9</v>
      </c>
      <c r="C4">
        <f>C5</f>
        <v>0.77808901338313108</v>
      </c>
      <c r="D4">
        <f>D5</f>
        <v>0.126</v>
      </c>
      <c r="E4">
        <f>E5</f>
        <v>3.3926379999999998</v>
      </c>
      <c r="F4">
        <v>0.88</v>
      </c>
      <c r="G4">
        <f>G5</f>
        <v>0</v>
      </c>
      <c r="H4" t="str">
        <f>H5</f>
        <v>charcoal</v>
      </c>
    </row>
    <row r="5" spans="1:8" x14ac:dyDescent="0.2">
      <c r="A5" t="s">
        <v>44</v>
      </c>
      <c r="B5" t="s">
        <v>49</v>
      </c>
      <c r="C5">
        <f>1/1.2852</f>
        <v>0.77808901338313108</v>
      </c>
      <c r="D5">
        <f>35*3.6/1000</f>
        <v>0.126</v>
      </c>
      <c r="E5">
        <f>(112.6*'Reference Values'!F4+450.4*'Reference Values'!F5+150*'Reference Values'!F7)/1000</f>
        <v>3.3926379999999998</v>
      </c>
      <c r="F5">
        <v>0.88</v>
      </c>
      <c r="G5">
        <v>0</v>
      </c>
      <c r="H5" t="s">
        <v>48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11.33203125" bestFit="1" customWidth="1"/>
    <col min="2" max="2" width="22" customWidth="1"/>
    <col min="3" max="3" width="17.83203125" customWidth="1"/>
    <col min="4" max="4" width="16.6640625" bestFit="1" customWidth="1"/>
    <col min="5" max="7" width="16.1640625" customWidth="1"/>
    <col min="8" max="8" width="18" customWidth="1"/>
    <col min="9" max="9" width="19.33203125" customWidth="1"/>
  </cols>
  <sheetData>
    <row r="1" spans="1:10" s="1" customFormat="1" x14ac:dyDescent="0.2">
      <c r="A1" s="1" t="s">
        <v>3</v>
      </c>
      <c r="B1" s="1" t="s">
        <v>11</v>
      </c>
      <c r="C1" s="1" t="s">
        <v>53</v>
      </c>
      <c r="D1" s="1" t="s">
        <v>54</v>
      </c>
      <c r="E1" s="1" t="s">
        <v>17</v>
      </c>
      <c r="F1" s="1" t="s">
        <v>59</v>
      </c>
      <c r="G1" s="1" t="s">
        <v>46</v>
      </c>
      <c r="H1" s="1" t="s">
        <v>58</v>
      </c>
      <c r="I1" s="1" t="s">
        <v>0</v>
      </c>
      <c r="J1" s="1" t="s">
        <v>68</v>
      </c>
    </row>
    <row r="2" spans="1:10" x14ac:dyDescent="0.2">
      <c r="A2" s="2" t="s">
        <v>4</v>
      </c>
      <c r="B2" t="s">
        <v>55</v>
      </c>
      <c r="C2" s="2" t="s">
        <v>56</v>
      </c>
      <c r="D2" t="s">
        <v>61</v>
      </c>
      <c r="E2" t="s">
        <v>63</v>
      </c>
      <c r="F2" t="s">
        <v>64</v>
      </c>
      <c r="H2" t="s">
        <v>57</v>
      </c>
      <c r="I2" t="s">
        <v>57</v>
      </c>
    </row>
    <row r="3" spans="1:10" x14ac:dyDescent="0.2">
      <c r="A3" s="2" t="s">
        <v>12</v>
      </c>
      <c r="B3" s="2"/>
      <c r="F3" t="s">
        <v>60</v>
      </c>
    </row>
    <row r="4" spans="1:10" x14ac:dyDescent="0.2">
      <c r="A4" t="s">
        <v>9</v>
      </c>
      <c r="B4">
        <f>B5</f>
        <v>9.4E-2</v>
      </c>
      <c r="C4">
        <f t="shared" ref="C4:I4" si="0">C5</f>
        <v>0.57879999999999998</v>
      </c>
      <c r="D4">
        <f t="shared" si="0"/>
        <v>0.32720000000000005</v>
      </c>
      <c r="E4">
        <f t="shared" si="0"/>
        <v>0.05</v>
      </c>
      <c r="F4">
        <f t="shared" si="0"/>
        <v>0</v>
      </c>
      <c r="G4" t="str">
        <f t="shared" si="0"/>
        <v>charcoal</v>
      </c>
      <c r="H4">
        <f t="shared" si="0"/>
        <v>7.2786000000000003E-2</v>
      </c>
      <c r="I4">
        <f t="shared" si="0"/>
        <v>0.1152</v>
      </c>
      <c r="J4">
        <f>J5</f>
        <v>0.69769999999999999</v>
      </c>
    </row>
    <row r="5" spans="1:10" x14ac:dyDescent="0.2">
      <c r="A5" t="s">
        <v>31</v>
      </c>
      <c r="B5">
        <v>9.4E-2</v>
      </c>
      <c r="C5">
        <v>0.57879999999999998</v>
      </c>
      <c r="D5">
        <f>1-SUM(B5:C5)</f>
        <v>0.32720000000000005</v>
      </c>
      <c r="E5">
        <v>0.05</v>
      </c>
      <c r="F5">
        <v>0</v>
      </c>
      <c r="G5" t="s">
        <v>48</v>
      </c>
      <c r="H5">
        <f>'Reference Values'!F4*4.2/1000</f>
        <v>7.2786000000000003E-2</v>
      </c>
      <c r="I5">
        <f>32*3.6/1000</f>
        <v>0.1152</v>
      </c>
      <c r="J5">
        <v>0.69769999999999999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"/>
  <sheetViews>
    <sheetView zoomScale="169" zoomScaleNormal="169" workbookViewId="0">
      <selection activeCell="H5" sqref="H5"/>
    </sheetView>
  </sheetViews>
  <sheetFormatPr baseColWidth="10" defaultColWidth="8.83203125" defaultRowHeight="15" x14ac:dyDescent="0.2"/>
  <cols>
    <col min="1" max="1" width="17" customWidth="1"/>
    <col min="2" max="2" width="14.5" bestFit="1" customWidth="1"/>
    <col min="3" max="3" width="13.5" bestFit="1" customWidth="1"/>
    <col min="4" max="4" width="11.5" customWidth="1"/>
    <col min="5" max="6" width="13.5" customWidth="1"/>
    <col min="9" max="9" width="13.83203125" bestFit="1" customWidth="1"/>
    <col min="10" max="10" width="12.33203125" customWidth="1"/>
  </cols>
  <sheetData>
    <row r="1" spans="1:15" ht="16" x14ac:dyDescent="0.2">
      <c r="A1" s="1" t="s">
        <v>3</v>
      </c>
      <c r="B1" s="7" t="s">
        <v>76</v>
      </c>
      <c r="C1" t="s">
        <v>17</v>
      </c>
      <c r="D1" t="s">
        <v>65</v>
      </c>
      <c r="E1" t="s">
        <v>66</v>
      </c>
      <c r="F1" t="s">
        <v>67</v>
      </c>
      <c r="G1" t="s">
        <v>46</v>
      </c>
      <c r="H1" t="s">
        <v>77</v>
      </c>
      <c r="I1" t="s">
        <v>16</v>
      </c>
      <c r="J1" t="s">
        <v>6</v>
      </c>
      <c r="K1" t="s">
        <v>0</v>
      </c>
      <c r="L1" s="8" t="s">
        <v>70</v>
      </c>
      <c r="M1" t="s">
        <v>72</v>
      </c>
      <c r="N1" t="s">
        <v>73</v>
      </c>
      <c r="O1" t="s">
        <v>78</v>
      </c>
    </row>
    <row r="2" spans="1:15" x14ac:dyDescent="0.2">
      <c r="A2" s="2" t="s">
        <v>4</v>
      </c>
      <c r="B2" t="s">
        <v>18</v>
      </c>
      <c r="C2" t="s">
        <v>18</v>
      </c>
      <c r="D2" t="s">
        <v>18</v>
      </c>
      <c r="E2" t="s">
        <v>42</v>
      </c>
      <c r="H2" t="s">
        <v>18</v>
      </c>
      <c r="I2" t="s">
        <v>18</v>
      </c>
      <c r="J2" t="s">
        <v>69</v>
      </c>
      <c r="K2" t="s">
        <v>69</v>
      </c>
      <c r="L2" t="s">
        <v>71</v>
      </c>
      <c r="M2" t="s">
        <v>74</v>
      </c>
      <c r="N2" t="s">
        <v>75</v>
      </c>
      <c r="O2" t="s">
        <v>18</v>
      </c>
    </row>
    <row r="3" spans="1:15" x14ac:dyDescent="0.2">
      <c r="A3" s="2" t="s">
        <v>12</v>
      </c>
      <c r="B3" s="2" t="s">
        <v>142</v>
      </c>
    </row>
    <row r="4" spans="1:15" x14ac:dyDescent="0.2">
      <c r="A4" t="s">
        <v>9</v>
      </c>
      <c r="B4">
        <f>B5</f>
        <v>0.95</v>
      </c>
      <c r="C4">
        <f t="shared" ref="C4:O4" si="0">C5</f>
        <v>0.3548</v>
      </c>
      <c r="D4">
        <f t="shared" si="0"/>
        <v>0.152</v>
      </c>
      <c r="E4">
        <f t="shared" si="0"/>
        <v>0</v>
      </c>
      <c r="F4">
        <f t="shared" si="0"/>
        <v>0</v>
      </c>
      <c r="G4" t="str">
        <f t="shared" si="0"/>
        <v>charcoal</v>
      </c>
      <c r="H4">
        <f t="shared" si="0"/>
        <v>0.47709999999999997</v>
      </c>
      <c r="I4">
        <f t="shared" si="0"/>
        <v>1.1200000000000001</v>
      </c>
      <c r="J4">
        <f t="shared" si="0"/>
        <v>1.6824780000000001</v>
      </c>
      <c r="K4">
        <f t="shared" si="0"/>
        <v>0.37331999999999999</v>
      </c>
      <c r="L4">
        <f t="shared" si="0"/>
        <v>0.95</v>
      </c>
      <c r="M4">
        <f t="shared" si="0"/>
        <v>0.66</v>
      </c>
      <c r="N4">
        <f t="shared" si="0"/>
        <v>0.57999999999999996</v>
      </c>
      <c r="O4">
        <f t="shared" si="0"/>
        <v>1.2999999999999999E-2</v>
      </c>
    </row>
    <row r="5" spans="1:15" x14ac:dyDescent="0.2">
      <c r="A5" t="s">
        <v>31</v>
      </c>
      <c r="B5">
        <v>0.95</v>
      </c>
      <c r="C5">
        <v>0.3548</v>
      </c>
      <c r="D5">
        <v>0.152</v>
      </c>
      <c r="E5">
        <v>0</v>
      </c>
      <c r="F5">
        <v>0</v>
      </c>
      <c r="G5" t="s">
        <v>48</v>
      </c>
      <c r="H5">
        <f>0.1253+0.3518</f>
        <v>0.47709999999999997</v>
      </c>
      <c r="I5">
        <v>1.1200000000000001</v>
      </c>
      <c r="J5">
        <f>(8.6*'Reference Values'!F4+479.2*'Reference Values'!F5+8*'Reference Values'!F7)/1000</f>
        <v>1.6824780000000001</v>
      </c>
      <c r="K5">
        <f>(98.8+4.9)*3.6/1000</f>
        <v>0.37331999999999999</v>
      </c>
      <c r="L5">
        <v>0.95</v>
      </c>
      <c r="M5">
        <v>0.66</v>
      </c>
      <c r="N5">
        <v>0.57999999999999996</v>
      </c>
      <c r="O5">
        <v>1.2999999999999999E-2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"/>
  <sheetViews>
    <sheetView zoomScale="120" zoomScaleNormal="120" workbookViewId="0">
      <selection activeCell="F24" sqref="F24"/>
    </sheetView>
  </sheetViews>
  <sheetFormatPr baseColWidth="10" defaultColWidth="8.83203125" defaultRowHeight="15" x14ac:dyDescent="0.2"/>
  <cols>
    <col min="1" max="1" width="11.33203125" bestFit="1" customWidth="1"/>
    <col min="2" max="2" width="11.33203125" customWidth="1"/>
    <col min="3" max="3" width="11.5" bestFit="1" customWidth="1"/>
    <col min="4" max="4" width="13.83203125" bestFit="1" customWidth="1"/>
    <col min="5" max="5" width="15.6640625" bestFit="1" customWidth="1"/>
    <col min="6" max="6" width="18.33203125" customWidth="1"/>
    <col min="7" max="7" width="20.1640625" customWidth="1"/>
  </cols>
  <sheetData>
    <row r="1" spans="1:9" x14ac:dyDescent="0.2">
      <c r="A1" s="1" t="s">
        <v>3</v>
      </c>
      <c r="B1" s="1" t="s">
        <v>82</v>
      </c>
      <c r="C1" s="1" t="s">
        <v>21</v>
      </c>
      <c r="D1" s="1" t="s">
        <v>1</v>
      </c>
      <c r="E1" s="1" t="s">
        <v>0</v>
      </c>
      <c r="F1" s="1" t="s">
        <v>95</v>
      </c>
      <c r="G1" s="1" t="s">
        <v>79</v>
      </c>
      <c r="H1" s="1" t="s">
        <v>86</v>
      </c>
      <c r="I1" s="1" t="s">
        <v>87</v>
      </c>
    </row>
    <row r="2" spans="1:9" x14ac:dyDescent="0.2">
      <c r="A2" s="2" t="s">
        <v>4</v>
      </c>
      <c r="B2" s="2" t="s">
        <v>83</v>
      </c>
      <c r="C2" t="s">
        <v>81</v>
      </c>
      <c r="D2" t="s">
        <v>84</v>
      </c>
      <c r="E2" t="s">
        <v>94</v>
      </c>
      <c r="F2" t="s">
        <v>94</v>
      </c>
      <c r="G2" t="s">
        <v>80</v>
      </c>
      <c r="H2" t="s">
        <v>85</v>
      </c>
      <c r="I2" t="s">
        <v>88</v>
      </c>
    </row>
    <row r="3" spans="1:9" x14ac:dyDescent="0.2">
      <c r="A3" s="2" t="s">
        <v>12</v>
      </c>
      <c r="B3" s="2"/>
    </row>
    <row r="4" spans="1:9" x14ac:dyDescent="0.2">
      <c r="A4" t="s">
        <v>9</v>
      </c>
      <c r="B4">
        <f>B5</f>
        <v>8.7424712538784408E-2</v>
      </c>
      <c r="C4">
        <f t="shared" ref="C4:I4" si="0">C5</f>
        <v>0.17338930461763097</v>
      </c>
      <c r="D4">
        <f t="shared" si="0"/>
        <v>4.7E-2</v>
      </c>
      <c r="E4">
        <f t="shared" si="0"/>
        <v>7.1999999999999995E-2</v>
      </c>
      <c r="F4">
        <f t="shared" si="0"/>
        <v>0.80660799999999999</v>
      </c>
      <c r="G4">
        <f t="shared" si="0"/>
        <v>7.569999999999999E-2</v>
      </c>
      <c r="H4">
        <f t="shared" si="0"/>
        <v>0.91360634081902259</v>
      </c>
      <c r="I4">
        <f t="shared" si="0"/>
        <v>7.4236530739716242E-2</v>
      </c>
    </row>
    <row r="5" spans="1:9" x14ac:dyDescent="0.2">
      <c r="A5" t="s">
        <v>31</v>
      </c>
      <c r="B5">
        <f>((900.8+116.9+73.1+5)-1000)/(900.8+116.9+73.1+5)</f>
        <v>8.7424712538784408E-2</v>
      </c>
      <c r="C5">
        <f>(116.9+73.1)/(900.8+116.9+73.1+5)</f>
        <v>0.17338930461763097</v>
      </c>
      <c r="D5">
        <v>4.7E-2</v>
      </c>
      <c r="E5">
        <f>20*3.6/1000</f>
        <v>7.1999999999999995E-2</v>
      </c>
      <c r="F5">
        <f>(81.8*'Reference Values'!F6+70.6*'Reference Values'!I7)/1000</f>
        <v>0.80660799999999999</v>
      </c>
      <c r="G5">
        <f>0.0648+0.0109</f>
        <v>7.569999999999999E-2</v>
      </c>
      <c r="H5">
        <f>(0.0648+0.0109*'Reference Values'!H15)/(0.0648+0.0109)</f>
        <v>0.91360634081902259</v>
      </c>
      <c r="I5">
        <f>52*'Reference Values'!C12</f>
        <v>7.4236530739716242E-2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"/>
  <sheetViews>
    <sheetView zoomScale="130" zoomScaleNormal="130" workbookViewId="0">
      <selection activeCell="R17" sqref="R17"/>
    </sheetView>
  </sheetViews>
  <sheetFormatPr baseColWidth="10" defaultColWidth="8.83203125" defaultRowHeight="15" x14ac:dyDescent="0.2"/>
  <cols>
    <col min="1" max="1" width="11.33203125" bestFit="1" customWidth="1"/>
    <col min="2" max="6" width="11.33203125" customWidth="1"/>
    <col min="7" max="7" width="11.5" bestFit="1" customWidth="1"/>
    <col min="8" max="8" width="13.83203125" bestFit="1" customWidth="1"/>
    <col min="9" max="9" width="16.6640625" bestFit="1" customWidth="1"/>
    <col min="10" max="10" width="15.6640625" bestFit="1" customWidth="1"/>
    <col min="11" max="11" width="24.83203125" bestFit="1" customWidth="1"/>
  </cols>
  <sheetData>
    <row r="1" spans="1:11" x14ac:dyDescent="0.2">
      <c r="A1" s="3" t="s">
        <v>3</v>
      </c>
      <c r="B1" s="3" t="s">
        <v>141</v>
      </c>
      <c r="C1" s="3" t="s">
        <v>135</v>
      </c>
      <c r="D1" s="3" t="s">
        <v>143</v>
      </c>
      <c r="E1" s="3" t="s">
        <v>0</v>
      </c>
      <c r="F1" s="3" t="s">
        <v>6</v>
      </c>
      <c r="G1" s="1" t="s">
        <v>87</v>
      </c>
      <c r="H1" s="1" t="s">
        <v>79</v>
      </c>
      <c r="I1" s="1" t="s">
        <v>86</v>
      </c>
      <c r="J1" s="1"/>
      <c r="K1" s="1"/>
    </row>
    <row r="2" spans="1:11" x14ac:dyDescent="0.2">
      <c r="A2" s="4" t="s">
        <v>4</v>
      </c>
      <c r="B2" s="4" t="s">
        <v>140</v>
      </c>
      <c r="C2" s="4" t="s">
        <v>136</v>
      </c>
      <c r="D2" s="4" t="s">
        <v>137</v>
      </c>
      <c r="E2" s="4" t="s">
        <v>138</v>
      </c>
      <c r="F2" s="4" t="s">
        <v>139</v>
      </c>
      <c r="G2" t="s">
        <v>91</v>
      </c>
      <c r="H2" t="s">
        <v>92</v>
      </c>
      <c r="I2" t="s">
        <v>93</v>
      </c>
    </row>
    <row r="3" spans="1:11" x14ac:dyDescent="0.2">
      <c r="A3" s="4" t="s">
        <v>12</v>
      </c>
      <c r="B3" s="4"/>
      <c r="C3" s="4"/>
      <c r="D3" s="4"/>
      <c r="E3" s="4"/>
      <c r="F3" s="4"/>
    </row>
    <row r="4" spans="1:11" x14ac:dyDescent="0.2">
      <c r="A4" s="5" t="s">
        <v>9</v>
      </c>
      <c r="B4" s="5">
        <f>B5</f>
        <v>0.01</v>
      </c>
      <c r="C4" s="5">
        <f t="shared" ref="C4:I4" si="0">C5</f>
        <v>1.55E-2</v>
      </c>
      <c r="D4" s="5">
        <f t="shared" si="0"/>
        <v>1E-3</v>
      </c>
      <c r="E4" s="5">
        <f t="shared" si="0"/>
        <v>0.09</v>
      </c>
      <c r="F4" s="5">
        <f t="shared" si="0"/>
        <v>1.5597E-2</v>
      </c>
      <c r="G4" s="5">
        <f t="shared" si="0"/>
        <v>2.9980137414116173E-3</v>
      </c>
      <c r="H4" s="5">
        <f t="shared" si="0"/>
        <v>5.0000000000000001E-3</v>
      </c>
      <c r="I4" s="5">
        <f t="shared" si="0"/>
        <v>1</v>
      </c>
    </row>
    <row r="5" spans="1:11" x14ac:dyDescent="0.2">
      <c r="A5" t="s">
        <v>31</v>
      </c>
      <c r="B5">
        <v>0.01</v>
      </c>
      <c r="C5">
        <v>1.55E-2</v>
      </c>
      <c r="D5">
        <v>1E-3</v>
      </c>
      <c r="E5">
        <f>25*'Reference Values'!B17/1000</f>
        <v>0.09</v>
      </c>
      <c r="F5">
        <f>0.9*'Reference Values'!F4/1000</f>
        <v>1.5597E-2</v>
      </c>
      <c r="G5">
        <f>2.1*'Reference Values'!C12</f>
        <v>2.9980137414116173E-3</v>
      </c>
      <c r="H5">
        <v>5.0000000000000001E-3</v>
      </c>
      <c r="I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81CE4-7743-9846-9145-8878AB6BF356}">
  <dimension ref="A1:E5"/>
  <sheetViews>
    <sheetView tabSelected="1" zoomScale="150" zoomScaleNormal="140" workbookViewId="0">
      <selection activeCell="D10" sqref="D10"/>
    </sheetView>
  </sheetViews>
  <sheetFormatPr baseColWidth="10" defaultRowHeight="15" x14ac:dyDescent="0.2"/>
  <cols>
    <col min="1" max="1" width="14.1640625" customWidth="1"/>
  </cols>
  <sheetData>
    <row r="1" spans="1:5" x14ac:dyDescent="0.2">
      <c r="A1" s="1" t="s">
        <v>3</v>
      </c>
      <c r="B1" t="s">
        <v>90</v>
      </c>
      <c r="C1" t="s">
        <v>0</v>
      </c>
      <c r="D1" t="s">
        <v>6</v>
      </c>
      <c r="E1" t="s">
        <v>87</v>
      </c>
    </row>
    <row r="2" spans="1:5" x14ac:dyDescent="0.2">
      <c r="A2" s="2" t="s">
        <v>4</v>
      </c>
      <c r="B2" t="s">
        <v>89</v>
      </c>
      <c r="C2" t="s">
        <v>145</v>
      </c>
      <c r="D2" t="s">
        <v>146</v>
      </c>
      <c r="E2" t="s">
        <v>91</v>
      </c>
    </row>
    <row r="3" spans="1:5" x14ac:dyDescent="0.2">
      <c r="A3" s="2" t="s">
        <v>12</v>
      </c>
    </row>
    <row r="4" spans="1:5" x14ac:dyDescent="0.2">
      <c r="A4" t="s">
        <v>9</v>
      </c>
      <c r="B4">
        <f>B5</f>
        <v>8.629999999999996E-2</v>
      </c>
      <c r="C4">
        <f t="shared" ref="C4:E4" si="0">C5</f>
        <v>0.41832000000000003</v>
      </c>
      <c r="D4">
        <f t="shared" si="0"/>
        <v>1.4799819999999997</v>
      </c>
      <c r="E4">
        <f t="shared" si="0"/>
        <v>6.8657369929508343E-3</v>
      </c>
    </row>
    <row r="5" spans="1:5" x14ac:dyDescent="0.2">
      <c r="A5" t="s">
        <v>31</v>
      </c>
      <c r="B5">
        <f>((1086.3-1052.6)+(1052.6-1000))/1000</f>
        <v>8.629999999999996E-2</v>
      </c>
      <c r="C5">
        <f>(10.9+105.3)*'Reference Values'!B18</f>
        <v>0.41832000000000003</v>
      </c>
      <c r="D5">
        <f>(1.1+84.3)*'Reference Values'!F4/1000</f>
        <v>1.4799819999999997</v>
      </c>
      <c r="E5">
        <f>(2.1*(1.052/1)+2.6)*'Reference Values'!C12</f>
        <v>6.8657369929508343E-3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5A383-1270-574C-99EE-D090571D54CA}">
  <dimension ref="A1:J19"/>
  <sheetViews>
    <sheetView zoomScaleNormal="100" workbookViewId="0">
      <selection activeCell="F4" sqref="F4"/>
    </sheetView>
  </sheetViews>
  <sheetFormatPr baseColWidth="10" defaultRowHeight="15" x14ac:dyDescent="0.2"/>
  <cols>
    <col min="2" max="2" width="8" customWidth="1"/>
    <col min="3" max="3" width="7.6640625" bestFit="1" customWidth="1"/>
    <col min="6" max="6" width="12.5" bestFit="1" customWidth="1"/>
    <col min="7" max="7" width="6" bestFit="1" customWidth="1"/>
    <col min="8" max="8" width="7.6640625" bestFit="1" customWidth="1"/>
    <col min="9" max="9" width="5.6640625" bestFit="1" customWidth="1"/>
  </cols>
  <sheetData>
    <row r="1" spans="1:10" x14ac:dyDescent="0.2">
      <c r="A1" s="1" t="s">
        <v>122</v>
      </c>
      <c r="E1" s="1" t="s">
        <v>123</v>
      </c>
    </row>
    <row r="2" spans="1:10" x14ac:dyDescent="0.2">
      <c r="A2" s="1" t="s">
        <v>111</v>
      </c>
      <c r="E2" s="20" t="s">
        <v>133</v>
      </c>
      <c r="F2" s="12"/>
      <c r="G2" s="12"/>
      <c r="H2" s="12"/>
    </row>
    <row r="3" spans="1:10" x14ac:dyDescent="0.2">
      <c r="A3" s="19"/>
      <c r="B3" s="43" t="s">
        <v>112</v>
      </c>
      <c r="C3" s="39" t="s">
        <v>132</v>
      </c>
      <c r="E3" s="35" t="s">
        <v>110</v>
      </c>
      <c r="F3" s="36" t="s">
        <v>134</v>
      </c>
      <c r="G3" s="36" t="s">
        <v>112</v>
      </c>
      <c r="H3" s="36" t="s">
        <v>132</v>
      </c>
      <c r="I3" s="37" t="s">
        <v>109</v>
      </c>
      <c r="J3" s="38" t="s">
        <v>125</v>
      </c>
    </row>
    <row r="4" spans="1:10" x14ac:dyDescent="0.2">
      <c r="A4" s="11" t="s">
        <v>116</v>
      </c>
      <c r="B4" s="41">
        <v>12</v>
      </c>
      <c r="C4" s="45">
        <f>(B4*$B$19)/1000/1000</f>
        <v>5.3537967341839917E-4</v>
      </c>
      <c r="E4" s="22" t="s">
        <v>108</v>
      </c>
      <c r="F4" s="21">
        <v>17.329999999999998</v>
      </c>
      <c r="G4" s="27">
        <f>(0.2304*B5)+(0.5953*B8)+(0.0384*B6)+(0.0096*B7)+(0.0576*B11)+(0.0019*B12)+(0.0398*B9)+(0.0269*B10)</f>
        <v>11.269190558666665</v>
      </c>
      <c r="H4" s="25">
        <f>(G4*$B$19)/1000/1000</f>
        <v>5.0277463008238893E-4</v>
      </c>
      <c r="I4" s="28">
        <f>1000/(G4*$B$19) *F4</f>
        <v>34.468724082518165</v>
      </c>
      <c r="J4" s="27" t="s">
        <v>127</v>
      </c>
    </row>
    <row r="5" spans="1:10" x14ac:dyDescent="0.2">
      <c r="A5" s="11" t="s">
        <v>113</v>
      </c>
      <c r="B5" s="41">
        <v>16.042459999999998</v>
      </c>
      <c r="C5" s="45">
        <f t="shared" ref="C5:C12" si="0">(B5*$B$19)/1000/1000</f>
        <v>7.1573391630231102E-4</v>
      </c>
      <c r="E5" s="22" t="s">
        <v>107</v>
      </c>
      <c r="F5" s="21">
        <v>3.2</v>
      </c>
      <c r="G5" s="27">
        <f>0.0363*B8+0.2234*B6+0.221*B7+0.4877*B11+0.0315*B9</f>
        <v>30.286348783999998</v>
      </c>
      <c r="H5" s="25">
        <f>(G5*$B$19)/1000/1000</f>
        <v>1.3512246267511374E-3</v>
      </c>
      <c r="I5" s="28">
        <f>1000/(G5*$B$19) *F5</f>
        <v>2.3682220828775362</v>
      </c>
      <c r="J5" s="27" t="s">
        <v>126</v>
      </c>
    </row>
    <row r="6" spans="1:10" x14ac:dyDescent="0.2">
      <c r="A6" s="11" t="s">
        <v>114</v>
      </c>
      <c r="B6" s="41">
        <v>28.010100000000001</v>
      </c>
      <c r="C6" s="45">
        <f t="shared" si="0"/>
        <v>1.2496698492013921E-3</v>
      </c>
      <c r="E6" s="22" t="s">
        <v>106</v>
      </c>
      <c r="F6" s="21">
        <v>7.47</v>
      </c>
      <c r="G6" s="27">
        <f>0.0264*B8+0.5692*B6+0.1444*B7*0.1383*B11+0.1216*B9</f>
        <v>42.807996159159202</v>
      </c>
      <c r="H6" s="25">
        <f>(G6*$B$19)/1000/1000</f>
        <v>1.9098775836155618E-3</v>
      </c>
      <c r="I6" s="28">
        <f>1000/(G6*$B$19) *F6</f>
        <v>3.9112454453016037</v>
      </c>
      <c r="J6" s="27" t="s">
        <v>126</v>
      </c>
    </row>
    <row r="7" spans="1:10" x14ac:dyDescent="0.2">
      <c r="A7" s="11" t="s">
        <v>115</v>
      </c>
      <c r="B7" s="41">
        <v>44.009500000000003</v>
      </c>
      <c r="C7" s="45">
        <f t="shared" si="0"/>
        <v>1.963482644775587E-3</v>
      </c>
      <c r="E7" s="23" t="s">
        <v>105</v>
      </c>
      <c r="F7" s="24"/>
      <c r="G7" s="29"/>
      <c r="H7" s="26">
        <f>C9</f>
        <v>8.0375122691175155E-4</v>
      </c>
      <c r="I7" s="30">
        <v>2.77</v>
      </c>
      <c r="J7" s="27" t="s">
        <v>128</v>
      </c>
    </row>
    <row r="8" spans="1:10" x14ac:dyDescent="0.2">
      <c r="A8" s="11" t="s">
        <v>117</v>
      </c>
      <c r="B8" s="41">
        <v>2.0158800000000001</v>
      </c>
      <c r="C8" s="45">
        <f t="shared" si="0"/>
        <v>8.9938431337556905E-5</v>
      </c>
      <c r="E8" s="12"/>
      <c r="F8" s="12"/>
      <c r="G8" s="12"/>
      <c r="H8" s="12"/>
    </row>
    <row r="9" spans="1:10" x14ac:dyDescent="0.2">
      <c r="A9" s="11" t="s">
        <v>118</v>
      </c>
      <c r="B9" s="41">
        <v>18.015280000000001</v>
      </c>
      <c r="C9" s="45">
        <f t="shared" si="0"/>
        <v>8.0375122691175155E-4</v>
      </c>
      <c r="E9" s="20" t="s">
        <v>104</v>
      </c>
      <c r="F9" s="12"/>
      <c r="G9" s="12"/>
      <c r="H9" s="12"/>
    </row>
    <row r="10" spans="1:10" x14ac:dyDescent="0.2">
      <c r="A10" s="11" t="s">
        <v>119</v>
      </c>
      <c r="B10" s="41">
        <f>(78.12+92.15+106.7)/3</f>
        <v>92.323333333333338</v>
      </c>
      <c r="C10" s="45">
        <f t="shared" si="0"/>
        <v>4.1190030040748338E-3</v>
      </c>
      <c r="E10" s="19"/>
      <c r="F10" s="9" t="s">
        <v>103</v>
      </c>
      <c r="G10" s="9" t="s">
        <v>102</v>
      </c>
      <c r="H10" s="10" t="s">
        <v>101</v>
      </c>
    </row>
    <row r="11" spans="1:10" x14ac:dyDescent="0.2">
      <c r="A11" s="11" t="s">
        <v>120</v>
      </c>
      <c r="B11" s="41">
        <v>28.013400000000001</v>
      </c>
      <c r="C11" s="45">
        <f t="shared" si="0"/>
        <v>1.2498170786115822E-3</v>
      </c>
      <c r="E11" s="11" t="s">
        <v>100</v>
      </c>
      <c r="F11" s="14">
        <v>0.57879999999999998</v>
      </c>
      <c r="G11" s="12"/>
      <c r="H11" s="15">
        <v>9.4E-2</v>
      </c>
    </row>
    <row r="12" spans="1:10" x14ac:dyDescent="0.2">
      <c r="A12" s="11" t="s">
        <v>121</v>
      </c>
      <c r="B12" s="41">
        <v>31.998799999999999</v>
      </c>
      <c r="C12" s="45">
        <f t="shared" si="0"/>
        <v>1.4276255911483892E-3</v>
      </c>
      <c r="E12" s="11" t="s">
        <v>99</v>
      </c>
      <c r="F12" s="14">
        <v>0.94240000000000002</v>
      </c>
      <c r="G12" s="14">
        <v>4.65E-2</v>
      </c>
      <c r="H12" s="13"/>
    </row>
    <row r="13" spans="1:10" x14ac:dyDescent="0.2">
      <c r="A13" s="16"/>
      <c r="B13" s="44"/>
      <c r="C13" s="33"/>
      <c r="E13" s="11" t="s">
        <v>98</v>
      </c>
      <c r="F13" s="14">
        <v>0.99909999999999999</v>
      </c>
      <c r="G13" s="14">
        <v>4.0000000000000002E-4</v>
      </c>
      <c r="H13" s="13"/>
    </row>
    <row r="14" spans="1:10" x14ac:dyDescent="0.2">
      <c r="B14" s="34"/>
      <c r="C14" s="34"/>
      <c r="E14" s="11" t="s">
        <v>97</v>
      </c>
      <c r="F14" s="14">
        <v>0.98729999999999996</v>
      </c>
      <c r="G14" s="14">
        <v>1.1999999999999999E-3</v>
      </c>
      <c r="H14" s="13"/>
    </row>
    <row r="15" spans="1:10" x14ac:dyDescent="0.2">
      <c r="A15" s="1" t="s">
        <v>124</v>
      </c>
      <c r="B15" s="34"/>
      <c r="C15" s="34"/>
      <c r="E15" s="16" t="s">
        <v>96</v>
      </c>
      <c r="F15" s="17"/>
      <c r="G15" s="17"/>
      <c r="H15" s="18">
        <v>0.4</v>
      </c>
    </row>
    <row r="16" spans="1:10" x14ac:dyDescent="0.2">
      <c r="A16" s="19"/>
      <c r="B16" s="40" t="s">
        <v>129</v>
      </c>
      <c r="C16" s="42"/>
    </row>
    <row r="17" spans="1:3" x14ac:dyDescent="0.2">
      <c r="A17" s="11" t="s">
        <v>130</v>
      </c>
      <c r="B17" s="32">
        <v>3.6</v>
      </c>
      <c r="C17" s="41"/>
    </row>
    <row r="18" spans="1:3" x14ac:dyDescent="0.2">
      <c r="A18" s="11" t="s">
        <v>144</v>
      </c>
      <c r="B18" s="31">
        <f>B17/1000</f>
        <v>3.5999999999999999E-3</v>
      </c>
      <c r="C18" s="41"/>
    </row>
    <row r="19" spans="1:3" x14ac:dyDescent="0.2">
      <c r="A19" s="16" t="s">
        <v>131</v>
      </c>
      <c r="B19" s="33">
        <f>1/0.022414</f>
        <v>44.614972784866602</v>
      </c>
      <c r="C19" s="41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"/>
  <sheetViews>
    <sheetView workbookViewId="0">
      <selection activeCell="E28" sqref="E28"/>
    </sheetView>
  </sheetViews>
  <sheetFormatPr baseColWidth="10" defaultColWidth="8.83203125" defaultRowHeight="15" x14ac:dyDescent="0.2"/>
  <cols>
    <col min="1" max="1" width="11.33203125" bestFit="1" customWidth="1"/>
    <col min="2" max="2" width="11.5" bestFit="1" customWidth="1"/>
    <col min="3" max="3" width="13.83203125" bestFit="1" customWidth="1"/>
    <col min="4" max="4" width="16.6640625" bestFit="1" customWidth="1"/>
    <col min="5" max="5" width="15.6640625" bestFit="1" customWidth="1"/>
    <col min="6" max="6" width="24.83203125" bestFit="1" customWidth="1"/>
  </cols>
  <sheetData>
    <row r="1" spans="1:6" x14ac:dyDescent="0.2">
      <c r="A1" s="1" t="s">
        <v>3</v>
      </c>
      <c r="B1" s="1" t="s">
        <v>2</v>
      </c>
      <c r="C1" s="1"/>
      <c r="D1" s="1"/>
      <c r="E1" s="1"/>
      <c r="F1" s="1"/>
    </row>
    <row r="2" spans="1:6" x14ac:dyDescent="0.2">
      <c r="A2" s="2" t="s">
        <v>4</v>
      </c>
      <c r="B2" s="2" t="s">
        <v>19</v>
      </c>
    </row>
    <row r="3" spans="1:6" x14ac:dyDescent="0.2">
      <c r="A3" s="2" t="s">
        <v>12</v>
      </c>
      <c r="B3" s="2" t="s">
        <v>14</v>
      </c>
    </row>
    <row r="4" spans="1:6" x14ac:dyDescent="0.2">
      <c r="A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Lime Kiln</vt:lpstr>
      <vt:lpstr>Coke Oven</vt:lpstr>
      <vt:lpstr>Sinter Plant</vt:lpstr>
      <vt:lpstr>Blast Furnace</vt:lpstr>
      <vt:lpstr>BOF Steelmaking</vt:lpstr>
      <vt:lpstr>Ladle Metallurgy</vt:lpstr>
      <vt:lpstr>Forming</vt:lpstr>
      <vt:lpstr>Reference Values</vt:lpstr>
      <vt:lpstr>Power Plant</vt:lpstr>
      <vt:lpstr>Heat Recovery</vt:lpstr>
      <vt:lpstr>Air Seperation</vt:lpstr>
      <vt:lpstr>Electric Arc Furnace</vt:lpstr>
      <vt:lpstr>CO2 Capture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 - TBM</dc:creator>
  <cp:lastModifiedBy>S.E. Tanzer</cp:lastModifiedBy>
  <dcterms:created xsi:type="dcterms:W3CDTF">2019-02-19T14:57:47Z</dcterms:created>
  <dcterms:modified xsi:type="dcterms:W3CDTF">2019-03-19T21:04:05Z</dcterms:modified>
</cp:coreProperties>
</file>