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Tanzer/GitHub/Industry-NETs-Paper/data/shared/"/>
    </mc:Choice>
  </mc:AlternateContent>
  <xr:revisionPtr revIDLastSave="0" documentId="13_ncr:1_{8999E8C7-213D-EA4F-8A0B-4EABA139BFEE}" xr6:coauthVersionLast="46" xr6:coauthVersionMax="46" xr10:uidLastSave="{00000000-0000-0000-0000-000000000000}"/>
  <bookViews>
    <workbookView xWindow="7960" yWindow="560" windowWidth="27620" windowHeight="17540" xr2:uid="{00000000-000D-0000-FFFF-FFFF00000000}"/>
  </bookViews>
  <sheets>
    <sheet name="up-emissions" sheetId="3" r:id="rId1"/>
    <sheet name="up-removals" sheetId="2" r:id="rId2"/>
    <sheet name="down-emissions" sheetId="6" r:id="rId3"/>
    <sheet name="down-removal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9" i="3" l="1"/>
  <c r="I77" i="3"/>
  <c r="H77" i="3"/>
  <c r="D77" i="3"/>
  <c r="C77" i="3" s="1"/>
  <c r="N77" i="3" s="1"/>
  <c r="C140" i="3"/>
  <c r="E113" i="3"/>
  <c r="D130" i="3"/>
  <c r="E130" i="3"/>
  <c r="C103" i="3"/>
  <c r="I99" i="3"/>
  <c r="H99" i="3"/>
  <c r="D99" i="3"/>
  <c r="C99" i="3" s="1"/>
  <c r="N99" i="3" s="1"/>
  <c r="I98" i="3"/>
  <c r="H98" i="3" s="1"/>
  <c r="D98" i="3"/>
  <c r="C98" i="3"/>
  <c r="N98" i="3" s="1"/>
  <c r="C97" i="3"/>
  <c r="C94" i="3"/>
  <c r="C93" i="3"/>
  <c r="J84" i="3"/>
  <c r="I84" i="3"/>
  <c r="H84" i="3" s="1"/>
  <c r="L84" i="3" s="1"/>
  <c r="N84" i="3" s="1"/>
  <c r="C84" i="3"/>
  <c r="C71" i="3"/>
  <c r="N71" i="3" s="1"/>
  <c r="C72" i="3"/>
  <c r="H34" i="3"/>
  <c r="L34" i="3" s="1"/>
  <c r="N34" i="3" s="1"/>
  <c r="C34" i="3"/>
  <c r="H33" i="3"/>
  <c r="C33" i="3"/>
  <c r="H13" i="3"/>
  <c r="L13" i="3" s="1"/>
  <c r="N13" i="3" s="1"/>
  <c r="C13" i="3"/>
  <c r="C73" i="3"/>
  <c r="C117" i="3" l="1"/>
  <c r="C116" i="3"/>
  <c r="F115" i="3"/>
  <c r="E115" i="3"/>
  <c r="D115" i="3"/>
  <c r="F121" i="3"/>
  <c r="E121" i="3"/>
  <c r="D121" i="3"/>
  <c r="F126" i="3"/>
  <c r="E126" i="3"/>
  <c r="D126" i="3"/>
  <c r="C115" i="3" l="1"/>
  <c r="C119" i="3"/>
  <c r="F118" i="3" l="1"/>
  <c r="E118" i="3"/>
  <c r="D118" i="3"/>
  <c r="C122" i="3"/>
  <c r="C121" i="3"/>
  <c r="C120" i="3"/>
  <c r="C123" i="3"/>
  <c r="C118" i="3" l="1"/>
  <c r="C158" i="3" l="1"/>
  <c r="C157" i="3"/>
  <c r="C154" i="3"/>
  <c r="C153" i="3"/>
  <c r="C152" i="3"/>
  <c r="C151" i="3"/>
  <c r="C149" i="3"/>
  <c r="C148" i="3"/>
  <c r="C147" i="3"/>
  <c r="C145" i="3"/>
  <c r="K150" i="3"/>
  <c r="P150" i="3"/>
  <c r="J150" i="3"/>
  <c r="I150" i="3"/>
  <c r="F150" i="3"/>
  <c r="E150" i="3"/>
  <c r="D150" i="3"/>
  <c r="P149" i="3"/>
  <c r="C156" i="3"/>
  <c r="G149" i="3"/>
  <c r="K146" i="3"/>
  <c r="J146" i="3"/>
  <c r="I146" i="3"/>
  <c r="D146" i="3"/>
  <c r="G148" i="3"/>
  <c r="G147" i="3"/>
  <c r="F146" i="3"/>
  <c r="E146" i="3"/>
  <c r="P148" i="3"/>
  <c r="G145" i="3"/>
  <c r="P145" i="3"/>
  <c r="C150" i="3" l="1"/>
  <c r="C146" i="3"/>
  <c r="G146" i="3"/>
  <c r="C83" i="3"/>
  <c r="C125" i="3" l="1"/>
  <c r="K126" i="3" l="1"/>
  <c r="J126" i="3"/>
  <c r="I126" i="3"/>
  <c r="I130" i="3"/>
  <c r="C144" i="3"/>
  <c r="C143" i="3"/>
  <c r="C142" i="3"/>
  <c r="C141" i="3"/>
  <c r="C128" i="3"/>
  <c r="C127" i="3"/>
  <c r="F130" i="3" l="1"/>
  <c r="C130" i="3" s="1"/>
  <c r="C124" i="3"/>
  <c r="H124" i="3"/>
  <c r="C126" i="3"/>
  <c r="G127" i="3"/>
  <c r="B127" i="3"/>
  <c r="I133" i="3"/>
  <c r="I132" i="3"/>
  <c r="I131" i="3"/>
  <c r="C113" i="3"/>
  <c r="H126" i="3" l="1"/>
  <c r="C112" i="3"/>
  <c r="H111" i="3"/>
  <c r="L111" i="3" s="1"/>
  <c r="C111" i="3"/>
  <c r="H110" i="3"/>
  <c r="L110" i="3" s="1"/>
  <c r="C110" i="3"/>
  <c r="H109" i="3"/>
  <c r="L109" i="3" s="1"/>
  <c r="C109" i="3"/>
  <c r="H108" i="3"/>
  <c r="L108" i="3" s="1"/>
  <c r="C108" i="3"/>
  <c r="H105" i="3"/>
  <c r="C105" i="3"/>
  <c r="N105" i="3" s="1"/>
  <c r="H104" i="3"/>
  <c r="H106" i="3" s="1"/>
  <c r="L106" i="3" s="1"/>
  <c r="N106" i="3" s="1"/>
  <c r="I102" i="3"/>
  <c r="H102" i="3" s="1"/>
  <c r="C102" i="3"/>
  <c r="I101" i="3"/>
  <c r="H101" i="3" s="1"/>
  <c r="D101" i="3"/>
  <c r="C101" i="3" s="1"/>
  <c r="N101" i="3" s="1"/>
  <c r="J100" i="3"/>
  <c r="H100" i="3" s="1"/>
  <c r="L100" i="3" s="1"/>
  <c r="C100" i="3"/>
  <c r="C96" i="3"/>
  <c r="C95" i="3"/>
  <c r="M91" i="3"/>
  <c r="G91" i="3"/>
  <c r="H90" i="3"/>
  <c r="L90" i="3" s="1"/>
  <c r="C90" i="3"/>
  <c r="H89" i="3"/>
  <c r="L89" i="3" s="1"/>
  <c r="C89" i="3"/>
  <c r="H88" i="3"/>
  <c r="L88" i="3" s="1"/>
  <c r="C88" i="3"/>
  <c r="H87" i="3"/>
  <c r="L87" i="3" s="1"/>
  <c r="C87" i="3"/>
  <c r="H86" i="3"/>
  <c r="L86" i="3" s="1"/>
  <c r="C86" i="3"/>
  <c r="H85" i="3"/>
  <c r="L85" i="3" s="1"/>
  <c r="C85" i="3"/>
  <c r="H82" i="3"/>
  <c r="L82" i="3" s="1"/>
  <c r="C82" i="3"/>
  <c r="H81" i="3"/>
  <c r="L81" i="3" s="1"/>
  <c r="C81" i="3"/>
  <c r="M80" i="3"/>
  <c r="G80" i="3"/>
  <c r="H79" i="3"/>
  <c r="C79" i="3"/>
  <c r="F78" i="3"/>
  <c r="E78" i="3"/>
  <c r="D78" i="3"/>
  <c r="M76" i="3"/>
  <c r="G76" i="3"/>
  <c r="C75" i="3"/>
  <c r="M74" i="3"/>
  <c r="G74" i="3"/>
  <c r="C70" i="3"/>
  <c r="C69" i="3"/>
  <c r="C68" i="3"/>
  <c r="C67" i="3"/>
  <c r="H66" i="3"/>
  <c r="H75" i="3" s="1"/>
  <c r="L75" i="3" s="1"/>
  <c r="C66" i="3"/>
  <c r="H65" i="3"/>
  <c r="C65" i="3"/>
  <c r="J64" i="3"/>
  <c r="I64" i="3"/>
  <c r="F64" i="3"/>
  <c r="E64" i="3"/>
  <c r="D64" i="3"/>
  <c r="G63" i="3"/>
  <c r="J62" i="3"/>
  <c r="I62" i="3"/>
  <c r="G62" i="3"/>
  <c r="G60" i="3"/>
  <c r="M59" i="3"/>
  <c r="G59" i="3"/>
  <c r="M58" i="3"/>
  <c r="G58" i="3"/>
  <c r="M57" i="3"/>
  <c r="G57" i="3"/>
  <c r="G56" i="3"/>
  <c r="G55" i="3"/>
  <c r="G54" i="3"/>
  <c r="M53" i="3"/>
  <c r="G53" i="3"/>
  <c r="C52" i="3"/>
  <c r="H51" i="3"/>
  <c r="L51" i="3" s="1"/>
  <c r="C51" i="3"/>
  <c r="C50" i="3"/>
  <c r="C49" i="3"/>
  <c r="C48" i="3"/>
  <c r="I47" i="3"/>
  <c r="H47" i="3" s="1"/>
  <c r="C47" i="3"/>
  <c r="I46" i="3"/>
  <c r="H46" i="3" s="1"/>
  <c r="H72" i="3" s="1"/>
  <c r="L72" i="3" s="1"/>
  <c r="N72" i="3" s="1"/>
  <c r="C46" i="3"/>
  <c r="H45" i="3"/>
  <c r="H44" i="3"/>
  <c r="L44" i="3" s="1"/>
  <c r="C44" i="3"/>
  <c r="H43" i="3"/>
  <c r="M36" i="3"/>
  <c r="G36" i="3"/>
  <c r="H35" i="3"/>
  <c r="L35" i="3" s="1"/>
  <c r="C35" i="3"/>
  <c r="C78" i="3"/>
  <c r="K32" i="3"/>
  <c r="J32" i="3"/>
  <c r="I32" i="3"/>
  <c r="C32" i="3"/>
  <c r="H31" i="3"/>
  <c r="L31" i="3" s="1"/>
  <c r="C31" i="3"/>
  <c r="H30" i="3"/>
  <c r="C30" i="3"/>
  <c r="M29" i="3"/>
  <c r="G29" i="3"/>
  <c r="K28" i="3"/>
  <c r="J28" i="3"/>
  <c r="I28" i="3"/>
  <c r="F28" i="3"/>
  <c r="E28" i="3"/>
  <c r="D28" i="3"/>
  <c r="K27" i="3"/>
  <c r="J27" i="3"/>
  <c r="I27" i="3"/>
  <c r="F27" i="3"/>
  <c r="E27" i="3"/>
  <c r="D27" i="3"/>
  <c r="G26" i="3"/>
  <c r="C25" i="3"/>
  <c r="C24" i="3"/>
  <c r="C23" i="3"/>
  <c r="C22" i="3"/>
  <c r="C21" i="3"/>
  <c r="C20" i="3"/>
  <c r="H19" i="3"/>
  <c r="C19" i="3"/>
  <c r="H16" i="3"/>
  <c r="D16" i="3"/>
  <c r="C16" i="3" s="1"/>
  <c r="C17" i="3" s="1"/>
  <c r="C15" i="3"/>
  <c r="H14" i="3"/>
  <c r="L14" i="3" s="1"/>
  <c r="C14" i="3"/>
  <c r="M12" i="3"/>
  <c r="G12" i="3"/>
  <c r="M11" i="3"/>
  <c r="G11" i="3"/>
  <c r="C10" i="3"/>
  <c r="H9" i="3"/>
  <c r="L9" i="3" s="1"/>
  <c r="C9" i="3"/>
  <c r="M8" i="3"/>
  <c r="G8" i="3"/>
  <c r="C7" i="3"/>
  <c r="C6" i="3"/>
  <c r="C5" i="3"/>
  <c r="J4" i="3"/>
  <c r="I4" i="3"/>
  <c r="C4" i="3"/>
  <c r="N109" i="3" l="1"/>
  <c r="N87" i="3"/>
  <c r="N111" i="3"/>
  <c r="N82" i="3"/>
  <c r="N89" i="3"/>
  <c r="H27" i="3"/>
  <c r="L27" i="3" s="1"/>
  <c r="N51" i="3"/>
  <c r="H28" i="3"/>
  <c r="L28" i="3" s="1"/>
  <c r="N31" i="3"/>
  <c r="N108" i="3"/>
  <c r="N110" i="3"/>
  <c r="N14" i="3"/>
  <c r="L16" i="3"/>
  <c r="N16" i="3" s="1"/>
  <c r="N90" i="3"/>
  <c r="N86" i="3"/>
  <c r="H64" i="3"/>
  <c r="N88" i="3"/>
  <c r="N81" i="3"/>
  <c r="H32" i="3"/>
  <c r="L32" i="3" s="1"/>
  <c r="N32" i="3" s="1"/>
  <c r="C64" i="3"/>
  <c r="N75" i="3"/>
  <c r="C18" i="3"/>
  <c r="N85" i="3"/>
  <c r="N100" i="3"/>
  <c r="H4" i="3"/>
  <c r="N9" i="3"/>
  <c r="N35" i="3"/>
  <c r="H107" i="3"/>
  <c r="L107" i="3" s="1"/>
  <c r="N107" i="3" s="1"/>
  <c r="L64" i="3"/>
  <c r="H17" i="3"/>
  <c r="C28" i="3"/>
  <c r="H18" i="3"/>
  <c r="L18" i="3" s="1"/>
  <c r="C27" i="3"/>
  <c r="N64" i="3" l="1"/>
  <c r="N27" i="3"/>
  <c r="N18" i="3"/>
  <c r="N28" i="3"/>
  <c r="B4" i="6"/>
  <c r="C64" i="2"/>
  <c r="C43" i="2"/>
  <c r="C42" i="2"/>
  <c r="C39" i="2"/>
  <c r="B12" i="2"/>
  <c r="B43" i="2"/>
  <c r="B42" i="2"/>
  <c r="B39" i="2"/>
  <c r="B13" i="2"/>
</calcChain>
</file>

<file path=xl/sharedStrings.xml><?xml version="1.0" encoding="utf-8"?>
<sst xmlns="http://schemas.openxmlformats.org/spreadsheetml/2006/main" count="552" uniqueCount="297">
  <si>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</si>
  <si>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</si>
  <si>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</si>
  <si>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</si>
  <si>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</si>
  <si>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</si>
  <si>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</si>
  <si>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</si>
  <si>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</si>
  <si>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</si>
  <si>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</si>
  <si>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</si>
  <si>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</si>
  <si>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</si>
  <si>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</si>
  <si>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</si>
  <si>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</si>
  <si>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</si>
  <si>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</si>
  <si>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</si>
  <si>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</si>
  <si>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</si>
  <si>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</si>
  <si>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</si>
  <si>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</si>
  <si>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</si>
  <si>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</si>
  <si>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</si>
  <si>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</si>
  <si>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</si>
  <si>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</si>
  <si>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</si>
  <si>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</si>
  <si>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</si>
  <si>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</si>
  <si>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</si>
  <si>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</si>
  <si>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</si>
  <si>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</si>
  <si>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</si>
  <si>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</si>
  <si>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</si>
  <si>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</si>
  <si>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</si>
  <si>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</si>
  <si>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</si>
  <si>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</si>
  <si>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</si>
  <si>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</si>
  <si>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</si>
  <si>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</si>
  <si>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</si>
  <si>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</si>
  <si>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</si>
  <si>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</si>
  <si>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</si>
  <si>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</si>
  <si>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</si>
  <si>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</si>
  <si>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</si>
  <si>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hot rolled coil</t>
  </si>
  <si>
    <t>solvent sludge</t>
  </si>
  <si>
    <t>Disposal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</si>
  <si>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</si>
  <si>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</si>
  <si>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</si>
  <si>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</si>
  <si>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</si>
  <si>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</si>
  <si>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</si>
  <si>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</si>
  <si>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</si>
  <si>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</si>
  <si>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</si>
  <si>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</si>
  <si>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</si>
  <si>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</si>
  <si>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</si>
  <si>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</si>
  <si>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</si>
  <si>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</si>
  <si>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</si>
  <si>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</si>
  <si>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</si>
  <si>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</si>
  <si>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</si>
  <si>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</si>
  <si>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</si>
  <si>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</si>
  <si>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</si>
  <si>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</si>
  <si>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</si>
  <si>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</si>
  <si>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</si>
  <si>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</si>
  <si>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</si>
  <si>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</si>
  <si>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</si>
  <si>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</si>
  <si>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low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</si>
  <si>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</si>
  <si>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</si>
  <si>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</si>
  <si>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</si>
  <si>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</si>
  <si>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</si>
  <si>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</si>
  <si>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</si>
  <si>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</si>
  <si>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</si>
  <si>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</si>
  <si>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</si>
  <si>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</si>
  <si>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</si>
  <si>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</si>
  <si>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</si>
  <si>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</si>
  <si>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</si>
  <si>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</si>
  <si>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</si>
  <si>
    <t>dry wood chips (EU no swiss)</t>
  </si>
  <si>
    <t>dry wood chips (EU no swiss) also</t>
  </si>
  <si>
    <t>Clay - ROW</t>
  </si>
  <si>
    <t>RoW</t>
  </si>
  <si>
    <t>Clinker - EU</t>
  </si>
  <si>
    <t>Clinker - CH</t>
  </si>
  <si>
    <t>Clinker - RoW</t>
  </si>
  <si>
    <t>Clinker - CA</t>
  </si>
  <si>
    <t>clay</t>
  </si>
  <si>
    <t>gypsum</t>
  </si>
  <si>
    <t>t CO2 / t product</t>
  </si>
  <si>
    <t>t CO2eq/t product</t>
  </si>
  <si>
    <t>CO2 removed - ignored</t>
  </si>
  <si>
    <t>calcination CO2</t>
  </si>
  <si>
    <t>sand</t>
  </si>
  <si>
    <t>bauxite</t>
  </si>
  <si>
    <t>blast furnace slag</t>
  </si>
  <si>
    <t>ecoinvent - clinker EU wo CH (cement factory use + refactory bricks)</t>
  </si>
  <si>
    <t>ecoinvent - clinker EU wo CH (waste disposal)</t>
  </si>
  <si>
    <t>clinker waste disposal</t>
  </si>
  <si>
    <t>NaOH</t>
  </si>
  <si>
    <t>H2O2</t>
  </si>
  <si>
    <t>H2SO4</t>
  </si>
  <si>
    <t>Talc</t>
  </si>
  <si>
    <t>roundwood</t>
  </si>
  <si>
    <t>meta-alt name</t>
  </si>
  <si>
    <t>sodium hydroxide</t>
  </si>
  <si>
    <t>NaClO3</t>
  </si>
  <si>
    <t>sodium chlorate</t>
  </si>
  <si>
    <t>magnesium sulfate</t>
  </si>
  <si>
    <t>hydrogen peroxide</t>
  </si>
  <si>
    <t>CH3OH</t>
  </si>
  <si>
    <t>MgSO4</t>
  </si>
  <si>
    <t>EU no CH</t>
  </si>
  <si>
    <t>dry cleft timber (at 50% moisture)</t>
  </si>
  <si>
    <t>HFO - IPCC</t>
  </si>
  <si>
    <t>Methanol</t>
  </si>
  <si>
    <t>DISPOSAL - spent solvent</t>
  </si>
  <si>
    <t>Transport of CO2 Onshore **IN TKM**</t>
  </si>
  <si>
    <t>Transport of CO2 Offshore **IN TKM**</t>
  </si>
  <si>
    <t>Transport of CO2 **IN TKM**</t>
  </si>
  <si>
    <t>C2H6O</t>
  </si>
  <si>
    <t>maize (dry)</t>
  </si>
  <si>
    <t>Urea</t>
  </si>
  <si>
    <t>CO2 infrastructure</t>
  </si>
  <si>
    <t>aggregate</t>
  </si>
  <si>
    <t>gravel, round (CH)</t>
  </si>
  <si>
    <t>aggregate-ROW</t>
  </si>
  <si>
    <t>gravel, round (ROW)</t>
  </si>
  <si>
    <t>calcerous marl</t>
  </si>
  <si>
    <t>hard coal (West Europe) - includes transport</t>
  </si>
  <si>
    <t>concrete admixture</t>
  </si>
  <si>
    <t>chemical, organic [GLO]</t>
  </si>
  <si>
    <t>0.0.00000195</t>
  </si>
  <si>
    <t>Cleft timber, measured as dry mass {Europe without Switzerland}| market for | APOS, U includes transport</t>
  </si>
  <si>
    <t>Heavy Machinery</t>
  </si>
  <si>
    <t>per tonne of machinery - Industrial Heavy Machinery unspecified RER</t>
  </si>
  <si>
    <t>Infrastructure Use - charcoal kiln</t>
  </si>
  <si>
    <t>Infrastructure Use - Clinker Kiln</t>
  </si>
  <si>
    <t>Infrastructure Use - electricity generation (GJ)</t>
  </si>
  <si>
    <t>Infrastructure Use - lime kiln</t>
  </si>
  <si>
    <t>Infrastructure Use - Cement Mixing</t>
  </si>
  <si>
    <t>5.36E-11 per kg</t>
  </si>
  <si>
    <t>Infrastructure Use - Meal Preparation</t>
  </si>
  <si>
    <t>Infrastructure Use - CO2 Capture</t>
  </si>
  <si>
    <t>1.06383E-8 p per t of CO2</t>
  </si>
  <si>
    <t>Shackel thesis/Koornneef 2008</t>
  </si>
  <si>
    <t>Infrastructure Use - Concrete (m3)</t>
  </si>
  <si>
    <t>4.569996E-07p of concrete mixing factory CH</t>
  </si>
  <si>
    <t>ammonia</t>
  </si>
  <si>
    <t>Pipeline transport  (tkm)</t>
  </si>
  <si>
    <t>natural gas pipeline</t>
  </si>
  <si>
    <t>MEA</t>
  </si>
  <si>
    <t>tkm lorry transport  &gt;32t EURO6</t>
  </si>
  <si>
    <t>tkm lorry transport 16-32t ROW EURO6</t>
  </si>
  <si>
    <t>16-32t ROW EURO6</t>
  </si>
  <si>
    <t>transport - rail (tkm)</t>
  </si>
  <si>
    <t>transport, freight train, RER</t>
  </si>
  <si>
    <t>transport - lorry (tkm)</t>
  </si>
  <si>
    <t>transport - pipeline offshore  (tkm)</t>
  </si>
  <si>
    <t>transport - pipeline onshore  (tkm)</t>
  </si>
  <si>
    <t>water</t>
  </si>
  <si>
    <t>concrete disposal</t>
  </si>
  <si>
    <t>concrete demoliton and sorting</t>
  </si>
  <si>
    <t xml:space="preserve">sulfuric acid   </t>
  </si>
  <si>
    <t>yeast</t>
  </si>
  <si>
    <t>wastewater treatment</t>
  </si>
  <si>
    <t>enzymes</t>
  </si>
  <si>
    <t>bagasse</t>
  </si>
  <si>
    <t>corn stover USLCI - at plant</t>
  </si>
  <si>
    <t>corn stover USLCI - ground and stored</t>
  </si>
  <si>
    <t>corn stover USLCI - production</t>
  </si>
  <si>
    <t>USLCI</t>
  </si>
  <si>
    <t>N2O: 0.0382</t>
  </si>
  <si>
    <t>N2O: 0.0381</t>
  </si>
  <si>
    <t>N2O: 0.135; lots of transport</t>
  </si>
  <si>
    <t>maize (14% H2O)</t>
  </si>
  <si>
    <t xml:space="preserve">Maize grain {glo} market </t>
  </si>
  <si>
    <t>15.5% moisture; incremental allocation</t>
  </si>
  <si>
    <t>corn stover (dry)</t>
  </si>
  <si>
    <t>wastewater treatment - miaze starch</t>
  </si>
  <si>
    <t>wastewater treatment - concrete</t>
  </si>
  <si>
    <t>wastewater treatment - iron</t>
  </si>
  <si>
    <t>infrastructure use - ethanol plant</t>
  </si>
  <si>
    <t>infrastructure use - steam generation (GJ)</t>
  </si>
  <si>
    <t>"average" EU no CH</t>
  </si>
  <si>
    <t>maize (14% H2O) - organic</t>
  </si>
  <si>
    <t>MDEA</t>
  </si>
  <si>
    <t>infrastructure use - biogas plant</t>
  </si>
  <si>
    <t>infrastructure use - hydrogen plant</t>
  </si>
  <si>
    <t>infrastructure use - ammonia plant</t>
  </si>
  <si>
    <t>infrastructure use - urea upgrading</t>
  </si>
  <si>
    <t>infrastructure use - biogas upgrading</t>
  </si>
  <si>
    <t>4.0E-7 Chemical factory, organics {RER}| construction | APOS, U</t>
  </si>
  <si>
    <t>AD plant for biowaste (CH)</t>
  </si>
  <si>
    <t>Biowaste AD plant CH</t>
  </si>
  <si>
    <t>REFERENCE urea</t>
  </si>
  <si>
    <t xml:space="preserve">REFERENCE biogas from food waste </t>
  </si>
  <si>
    <t>REFERENCE ethanol from maize</t>
  </si>
  <si>
    <t>REFERENCE hydrogen</t>
  </si>
  <si>
    <t>1.8E-07 Chemical factory, organics {RER}| construction | APOS, U</t>
  </si>
  <si>
    <t>Transport - Municipal Waste Collection tkm</t>
  </si>
  <si>
    <t>Biogas {CH}| treatment of biowaste by anaerobic digestion | APOS, S</t>
  </si>
  <si>
    <t xml:space="preserve"> 1250 M3 - assumed density of 0.8 kg/m3</t>
  </si>
  <si>
    <t>straw - standalone CH</t>
  </si>
  <si>
    <t>15% H2O</t>
  </si>
  <si>
    <t>straw - rye RER</t>
  </si>
  <si>
    <t>N2O: 0.0365</t>
  </si>
  <si>
    <t>N2O: 0.0442</t>
  </si>
  <si>
    <t>sugarcane - BR</t>
  </si>
  <si>
    <t>sugarcane - ROW</t>
  </si>
  <si>
    <t>71.4% H2O</t>
  </si>
  <si>
    <t>miscanthus</t>
  </si>
  <si>
    <t>chopped GLO</t>
  </si>
  <si>
    <t>N2O 0.0164</t>
  </si>
  <si>
    <t xml:space="preserve">Urea </t>
  </si>
  <si>
    <t>ref in kg N in Urea</t>
  </si>
  <si>
    <t>REFERENCE ethanol from sugarcane</t>
  </si>
  <si>
    <t>REFERENCE ethanol from wood (DA pretreatment)</t>
  </si>
  <si>
    <t>N2O: 0.141</t>
  </si>
  <si>
    <t>N2O: 0.234</t>
  </si>
  <si>
    <t>N2O: 0.126</t>
  </si>
  <si>
    <t>REFERENCE biomethane from biogas</t>
  </si>
  <si>
    <t>1428 m3 - assumed density of 0.7kg/m3</t>
  </si>
  <si>
    <t>N2O: 0.253</t>
  </si>
  <si>
    <t>REFERENCE concrete block</t>
  </si>
  <si>
    <t>food waste 50% H2O</t>
  </si>
  <si>
    <t>maize (14% H2O) - CAQC</t>
  </si>
  <si>
    <t>maize (14% H2O) - BRGO</t>
  </si>
  <si>
    <t>ROW</t>
  </si>
  <si>
    <t>maize (14% H2O) - ROW rainfed</t>
  </si>
  <si>
    <t>maize (dry) - ROW</t>
  </si>
  <si>
    <t>maize (dry) - CH organic</t>
  </si>
  <si>
    <t>maize (dry) - US</t>
  </si>
  <si>
    <t>maize (dry) - Swiss</t>
  </si>
  <si>
    <t>maize (dry) - Brazil</t>
  </si>
  <si>
    <t>maize (dry) - Global</t>
  </si>
  <si>
    <t>maize (dry) - Organic</t>
  </si>
  <si>
    <t>maize grain organic - glo market</t>
  </si>
  <si>
    <t>maize grain - br market</t>
  </si>
  <si>
    <t>market for ammonia, liquid RER</t>
  </si>
  <si>
    <t>market for hard coal Europe, without Russia and Turkey</t>
  </si>
  <si>
    <t>market for cleft timber, measured as dry mass Europe without Switzerland</t>
  </si>
  <si>
    <t>market for wood chips, wet, measured as dry mass Europe without Switzerland</t>
  </si>
  <si>
    <t>market group for natural gas, high pressure Europe without Switzerland (density: 0.81kg/m3)</t>
  </si>
  <si>
    <t>market for monoethanolamine GLO</t>
  </si>
  <si>
    <t>market for transport, freight, lorry &gt;32 metric ton, EURO6 RER</t>
  </si>
  <si>
    <t>market for transport, freight, lorry 16-32 metric ton, EURO3 RER</t>
  </si>
  <si>
    <t>market for transport, pipeline, long distance, natural gas RER</t>
  </si>
  <si>
    <t>market for tap water Europe without Switzerland</t>
  </si>
  <si>
    <t>market for maize grain, Swiss integrated production GLO</t>
  </si>
  <si>
    <t>Corn stover, production, average, US, 2022/kg/RNA</t>
  </si>
  <si>
    <t>market for enzymes GLO</t>
  </si>
  <si>
    <t>market for sulfuric acid RER</t>
  </si>
  <si>
    <t>market for municipal waste collection service by 21 metric ton lorry GLO</t>
  </si>
  <si>
    <t>enzymes RER</t>
  </si>
  <si>
    <t>enzymes - RER, produciton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</si>
</sst>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2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i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0" fontId="5" fillId="0" borderId="0" xfId="2"/>
    <xf numFmtId="0" fontId="8" fillId="0" borderId="0" xfId="0" applyFont="1" applyAlignment="1">
      <alignment wrapText="1"/>
    </xf>
    <xf numFmtId="0" fontId="10" fillId="0" borderId="0" xfId="0" applyFont="1"/>
    <xf numFmtId="0" fontId="8" fillId="0" borderId="0" xfId="0" applyFont="1"/>
    <xf numFmtId="165" fontId="0" fillId="0" borderId="0" xfId="0" applyNumberFormat="1"/>
    <xf numFmtId="0" fontId="7" fillId="0" borderId="1" xfId="0" applyFont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/>
    <xf numFmtId="11" fontId="8" fillId="0" borderId="0" xfId="0" applyNumberFormat="1" applyFont="1"/>
  </cellXfs>
  <cellStyles count="3">
    <cellStyle name="Normal" xfId="0" builtinId="0"/>
    <cellStyle name="Normal 2" xfId="2" xr:uid="{00000000-0005-0000-0000-0000010000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8"/>
  <sheetViews>
    <sheetView tabSelected="1" zoomScale="170" zoomScaleNormal="170" workbookViewId="0">
      <pane xSplit="1" ySplit="3" topLeftCell="B116" activePane="bottomRight" state="frozen"/>
      <selection pane="topRight" activeCell="B1" sqref="B1"/>
      <selection pane="bottomLeft" activeCell="A4" sqref="A4"/>
      <selection pane="bottomRight" activeCell="A129" sqref="A129"/>
    </sheetView>
  </sheetViews>
  <sheetFormatPr baseColWidth="10" defaultColWidth="11.5" defaultRowHeight="15" x14ac:dyDescent="0.2"/>
  <cols>
    <col min="1" max="1" width="38.1640625" customWidth="1"/>
    <col min="2" max="2" width="22.5" style="19" customWidth="1"/>
    <col min="3" max="3" width="11.83203125" bestFit="1" customWidth="1"/>
    <col min="6" max="6" width="12.1640625" bestFit="1" customWidth="1"/>
    <col min="9" max="9" width="11.83203125" bestFit="1" customWidth="1"/>
    <col min="11" max="11" width="12.1640625" bestFit="1" customWidth="1"/>
  </cols>
  <sheetData>
    <row r="1" spans="1:17" ht="34" customHeight="1" x14ac:dyDescent="0.2">
      <c r="A1" s="1" t="s">
        <v>11</v>
      </c>
      <c r="B1" s="17" t="s">
        <v>145</v>
      </c>
      <c r="C1" s="12" t="s">
        <v>22</v>
      </c>
      <c r="D1" s="3" t="s">
        <v>18</v>
      </c>
      <c r="E1" s="3" t="s">
        <v>19</v>
      </c>
      <c r="F1" s="3" t="s">
        <v>73</v>
      </c>
      <c r="G1" s="1" t="s">
        <v>164</v>
      </c>
      <c r="H1" s="1" t="s">
        <v>79</v>
      </c>
      <c r="I1" s="3" t="s">
        <v>20</v>
      </c>
      <c r="J1" s="3" t="s">
        <v>21</v>
      </c>
      <c r="K1" s="3" t="s">
        <v>72</v>
      </c>
      <c r="L1" s="3" t="s">
        <v>70</v>
      </c>
      <c r="M1" s="3" t="s">
        <v>91</v>
      </c>
      <c r="N1" s="3" t="s">
        <v>71</v>
      </c>
      <c r="O1" s="3" t="s">
        <v>12</v>
      </c>
      <c r="P1" s="3" t="s">
        <v>29</v>
      </c>
      <c r="Q1" t="s">
        <v>102</v>
      </c>
    </row>
    <row r="2" spans="1:17" ht="17" customHeight="1" x14ac:dyDescent="0.2">
      <c r="A2" s="2" t="s">
        <v>0</v>
      </c>
      <c r="B2" s="2"/>
      <c r="C2" s="13"/>
      <c r="D2" s="4"/>
      <c r="E2" s="4"/>
      <c r="F2" s="4"/>
      <c r="G2" s="2"/>
      <c r="H2" s="2"/>
      <c r="I2" s="4"/>
      <c r="J2" s="4"/>
      <c r="K2" s="5"/>
      <c r="L2" s="5"/>
      <c r="M2" s="5"/>
      <c r="N2" s="5"/>
      <c r="O2" s="4"/>
    </row>
    <row r="3" spans="1:17" ht="16" x14ac:dyDescent="0.2">
      <c r="A3" s="2" t="s">
        <v>1</v>
      </c>
      <c r="B3" s="2"/>
      <c r="C3" s="4" t="s">
        <v>130</v>
      </c>
      <c r="D3" s="4" t="s">
        <v>130</v>
      </c>
      <c r="E3" s="4" t="s">
        <v>130</v>
      </c>
      <c r="F3" s="4" t="s">
        <v>130</v>
      </c>
      <c r="G3" s="2"/>
      <c r="H3" s="4" t="s">
        <v>131</v>
      </c>
      <c r="I3" s="4" t="s">
        <v>131</v>
      </c>
      <c r="J3" s="4" t="s">
        <v>131</v>
      </c>
      <c r="K3" s="4" t="s">
        <v>131</v>
      </c>
      <c r="L3" s="4" t="s">
        <v>131</v>
      </c>
      <c r="M3" s="4"/>
      <c r="N3" s="5"/>
      <c r="O3" s="4"/>
    </row>
    <row r="4" spans="1:17" hidden="1" x14ac:dyDescent="0.2">
      <c r="A4" t="s">
        <v>119</v>
      </c>
      <c r="C4" s="11">
        <f>SUM(D4:F4)</f>
        <v>5.4908799999999994E-2</v>
      </c>
      <c r="D4" s="5">
        <v>5.1999999999999998E-2</v>
      </c>
      <c r="E4" s="5">
        <v>2.8700000000000002E-3</v>
      </c>
      <c r="F4" s="7">
        <v>3.8800000000000001E-5</v>
      </c>
      <c r="H4">
        <f>SUM(I4:K4)</f>
        <v>5.7666219999999999E-3</v>
      </c>
      <c r="I4" s="5">
        <f>0.00572</f>
        <v>5.7200000000000003E-3</v>
      </c>
      <c r="J4" s="5">
        <f>0.0000465</f>
        <v>4.6499999999999999E-5</v>
      </c>
      <c r="K4" s="7">
        <v>1.2200000000000001E-7</v>
      </c>
      <c r="L4" s="5"/>
      <c r="M4" s="5"/>
      <c r="N4" s="5"/>
      <c r="O4" s="5"/>
      <c r="Q4" t="s">
        <v>109</v>
      </c>
    </row>
    <row r="5" spans="1:17" hidden="1" x14ac:dyDescent="0.2">
      <c r="A5" t="s">
        <v>165</v>
      </c>
      <c r="B5" s="19" t="s">
        <v>166</v>
      </c>
      <c r="C5" s="11">
        <f>SUM(D5:F5)</f>
        <v>4.8631129999999996E-3</v>
      </c>
      <c r="D5">
        <v>4.8599999999999997E-3</v>
      </c>
      <c r="E5" s="8">
        <v>1.9299999999999999E-7</v>
      </c>
      <c r="F5" s="8">
        <v>2.92E-6</v>
      </c>
      <c r="I5">
        <v>1.3200000000000001E-4</v>
      </c>
    </row>
    <row r="6" spans="1:17" hidden="1" x14ac:dyDescent="0.2">
      <c r="A6" t="s">
        <v>167</v>
      </c>
      <c r="B6" s="19" t="s">
        <v>168</v>
      </c>
      <c r="C6" s="11">
        <f>SUM(D6:F6)</f>
        <v>2.2408553000000001E-2</v>
      </c>
      <c r="D6">
        <v>2.24E-2</v>
      </c>
      <c r="E6" s="8">
        <v>1.23E-7</v>
      </c>
      <c r="F6" s="8">
        <v>8.4300000000000006E-6</v>
      </c>
      <c r="I6">
        <v>4.5399999999999998E-4</v>
      </c>
    </row>
    <row r="7" spans="1:17" hidden="1" x14ac:dyDescent="0.2">
      <c r="A7" t="s">
        <v>135</v>
      </c>
      <c r="C7" s="11">
        <f>SUM(D7:F7)</f>
        <v>2.9536999999999997E-2</v>
      </c>
      <c r="D7" s="5">
        <v>2.93E-2</v>
      </c>
      <c r="E7" s="5">
        <v>2.1699999999999999E-4</v>
      </c>
      <c r="F7" s="5">
        <v>2.0000000000000002E-5</v>
      </c>
    </row>
    <row r="8" spans="1:17" hidden="1" x14ac:dyDescent="0.2">
      <c r="A8" t="s">
        <v>85</v>
      </c>
      <c r="C8" s="11"/>
      <c r="D8" s="5">
        <v>1.89E-2</v>
      </c>
      <c r="E8" s="5">
        <v>1.8900000000000001E-4</v>
      </c>
      <c r="F8" s="7">
        <v>1.0499999999999999E-5</v>
      </c>
      <c r="G8" s="11">
        <f>SUM(D8:F8)</f>
        <v>1.9099500000000002E-2</v>
      </c>
      <c r="I8" s="5">
        <v>7.9799999999999999E-4</v>
      </c>
      <c r="J8" s="7">
        <v>1.24E-5</v>
      </c>
      <c r="K8" s="7">
        <v>4.6499999999999999E-8</v>
      </c>
      <c r="L8" s="5"/>
      <c r="M8">
        <f>SUM(I8:K8)</f>
        <v>8.1044649999999999E-4</v>
      </c>
      <c r="N8" s="5"/>
      <c r="O8" s="5"/>
      <c r="Q8" t="s">
        <v>111</v>
      </c>
    </row>
    <row r="9" spans="1:17" x14ac:dyDescent="0.2">
      <c r="A9" t="s">
        <v>27</v>
      </c>
      <c r="C9" s="11">
        <f>SUM(D9:F9)</f>
        <v>3.661</v>
      </c>
      <c r="D9" s="5">
        <v>1.21</v>
      </c>
      <c r="E9" s="5">
        <v>2.4</v>
      </c>
      <c r="F9" s="5">
        <v>5.0999999999999997E-2</v>
      </c>
      <c r="H9">
        <f>SUM(I9:K9)</f>
        <v>1.02159</v>
      </c>
      <c r="I9" s="5"/>
      <c r="J9" s="5">
        <v>1.02</v>
      </c>
      <c r="K9" s="5">
        <v>1.5900000000000001E-3</v>
      </c>
      <c r="L9" s="5">
        <f>SUM(D9:K9)</f>
        <v>5.7041800000000009</v>
      </c>
      <c r="M9" s="5"/>
      <c r="N9" s="10">
        <f>L9/C9</f>
        <v>1.5580934170991534</v>
      </c>
      <c r="O9" s="5" t="s">
        <v>28</v>
      </c>
      <c r="Q9" t="s">
        <v>104</v>
      </c>
    </row>
    <row r="10" spans="1:17" hidden="1" x14ac:dyDescent="0.2">
      <c r="A10" t="s">
        <v>136</v>
      </c>
      <c r="C10" s="11">
        <f>SUM(D10:F10)</f>
        <v>6.5818999999999989E-2</v>
      </c>
      <c r="D10" s="5">
        <v>6.4199999999999993E-2</v>
      </c>
      <c r="E10" s="5">
        <v>1.1199999999999999E-3</v>
      </c>
      <c r="F10" s="5">
        <v>4.9899999999999999E-4</v>
      </c>
    </row>
    <row r="11" spans="1:17" hidden="1" x14ac:dyDescent="0.2">
      <c r="A11" t="s">
        <v>83</v>
      </c>
      <c r="C11" s="11"/>
      <c r="D11" s="5">
        <v>1.43E-2</v>
      </c>
      <c r="E11" s="5">
        <v>6.0800000000000003E-4</v>
      </c>
      <c r="F11" s="7">
        <v>7.5800000000000003E-6</v>
      </c>
      <c r="G11" s="11">
        <f>SUM(D11:F11)</f>
        <v>1.4915580000000001E-2</v>
      </c>
      <c r="I11" s="7">
        <v>5.9500000000000004E-3</v>
      </c>
      <c r="J11" s="7">
        <v>6.2400000000000004E-6</v>
      </c>
      <c r="K11" s="7">
        <v>4.3999999999999997E-8</v>
      </c>
      <c r="L11" s="5"/>
      <c r="M11">
        <f>SUM(I11:K11)</f>
        <v>5.9562840000000009E-3</v>
      </c>
      <c r="N11" s="5"/>
      <c r="O11" s="5"/>
      <c r="Q11" t="s">
        <v>111</v>
      </c>
    </row>
    <row r="12" spans="1:17" hidden="1" x14ac:dyDescent="0.2">
      <c r="A12" t="s">
        <v>98</v>
      </c>
      <c r="C12" s="11"/>
      <c r="D12" s="5">
        <v>0.505</v>
      </c>
      <c r="E12" s="5">
        <v>2.6800000000000001E-2</v>
      </c>
      <c r="F12" s="5">
        <v>4.5800000000000002E-4</v>
      </c>
      <c r="G12" s="11">
        <f>SUM(D12:F12)</f>
        <v>0.53225800000000001</v>
      </c>
      <c r="I12" s="5">
        <v>5.45E-2</v>
      </c>
      <c r="J12" s="5">
        <v>4.9799999999999996E-4</v>
      </c>
      <c r="K12" s="7">
        <v>1.9E-6</v>
      </c>
      <c r="L12" s="5"/>
      <c r="M12">
        <f>SUM(I12:K12)</f>
        <v>5.4999899999999997E-2</v>
      </c>
      <c r="N12" s="5"/>
      <c r="O12" s="5"/>
      <c r="Q12" t="s">
        <v>111</v>
      </c>
    </row>
    <row r="13" spans="1:17" x14ac:dyDescent="0.2">
      <c r="A13" t="s">
        <v>3</v>
      </c>
      <c r="B13" s="19" t="s">
        <v>281</v>
      </c>
      <c r="C13" s="11">
        <f t="shared" ref="C13" si="0">SUM(D13:F13)</f>
        <v>0.16900000000000001</v>
      </c>
      <c r="D13">
        <v>0.16400000000000001</v>
      </c>
      <c r="E13">
        <v>4.7000000000000002E-3</v>
      </c>
      <c r="F13">
        <v>2.9999999999999997E-4</v>
      </c>
      <c r="G13" s="5"/>
      <c r="H13">
        <f>SUM(I13:K13)</f>
        <v>0.18717021</v>
      </c>
      <c r="I13">
        <v>0.187</v>
      </c>
      <c r="J13">
        <v>1.6800000000000002E-4</v>
      </c>
      <c r="K13">
        <v>2.21E-6</v>
      </c>
      <c r="L13" s="5">
        <f>SUM(D13:K13)</f>
        <v>0.54334041999999994</v>
      </c>
      <c r="M13" s="5"/>
      <c r="N13" s="10">
        <f t="shared" ref="N13" si="1">L13/C13</f>
        <v>3.2150320710059166</v>
      </c>
      <c r="O13" s="5" t="s">
        <v>23</v>
      </c>
      <c r="Q13" t="s">
        <v>104</v>
      </c>
    </row>
    <row r="14" spans="1:17" hidden="1" x14ac:dyDescent="0.2">
      <c r="A14" t="s">
        <v>35</v>
      </c>
      <c r="C14" s="11">
        <f>SUM(D14:F14)</f>
        <v>5.3398300000000003E-3</v>
      </c>
      <c r="D14" s="5">
        <v>5.2500000000000003E-3</v>
      </c>
      <c r="E14" s="5">
        <v>8.6500000000000002E-5</v>
      </c>
      <c r="F14" s="5">
        <v>3.3299999999999999E-6</v>
      </c>
      <c r="H14">
        <f>SUM(I14:K14)</f>
        <v>2.2085400000000001E-4</v>
      </c>
      <c r="I14" s="5">
        <v>1.94E-4</v>
      </c>
      <c r="J14" s="5">
        <v>2.6800000000000001E-5</v>
      </c>
      <c r="K14" s="7">
        <v>5.4E-8</v>
      </c>
      <c r="L14" s="5">
        <f>SUM(D14:K14)</f>
        <v>5.7815380000000001E-3</v>
      </c>
      <c r="M14" s="5"/>
      <c r="N14" s="9">
        <f>L14/C14</f>
        <v>1.0827194873245027</v>
      </c>
      <c r="O14" s="5" t="s">
        <v>34</v>
      </c>
      <c r="P14" t="s">
        <v>36</v>
      </c>
      <c r="Q14" t="s">
        <v>103</v>
      </c>
    </row>
    <row r="15" spans="1:17" hidden="1" x14ac:dyDescent="0.2">
      <c r="A15" t="s">
        <v>169</v>
      </c>
      <c r="C15" s="11">
        <f>SUM(D15:F15)</f>
        <v>6.4086100000000003E-3</v>
      </c>
      <c r="D15" s="5">
        <v>6.3200000000000001E-3</v>
      </c>
      <c r="E15" s="5">
        <v>8.3499999999999997E-5</v>
      </c>
      <c r="F15" s="5">
        <v>5.1100000000000002E-6</v>
      </c>
      <c r="O15" s="5" t="s">
        <v>23</v>
      </c>
      <c r="P15" t="s">
        <v>58</v>
      </c>
      <c r="Q15" t="s">
        <v>103</v>
      </c>
    </row>
    <row r="16" spans="1:17" hidden="1" x14ac:dyDescent="0.2">
      <c r="A16" t="s">
        <v>2</v>
      </c>
      <c r="C16" s="11">
        <f>SUM(D16:F16)</f>
        <v>2.9944600000000001</v>
      </c>
      <c r="D16" s="5">
        <f>0.292</f>
        <v>0.29199999999999998</v>
      </c>
      <c r="E16" s="5">
        <v>2.7</v>
      </c>
      <c r="F16" s="5">
        <v>2.4599999999999999E-3</v>
      </c>
      <c r="H16">
        <f>SUM(I16:K16)</f>
        <v>1.1457392000000002</v>
      </c>
      <c r="I16" s="5">
        <v>2.5700000000000001E-2</v>
      </c>
      <c r="J16" s="5">
        <v>1.1200000000000001</v>
      </c>
      <c r="K16" s="5">
        <v>3.9199999999999997E-5</v>
      </c>
      <c r="L16" s="5">
        <f>SUM(D16:K16)</f>
        <v>5.2859384</v>
      </c>
      <c r="M16" s="5"/>
      <c r="N16" s="10">
        <f>L16/C16</f>
        <v>1.7652392751948598</v>
      </c>
      <c r="O16" s="5" t="s">
        <v>28</v>
      </c>
      <c r="P16" t="s">
        <v>68</v>
      </c>
      <c r="Q16" t="s">
        <v>104</v>
      </c>
    </row>
    <row r="17" spans="1:17" hidden="1" x14ac:dyDescent="0.2">
      <c r="A17" t="s">
        <v>75</v>
      </c>
      <c r="C17" s="11">
        <f>C16*2</f>
        <v>5.9889200000000002</v>
      </c>
      <c r="D17" s="5"/>
      <c r="E17" s="5"/>
      <c r="F17" s="5"/>
      <c r="H17" s="11">
        <f>C16</f>
        <v>2.9944600000000001</v>
      </c>
      <c r="I17" s="5"/>
      <c r="J17" s="5"/>
      <c r="K17" s="5"/>
      <c r="L17" s="5"/>
      <c r="M17" s="5"/>
      <c r="N17" s="5"/>
      <c r="O17" s="5"/>
      <c r="Q17" t="s">
        <v>104</v>
      </c>
    </row>
    <row r="18" spans="1:17" hidden="1" x14ac:dyDescent="0.2">
      <c r="A18" t="s">
        <v>74</v>
      </c>
      <c r="C18" s="11">
        <f>C16/2</f>
        <v>1.4972300000000001</v>
      </c>
      <c r="D18" s="5"/>
      <c r="E18" s="5"/>
      <c r="F18" s="5"/>
      <c r="H18" s="11">
        <f>C16</f>
        <v>2.9944600000000001</v>
      </c>
      <c r="I18" s="5"/>
      <c r="J18" s="5"/>
      <c r="K18" s="5"/>
      <c r="L18" s="5">
        <f>SUM(D18:K18)</f>
        <v>2.9944600000000001</v>
      </c>
      <c r="M18" s="5"/>
      <c r="N18" s="9">
        <f>L18/C18</f>
        <v>2</v>
      </c>
      <c r="O18" s="5"/>
      <c r="Q18" t="s">
        <v>104</v>
      </c>
    </row>
    <row r="19" spans="1:17" hidden="1" x14ac:dyDescent="0.2">
      <c r="A19" t="s">
        <v>100</v>
      </c>
      <c r="C19" s="11">
        <f t="shared" ref="C19:C25" si="2">SUM(D19:F19)</f>
        <v>3.51464</v>
      </c>
      <c r="D19" s="5">
        <v>3.33</v>
      </c>
      <c r="E19" s="5">
        <v>0.182</v>
      </c>
      <c r="F19" s="5">
        <v>2.64E-3</v>
      </c>
      <c r="H19">
        <f>SUM(I19:K19)</f>
        <v>0.36993814999999997</v>
      </c>
      <c r="I19" s="5">
        <v>0.36699999999999999</v>
      </c>
      <c r="J19" s="5">
        <v>2.9299999999999999E-3</v>
      </c>
      <c r="K19" s="7">
        <v>8.1499999999999999E-6</v>
      </c>
      <c r="L19" s="5"/>
      <c r="M19" s="5"/>
      <c r="N19" s="5"/>
      <c r="O19" s="5"/>
      <c r="Q19" t="s">
        <v>109</v>
      </c>
    </row>
    <row r="20" spans="1:17" hidden="1" x14ac:dyDescent="0.2">
      <c r="A20" t="s">
        <v>128</v>
      </c>
      <c r="C20" s="11">
        <f t="shared" si="2"/>
        <v>1.002575E-2</v>
      </c>
      <c r="D20" s="5">
        <v>9.7900000000000001E-3</v>
      </c>
      <c r="E20" s="5">
        <v>2.2599999999999999E-4</v>
      </c>
      <c r="F20" s="5">
        <v>9.7499999999999998E-6</v>
      </c>
      <c r="O20" s="5" t="s">
        <v>23</v>
      </c>
      <c r="P20" t="s">
        <v>55</v>
      </c>
      <c r="Q20" t="s">
        <v>103</v>
      </c>
    </row>
    <row r="21" spans="1:17" hidden="1" x14ac:dyDescent="0.2">
      <c r="A21" t="s">
        <v>122</v>
      </c>
      <c r="C21" s="11">
        <f t="shared" si="2"/>
        <v>9.92176E-3</v>
      </c>
      <c r="D21" s="5">
        <v>9.7300000000000008E-3</v>
      </c>
      <c r="E21" s="5">
        <v>1.8200000000000001E-4</v>
      </c>
      <c r="F21" s="5">
        <v>9.7599999999999997E-6</v>
      </c>
      <c r="O21" s="5" t="s">
        <v>23</v>
      </c>
      <c r="P21" t="s">
        <v>123</v>
      </c>
      <c r="Q21" t="s">
        <v>103</v>
      </c>
    </row>
    <row r="22" spans="1:17" hidden="1" x14ac:dyDescent="0.2">
      <c r="A22" t="s">
        <v>127</v>
      </c>
      <c r="C22" s="11">
        <f t="shared" si="2"/>
        <v>0.89112000000000002</v>
      </c>
      <c r="D22" s="5">
        <v>0.874</v>
      </c>
      <c r="E22" s="5">
        <v>1.5800000000000002E-2</v>
      </c>
      <c r="F22" s="5">
        <v>1.32E-3</v>
      </c>
      <c r="I22" s="5"/>
      <c r="J22" s="5"/>
      <c r="K22" s="5"/>
      <c r="L22" s="5"/>
      <c r="M22" s="5"/>
      <c r="N22" s="9"/>
      <c r="O22" s="5"/>
    </row>
    <row r="23" spans="1:17" hidden="1" x14ac:dyDescent="0.2">
      <c r="A23" t="s">
        <v>125</v>
      </c>
      <c r="C23" s="11">
        <f t="shared" si="2"/>
        <v>0.85876810000000003</v>
      </c>
      <c r="D23" s="5">
        <v>0.80600000000000005</v>
      </c>
      <c r="E23" s="5">
        <v>5.2699999999999997E-2</v>
      </c>
      <c r="F23" s="5">
        <v>6.8100000000000002E-5</v>
      </c>
      <c r="O23" s="5" t="s">
        <v>23</v>
      </c>
      <c r="Q23" t="s">
        <v>103</v>
      </c>
    </row>
    <row r="24" spans="1:17" hidden="1" x14ac:dyDescent="0.2">
      <c r="A24" t="s">
        <v>124</v>
      </c>
      <c r="C24" s="11">
        <f t="shared" si="2"/>
        <v>0.93831900000000001</v>
      </c>
      <c r="D24" s="5">
        <v>0.91700000000000004</v>
      </c>
      <c r="E24" s="5">
        <v>2.12E-2</v>
      </c>
      <c r="F24" s="5">
        <v>1.1900000000000001E-4</v>
      </c>
      <c r="O24" s="5"/>
    </row>
    <row r="25" spans="1:17" hidden="1" x14ac:dyDescent="0.2">
      <c r="A25" t="s">
        <v>126</v>
      </c>
      <c r="C25" s="11">
        <f t="shared" si="2"/>
        <v>0.96553399999999989</v>
      </c>
      <c r="D25" s="5">
        <v>0.94799999999999995</v>
      </c>
      <c r="E25" s="5">
        <v>1.7399999999999999E-2</v>
      </c>
      <c r="F25" s="5">
        <v>1.34E-4</v>
      </c>
      <c r="O25" s="5"/>
    </row>
    <row r="26" spans="1:17" hidden="1" x14ac:dyDescent="0.2">
      <c r="A26" t="s">
        <v>139</v>
      </c>
      <c r="C26" s="11"/>
      <c r="D26" s="5">
        <v>1.34E-5</v>
      </c>
      <c r="E26" s="5">
        <v>2.0400000000000001E-5</v>
      </c>
      <c r="F26" s="7">
        <v>8.09E-7</v>
      </c>
      <c r="G26" s="11">
        <f>SUM(D26:F26)</f>
        <v>3.4609E-5</v>
      </c>
      <c r="I26" s="5"/>
      <c r="J26" s="7"/>
      <c r="K26" s="7"/>
      <c r="L26" s="7"/>
      <c r="N26" s="5"/>
      <c r="O26" s="5"/>
      <c r="P26" t="s">
        <v>138</v>
      </c>
    </row>
    <row r="27" spans="1:17" x14ac:dyDescent="0.2">
      <c r="A27" t="s">
        <v>3</v>
      </c>
      <c r="C27" s="11">
        <f>SUM(D27:F27)</f>
        <v>5.0114000000000001E-3</v>
      </c>
      <c r="D27" s="5">
        <f>D29</f>
        <v>4.9800000000000001E-3</v>
      </c>
      <c r="E27" s="5">
        <f>E29</f>
        <v>2.9099999999999999E-5</v>
      </c>
      <c r="F27" s="5">
        <f>F29</f>
        <v>2.3E-6</v>
      </c>
      <c r="H27">
        <f>SUM(I27:K27)</f>
        <v>5.8874445999999988E-4</v>
      </c>
      <c r="I27" s="5">
        <f>I29</f>
        <v>5.8699999999999996E-4</v>
      </c>
      <c r="J27" s="5">
        <f>J29</f>
        <v>1.7400000000000001E-6</v>
      </c>
      <c r="K27" s="5">
        <f>K29</f>
        <v>4.4599999999999999E-9</v>
      </c>
      <c r="L27" s="5">
        <f>SUM(D27:K27)</f>
        <v>6.1888889199999998E-3</v>
      </c>
      <c r="M27" s="5"/>
      <c r="N27" s="10">
        <f>L27/C27</f>
        <v>1.2349620704793072</v>
      </c>
      <c r="O27" s="5" t="s">
        <v>23</v>
      </c>
      <c r="P27" t="s">
        <v>170</v>
      </c>
      <c r="Q27" t="s">
        <v>104</v>
      </c>
    </row>
    <row r="28" spans="1:17" hidden="1" x14ac:dyDescent="0.2">
      <c r="A28" t="s">
        <v>4</v>
      </c>
      <c r="C28" s="11">
        <f>SUM(D28:F28)</f>
        <v>5.0114000000000001E-3</v>
      </c>
      <c r="D28" s="5">
        <f>D29</f>
        <v>4.9800000000000001E-3</v>
      </c>
      <c r="E28" s="5">
        <f>E29</f>
        <v>2.9099999999999999E-5</v>
      </c>
      <c r="F28" s="5">
        <f>F29</f>
        <v>2.3E-6</v>
      </c>
      <c r="H28">
        <f>SUM(I28:K28)</f>
        <v>5.8874445999999988E-4</v>
      </c>
      <c r="I28" s="5">
        <f>I29</f>
        <v>5.8699999999999996E-4</v>
      </c>
      <c r="J28" s="5">
        <f>J29</f>
        <v>1.7400000000000001E-6</v>
      </c>
      <c r="K28" s="5">
        <f>K29</f>
        <v>4.4599999999999999E-9</v>
      </c>
      <c r="L28" s="5">
        <f>SUM(D28:K28)</f>
        <v>6.1888889199999998E-3</v>
      </c>
      <c r="M28" s="5"/>
      <c r="N28" s="10">
        <f>L28/C28</f>
        <v>1.2349620704793072</v>
      </c>
      <c r="O28" s="5" t="s">
        <v>23</v>
      </c>
      <c r="P28" t="s">
        <v>170</v>
      </c>
      <c r="Q28" t="s">
        <v>104</v>
      </c>
    </row>
    <row r="29" spans="1:17" hidden="1" x14ac:dyDescent="0.2">
      <c r="A29" t="s">
        <v>88</v>
      </c>
      <c r="C29" s="11"/>
      <c r="D29" s="5">
        <v>4.9800000000000001E-3</v>
      </c>
      <c r="E29" s="7">
        <v>2.9099999999999999E-5</v>
      </c>
      <c r="F29" s="7">
        <v>2.3E-6</v>
      </c>
      <c r="G29" s="11">
        <f>SUM(D29:F29)</f>
        <v>5.0114000000000001E-3</v>
      </c>
      <c r="I29" s="5">
        <v>5.8699999999999996E-4</v>
      </c>
      <c r="J29" s="7">
        <v>1.7400000000000001E-6</v>
      </c>
      <c r="K29" s="7">
        <v>4.4599999999999999E-9</v>
      </c>
      <c r="L29" s="5"/>
      <c r="M29">
        <f>SUM(I29:K29)</f>
        <v>5.8874445999999988E-4</v>
      </c>
      <c r="N29" s="5"/>
      <c r="O29" s="5"/>
      <c r="Q29" t="s">
        <v>111</v>
      </c>
    </row>
    <row r="30" spans="1:17" hidden="1" x14ac:dyDescent="0.2">
      <c r="A30" t="s">
        <v>171</v>
      </c>
      <c r="B30" s="19" t="s">
        <v>172</v>
      </c>
      <c r="C30" s="11">
        <f t="shared" ref="C30:C35" si="3">SUM(D30:F30)</f>
        <v>1.584746</v>
      </c>
      <c r="D30" s="5">
        <v>1.57</v>
      </c>
      <c r="E30" s="5">
        <v>1.4E-2</v>
      </c>
      <c r="F30" s="5">
        <v>7.4600000000000003E-4</v>
      </c>
      <c r="H30">
        <f t="shared" ref="H30:H35" si="4">SUM(I30:K30)</f>
        <v>0.34600200000000003</v>
      </c>
      <c r="I30" s="5">
        <v>0.32600000000000001</v>
      </c>
      <c r="J30" s="5">
        <v>0.02</v>
      </c>
      <c r="K30" s="5">
        <v>1.9999999999999999E-6</v>
      </c>
      <c r="L30" s="5"/>
      <c r="M30" s="5"/>
      <c r="N30" s="5"/>
      <c r="O30" s="5"/>
    </row>
    <row r="31" spans="1:17" hidden="1" x14ac:dyDescent="0.2">
      <c r="A31" t="s">
        <v>157</v>
      </c>
      <c r="C31" s="11">
        <f t="shared" si="3"/>
        <v>1.2301420000000001</v>
      </c>
      <c r="D31" s="5">
        <v>1.22</v>
      </c>
      <c r="E31" s="5">
        <v>0.01</v>
      </c>
      <c r="F31" s="5">
        <v>1.4200000000000001E-4</v>
      </c>
      <c r="H31">
        <f t="shared" si="4"/>
        <v>1.4464000000000001E-2</v>
      </c>
      <c r="I31" s="5">
        <v>1.4E-2</v>
      </c>
      <c r="J31" s="5">
        <v>4.64E-4</v>
      </c>
      <c r="K31" s="5" t="s">
        <v>173</v>
      </c>
      <c r="L31" s="5">
        <f>SUM(D31:K31)</f>
        <v>1.2590700000000001</v>
      </c>
      <c r="M31" s="5"/>
      <c r="N31" s="9">
        <f>L31/C31</f>
        <v>1.023515984333516</v>
      </c>
      <c r="O31" s="5" t="s">
        <v>28</v>
      </c>
      <c r="P31" t="s">
        <v>54</v>
      </c>
      <c r="Q31" t="s">
        <v>110</v>
      </c>
    </row>
    <row r="32" spans="1:17" hidden="1" x14ac:dyDescent="0.2">
      <c r="A32" t="s">
        <v>69</v>
      </c>
      <c r="C32" s="11">
        <f t="shared" si="3"/>
        <v>8.7781100000000004E-3</v>
      </c>
      <c r="D32" s="5">
        <v>8.3999999999999995E-3</v>
      </c>
      <c r="E32" s="5">
        <v>3.7199999999999999E-4</v>
      </c>
      <c r="F32" s="5">
        <v>6.1099999999999999E-6</v>
      </c>
      <c r="H32">
        <f t="shared" si="4"/>
        <v>3.9770749700000004E-4</v>
      </c>
      <c r="I32" s="5">
        <f>0.000000000197+0.000391</f>
        <v>3.9100019700000004E-4</v>
      </c>
      <c r="J32" s="5">
        <f>0.00000663</f>
        <v>6.63E-6</v>
      </c>
      <c r="K32" s="5">
        <f>0.0000000773</f>
        <v>7.7299999999999997E-8</v>
      </c>
      <c r="L32" s="5">
        <f>SUM(D32:K32)</f>
        <v>9.573524994000002E-3</v>
      </c>
      <c r="M32" s="5"/>
      <c r="N32" s="9">
        <f>L32/C32</f>
        <v>1.0906134685029012</v>
      </c>
      <c r="O32" s="5" t="s">
        <v>28</v>
      </c>
      <c r="P32" t="s">
        <v>62</v>
      </c>
      <c r="Q32" t="s">
        <v>110</v>
      </c>
    </row>
    <row r="33" spans="1:17" x14ac:dyDescent="0.2">
      <c r="A33" s="22" t="s">
        <v>97</v>
      </c>
      <c r="B33" s="23" t="s">
        <v>282</v>
      </c>
      <c r="C33" s="20">
        <f t="shared" si="3"/>
        <v>3.2074999999999999E-2</v>
      </c>
      <c r="D33" s="5">
        <v>3.04E-2</v>
      </c>
      <c r="E33" s="5">
        <v>3.0499999999999999E-4</v>
      </c>
      <c r="F33" s="5">
        <v>1.3699999999999999E-3</v>
      </c>
      <c r="G33" s="11"/>
      <c r="H33">
        <f t="shared" si="4"/>
        <v>1.7989E-3</v>
      </c>
      <c r="I33" s="5">
        <v>1.7600000000000001E-3</v>
      </c>
      <c r="J33" s="5">
        <v>1.6699999999999999E-5</v>
      </c>
      <c r="K33" s="5">
        <v>2.2200000000000001E-5</v>
      </c>
      <c r="L33" s="5"/>
      <c r="M33" s="11"/>
      <c r="N33" s="5"/>
      <c r="O33" s="5"/>
      <c r="P33" t="s">
        <v>174</v>
      </c>
      <c r="Q33" t="s">
        <v>106</v>
      </c>
    </row>
    <row r="34" spans="1:17" x14ac:dyDescent="0.2">
      <c r="A34" t="s">
        <v>120</v>
      </c>
      <c r="B34" s="19" t="s">
        <v>283</v>
      </c>
      <c r="C34" s="20">
        <f t="shared" si="3"/>
        <v>5.8244999999999998E-2</v>
      </c>
      <c r="D34" s="5">
        <v>5.5199999999999999E-2</v>
      </c>
      <c r="E34" s="5">
        <v>2.1700000000000001E-3</v>
      </c>
      <c r="F34" s="5">
        <v>8.7500000000000002E-4</v>
      </c>
      <c r="H34">
        <f t="shared" si="4"/>
        <v>1.6236999999999998E-3</v>
      </c>
      <c r="I34" s="5">
        <v>1.47E-3</v>
      </c>
      <c r="J34" s="5">
        <v>1.3699999999999999E-5</v>
      </c>
      <c r="K34" s="5">
        <v>1.3999999999999999E-4</v>
      </c>
      <c r="L34" s="5">
        <f>SUM(D34:K34)</f>
        <v>6.1492399999999996E-2</v>
      </c>
      <c r="M34" s="5"/>
      <c r="N34" s="9">
        <f>L34/C34</f>
        <v>1.0557541419864365</v>
      </c>
      <c r="O34" s="5" t="s">
        <v>28</v>
      </c>
      <c r="P34" t="s">
        <v>54</v>
      </c>
      <c r="Q34" t="s">
        <v>106</v>
      </c>
    </row>
    <row r="35" spans="1:17" hidden="1" x14ac:dyDescent="0.2">
      <c r="A35" t="s">
        <v>121</v>
      </c>
      <c r="C35" s="11">
        <f t="shared" si="3"/>
        <v>3.7838000000000004E-2</v>
      </c>
      <c r="D35" s="5">
        <v>3.6499999999999998E-2</v>
      </c>
      <c r="E35" s="5">
        <v>4.9600000000000002E-4</v>
      </c>
      <c r="F35" s="5">
        <v>8.4199999999999998E-4</v>
      </c>
      <c r="H35">
        <f t="shared" si="4"/>
        <v>1.6236999999999998E-3</v>
      </c>
      <c r="I35" s="5">
        <v>1.47E-3</v>
      </c>
      <c r="J35" s="5">
        <v>1.3699999999999999E-5</v>
      </c>
      <c r="K35" s="5">
        <v>1.3999999999999999E-4</v>
      </c>
      <c r="L35" s="5">
        <f>SUM(D35:K35)</f>
        <v>4.1085400000000001E-2</v>
      </c>
      <c r="M35" s="5"/>
      <c r="N35" s="9">
        <f>L35/C35</f>
        <v>1.0858237750409641</v>
      </c>
      <c r="O35" s="5" t="s">
        <v>28</v>
      </c>
      <c r="P35" t="s">
        <v>54</v>
      </c>
      <c r="Q35" t="s">
        <v>106</v>
      </c>
    </row>
    <row r="36" spans="1:17" hidden="1" x14ac:dyDescent="0.2">
      <c r="A36" t="s">
        <v>82</v>
      </c>
      <c r="C36" s="11"/>
      <c r="D36" s="5">
        <v>3.27E-2</v>
      </c>
      <c r="E36" s="5">
        <v>1.0200000000000001E-3</v>
      </c>
      <c r="F36" s="7">
        <v>1.7399999999999999E-5</v>
      </c>
      <c r="G36" s="11">
        <f>SUM(D36:F36)</f>
        <v>3.3737400000000001E-2</v>
      </c>
      <c r="I36" s="5">
        <v>1.7799999999999999E-3</v>
      </c>
      <c r="J36" s="7">
        <v>3.4499999999999998E-5</v>
      </c>
      <c r="K36" s="7">
        <v>9.3999999999999995E-8</v>
      </c>
      <c r="L36" s="5"/>
      <c r="M36">
        <f>SUM(I36:K36)</f>
        <v>1.8145939999999999E-3</v>
      </c>
      <c r="N36" s="5"/>
      <c r="O36" s="5"/>
      <c r="Q36" t="s">
        <v>111</v>
      </c>
    </row>
    <row r="37" spans="1:17" hidden="1" x14ac:dyDescent="0.2">
      <c r="A37" t="s">
        <v>112</v>
      </c>
      <c r="C37" s="11">
        <v>0</v>
      </c>
      <c r="D37" s="5"/>
      <c r="E37" s="5"/>
      <c r="F37" s="5"/>
      <c r="I37" s="5"/>
      <c r="J37" s="5"/>
      <c r="K37" s="5"/>
      <c r="L37" s="5"/>
      <c r="M37" s="5"/>
      <c r="N37" s="5"/>
      <c r="O37" s="5"/>
    </row>
    <row r="38" spans="1:17" hidden="1" x14ac:dyDescent="0.2">
      <c r="A38" s="6" t="s">
        <v>117</v>
      </c>
      <c r="B38" s="18"/>
      <c r="C38" s="11">
        <v>0</v>
      </c>
      <c r="D38" s="5"/>
      <c r="E38" s="5"/>
      <c r="F38" s="5"/>
      <c r="I38" s="5"/>
      <c r="J38" s="5"/>
      <c r="K38" s="5"/>
      <c r="L38" s="5"/>
      <c r="M38" s="5"/>
      <c r="N38" s="5"/>
      <c r="O38" s="5"/>
    </row>
    <row r="39" spans="1:17" hidden="1" x14ac:dyDescent="0.2">
      <c r="A39" t="s">
        <v>113</v>
      </c>
      <c r="C39" s="11">
        <v>0</v>
      </c>
      <c r="D39" s="5"/>
      <c r="E39" s="5"/>
      <c r="F39" s="5"/>
      <c r="I39" s="5"/>
      <c r="J39" s="5"/>
      <c r="K39" s="5"/>
      <c r="L39" s="5"/>
      <c r="M39" s="5"/>
      <c r="N39" s="5"/>
      <c r="O39" s="5"/>
    </row>
    <row r="40" spans="1:17" hidden="1" x14ac:dyDescent="0.2">
      <c r="A40" t="s">
        <v>115</v>
      </c>
      <c r="C40" s="11">
        <v>0</v>
      </c>
      <c r="D40" s="5"/>
      <c r="E40" s="5"/>
      <c r="F40" s="5"/>
      <c r="I40" s="5"/>
      <c r="J40" s="5"/>
      <c r="K40" s="5"/>
      <c r="L40" s="5"/>
      <c r="M40" s="5"/>
      <c r="N40" s="5"/>
      <c r="O40" s="5"/>
    </row>
    <row r="41" spans="1:17" hidden="1" x14ac:dyDescent="0.2">
      <c r="A41" t="s">
        <v>114</v>
      </c>
      <c r="C41" s="11">
        <v>0</v>
      </c>
      <c r="E41" s="5"/>
      <c r="F41" s="5"/>
      <c r="I41" s="5"/>
      <c r="J41" s="5"/>
      <c r="K41" s="5"/>
      <c r="L41" s="5"/>
      <c r="M41" s="5"/>
      <c r="N41" s="5"/>
      <c r="O41" s="5"/>
    </row>
    <row r="42" spans="1:17" hidden="1" x14ac:dyDescent="0.2">
      <c r="A42" s="6" t="s">
        <v>116</v>
      </c>
      <c r="B42" s="18"/>
      <c r="C42" s="11">
        <v>0</v>
      </c>
      <c r="D42" s="5"/>
      <c r="E42" s="5"/>
      <c r="F42" s="5"/>
      <c r="I42" s="5"/>
      <c r="J42" s="5"/>
      <c r="K42" s="5"/>
      <c r="L42" s="5"/>
      <c r="M42" s="5"/>
      <c r="N42" s="5"/>
      <c r="O42" s="5"/>
    </row>
    <row r="43" spans="1:17" hidden="1" x14ac:dyDescent="0.2">
      <c r="A43" t="s">
        <v>6</v>
      </c>
      <c r="C43" s="11">
        <v>0.19400000000000001</v>
      </c>
      <c r="D43" s="5"/>
      <c r="E43" s="5"/>
      <c r="F43" s="5"/>
      <c r="H43">
        <f>SUM(I43:K43)</f>
        <v>0</v>
      </c>
      <c r="I43" s="5"/>
      <c r="J43" s="5"/>
      <c r="K43" s="5"/>
      <c r="L43" s="5"/>
      <c r="M43" s="5"/>
      <c r="N43" s="9"/>
      <c r="O43" s="5" t="s">
        <v>25</v>
      </c>
      <c r="Q43" t="s">
        <v>105</v>
      </c>
    </row>
    <row r="44" spans="1:17" hidden="1" x14ac:dyDescent="0.2">
      <c r="A44" t="s">
        <v>8</v>
      </c>
      <c r="C44" s="11">
        <f>SUM(D44:E44)</f>
        <v>0</v>
      </c>
      <c r="D44" s="5">
        <v>0</v>
      </c>
      <c r="E44" s="5">
        <v>0</v>
      </c>
      <c r="F44" s="5"/>
      <c r="H44">
        <f>SUM(I44:K44)</f>
        <v>0</v>
      </c>
      <c r="I44" s="5">
        <v>0</v>
      </c>
      <c r="J44" s="5">
        <v>0</v>
      </c>
      <c r="K44" s="5"/>
      <c r="L44" s="5">
        <f>SUM(D44:K44)</f>
        <v>0</v>
      </c>
      <c r="M44" s="5"/>
      <c r="N44" s="9"/>
      <c r="O44" s="5"/>
      <c r="Q44" t="s">
        <v>105</v>
      </c>
    </row>
    <row r="45" spans="1:17" hidden="1" x14ac:dyDescent="0.2">
      <c r="A45" t="s">
        <v>7</v>
      </c>
      <c r="C45" s="11">
        <v>7.2999999999999995E-2</v>
      </c>
      <c r="D45" s="5"/>
      <c r="E45" s="5"/>
      <c r="F45" s="5"/>
      <c r="H45">
        <f>SUM(I45:K45)</f>
        <v>0</v>
      </c>
      <c r="I45" s="5"/>
      <c r="J45" s="5"/>
      <c r="K45" s="5"/>
      <c r="L45" s="5"/>
      <c r="M45" s="5"/>
      <c r="N45" s="9"/>
      <c r="O45" s="5" t="s">
        <v>25</v>
      </c>
      <c r="Q45" t="s">
        <v>105</v>
      </c>
    </row>
    <row r="46" spans="1:17" hidden="1" x14ac:dyDescent="0.2">
      <c r="A46" t="s">
        <v>77</v>
      </c>
      <c r="C46" s="11">
        <f t="shared" ref="C46:C52" si="5">SUM(D46:F46)</f>
        <v>0.25928180000000001</v>
      </c>
      <c r="D46" s="5">
        <v>0.25900000000000001</v>
      </c>
      <c r="E46" s="5">
        <v>2.4699999999999999E-4</v>
      </c>
      <c r="F46" s="5">
        <v>3.4799999999999999E-5</v>
      </c>
      <c r="H46">
        <f>SUM(I46:K46)</f>
        <v>5.5818774028000007E-2</v>
      </c>
      <c r="I46" s="7">
        <f>0.0558+0.000000000328</f>
        <v>5.5800000328000005E-2</v>
      </c>
      <c r="J46" s="5">
        <v>1.8700000000000001E-5</v>
      </c>
      <c r="K46" s="7">
        <v>7.3700000000000005E-8</v>
      </c>
      <c r="L46" s="5"/>
      <c r="M46" s="5"/>
      <c r="N46" s="5"/>
      <c r="O46" s="5" t="s">
        <v>28</v>
      </c>
      <c r="Q46" t="s">
        <v>105</v>
      </c>
    </row>
    <row r="47" spans="1:17" hidden="1" x14ac:dyDescent="0.2">
      <c r="A47" t="s">
        <v>76</v>
      </c>
      <c r="C47" s="11">
        <f t="shared" si="5"/>
        <v>0.12543480000000001</v>
      </c>
      <c r="D47" s="5">
        <v>0.113</v>
      </c>
      <c r="E47" s="5">
        <v>1.24E-2</v>
      </c>
      <c r="F47" s="5">
        <v>3.4799999999999999E-5</v>
      </c>
      <c r="H47">
        <f>SUM(I47:K47)</f>
        <v>9.0642799999999992E-3</v>
      </c>
      <c r="I47" s="5">
        <f>0.00883</f>
        <v>8.8299999999999993E-3</v>
      </c>
      <c r="J47" s="5">
        <v>2.33E-4</v>
      </c>
      <c r="K47" s="5">
        <v>1.28E-6</v>
      </c>
      <c r="L47" s="5"/>
      <c r="M47" s="5"/>
      <c r="N47" s="5"/>
      <c r="O47" s="5" t="s">
        <v>28</v>
      </c>
      <c r="Q47" t="s">
        <v>105</v>
      </c>
    </row>
    <row r="48" spans="1:17" hidden="1" x14ac:dyDescent="0.2">
      <c r="A48" t="s">
        <v>129</v>
      </c>
      <c r="C48" s="11">
        <f t="shared" si="5"/>
        <v>9.9463800000000012E-3</v>
      </c>
      <c r="D48" s="5">
        <v>9.8700000000000003E-3</v>
      </c>
      <c r="E48" s="5">
        <v>6.9400000000000006E-5</v>
      </c>
      <c r="F48" s="5">
        <v>6.9800000000000001E-6</v>
      </c>
      <c r="O48" s="5" t="s">
        <v>23</v>
      </c>
      <c r="P48" t="s">
        <v>58</v>
      </c>
      <c r="Q48" t="s">
        <v>103</v>
      </c>
    </row>
    <row r="49" spans="1:17" x14ac:dyDescent="0.2">
      <c r="A49" t="s">
        <v>141</v>
      </c>
      <c r="B49" s="19" t="s">
        <v>150</v>
      </c>
      <c r="C49" s="11">
        <f t="shared" si="5"/>
        <v>1.1798000000000002</v>
      </c>
      <c r="D49" s="5">
        <v>1.0900000000000001</v>
      </c>
      <c r="E49" s="5">
        <v>8.8599999999999998E-2</v>
      </c>
      <c r="F49" s="5">
        <v>1.1999999999999999E-3</v>
      </c>
    </row>
    <row r="50" spans="1:17" x14ac:dyDescent="0.2">
      <c r="A50" t="s">
        <v>142</v>
      </c>
      <c r="B50" s="19" t="s">
        <v>293</v>
      </c>
      <c r="C50" s="11">
        <f t="shared" si="5"/>
        <v>0.10211199999999999</v>
      </c>
      <c r="D50" s="5">
        <v>9.69E-2</v>
      </c>
      <c r="E50" s="5">
        <v>5.0899999999999999E-3</v>
      </c>
      <c r="F50" s="5">
        <v>1.22E-4</v>
      </c>
    </row>
    <row r="51" spans="1:17" hidden="1" x14ac:dyDescent="0.2">
      <c r="A51" t="s">
        <v>31</v>
      </c>
      <c r="C51" s="11">
        <f t="shared" si="5"/>
        <v>0.20142000000000002</v>
      </c>
      <c r="D51">
        <v>0.19700000000000001</v>
      </c>
      <c r="E51">
        <v>4.13E-3</v>
      </c>
      <c r="F51">
        <v>2.9E-4</v>
      </c>
      <c r="H51">
        <f>SUM(I51:K51)</f>
        <v>0.18717021</v>
      </c>
      <c r="I51">
        <v>0.187</v>
      </c>
      <c r="J51">
        <v>1.6800000000000002E-4</v>
      </c>
      <c r="K51">
        <v>2.21E-6</v>
      </c>
      <c r="L51" s="5">
        <f>SUM(D51:K51)</f>
        <v>0.57576042000000005</v>
      </c>
      <c r="M51" s="5"/>
      <c r="N51" s="10">
        <f>L51/C51</f>
        <v>2.8585067024128685</v>
      </c>
      <c r="O51" s="5" t="s">
        <v>23</v>
      </c>
      <c r="Q51" t="s">
        <v>104</v>
      </c>
    </row>
    <row r="52" spans="1:17" hidden="1" x14ac:dyDescent="0.2">
      <c r="A52" t="s">
        <v>155</v>
      </c>
      <c r="C52" s="11">
        <f t="shared" si="5"/>
        <v>0.418101</v>
      </c>
      <c r="D52" s="5">
        <v>0.41199999999999998</v>
      </c>
      <c r="E52" s="5">
        <v>5.8999999999999999E-3</v>
      </c>
      <c r="F52" s="5">
        <v>2.0100000000000001E-4</v>
      </c>
      <c r="O52" t="s">
        <v>23</v>
      </c>
      <c r="P52" t="s">
        <v>153</v>
      </c>
    </row>
    <row r="53" spans="1:17" hidden="1" x14ac:dyDescent="0.2">
      <c r="A53" t="s">
        <v>87</v>
      </c>
      <c r="C53" s="11"/>
      <c r="D53" s="5">
        <v>1.21E-2</v>
      </c>
      <c r="E53" s="5">
        <v>2.1800000000000001E-4</v>
      </c>
      <c r="F53" s="7">
        <v>6.9700000000000002E-6</v>
      </c>
      <c r="G53" s="11">
        <f t="shared" ref="G53:G60" si="6">SUM(D53:F53)</f>
        <v>1.2324969999999999E-2</v>
      </c>
      <c r="I53" s="5">
        <v>8.7200000000000005E-4</v>
      </c>
      <c r="J53" s="7">
        <v>7.2599999999999999E-6</v>
      </c>
      <c r="K53" s="7">
        <v>2.85E-8</v>
      </c>
      <c r="L53" s="5"/>
      <c r="M53">
        <f>SUM(I53:K53)</f>
        <v>8.7928850000000005E-4</v>
      </c>
      <c r="N53" s="5"/>
      <c r="O53" s="5"/>
      <c r="Q53" t="s">
        <v>111</v>
      </c>
    </row>
    <row r="54" spans="1:17" hidden="1" x14ac:dyDescent="0.2">
      <c r="A54" t="s">
        <v>175</v>
      </c>
      <c r="B54" s="19" t="s">
        <v>176</v>
      </c>
      <c r="C54" s="11"/>
      <c r="D54" s="5">
        <v>2.17</v>
      </c>
      <c r="E54" s="5">
        <v>0.44500000000000001</v>
      </c>
      <c r="F54" s="7">
        <v>5.4799999999999996E-3</v>
      </c>
      <c r="G54" s="11">
        <f t="shared" si="6"/>
        <v>2.6204799999999997</v>
      </c>
      <c r="I54" s="5">
        <v>0.16600000000000001</v>
      </c>
      <c r="J54" s="7">
        <v>2.5300000000000001E-3</v>
      </c>
      <c r="K54" s="7"/>
      <c r="L54" s="5"/>
      <c r="N54" s="5"/>
      <c r="O54" s="5"/>
    </row>
    <row r="55" spans="1:17" hidden="1" x14ac:dyDescent="0.2">
      <c r="A55" t="s">
        <v>177</v>
      </c>
      <c r="C55" s="11"/>
      <c r="D55" s="5">
        <v>4.7699999999999999E-3</v>
      </c>
      <c r="E55" s="5">
        <v>2.8200000000000002E-4</v>
      </c>
      <c r="F55" s="5">
        <v>2.0999999999999998E-6</v>
      </c>
      <c r="G55" s="11">
        <f t="shared" si="6"/>
        <v>5.0540999999999997E-3</v>
      </c>
      <c r="H55" s="20"/>
      <c r="I55" s="5"/>
      <c r="J55" s="5"/>
      <c r="K55" s="5"/>
      <c r="L55" s="5"/>
      <c r="M55" s="5"/>
      <c r="N55" s="5"/>
      <c r="O55" s="5"/>
      <c r="Q55" t="s">
        <v>111</v>
      </c>
    </row>
    <row r="56" spans="1:17" hidden="1" x14ac:dyDescent="0.2">
      <c r="A56" t="s">
        <v>178</v>
      </c>
      <c r="B56" s="17"/>
      <c r="C56" s="11"/>
      <c r="D56" s="5">
        <v>1.1900000000000001E-3</v>
      </c>
      <c r="E56" s="5">
        <v>6.5500000000000006E-5</v>
      </c>
      <c r="F56" s="7">
        <v>1.44E-6</v>
      </c>
      <c r="G56" s="11">
        <f t="shared" si="6"/>
        <v>1.25694E-3</v>
      </c>
      <c r="I56" s="5"/>
      <c r="J56" s="7"/>
      <c r="K56" s="7"/>
      <c r="L56" s="7"/>
      <c r="N56" s="5"/>
      <c r="O56" s="5"/>
      <c r="P56" t="s">
        <v>137</v>
      </c>
    </row>
    <row r="57" spans="1:17" x14ac:dyDescent="0.2">
      <c r="A57" t="s">
        <v>179</v>
      </c>
      <c r="C57" s="11"/>
      <c r="D57" s="5">
        <v>1.2400000000000001E-4</v>
      </c>
      <c r="E57" s="5">
        <v>5.5600000000000001E-6</v>
      </c>
      <c r="F57" s="5">
        <v>1.2200000000000001E-7</v>
      </c>
      <c r="G57" s="11">
        <f t="shared" si="6"/>
        <v>1.29682E-4</v>
      </c>
      <c r="I57" s="5">
        <v>4.26E-4</v>
      </c>
      <c r="J57" s="5">
        <v>1.67E-7</v>
      </c>
      <c r="K57" s="7">
        <v>1.6999999999999999E-9</v>
      </c>
      <c r="L57" s="5"/>
      <c r="M57" s="5">
        <f>SUM(I57:K57)</f>
        <v>4.2616869999999996E-4</v>
      </c>
      <c r="N57" s="5"/>
      <c r="O57" s="5"/>
      <c r="P57" t="s">
        <v>96</v>
      </c>
      <c r="Q57" t="s">
        <v>111</v>
      </c>
    </row>
    <row r="58" spans="1:17" x14ac:dyDescent="0.2">
      <c r="A58" t="s">
        <v>224</v>
      </c>
      <c r="C58" s="11"/>
      <c r="D58" s="5">
        <v>2.12E-4</v>
      </c>
      <c r="E58" s="5">
        <v>1.04E-5</v>
      </c>
      <c r="F58" s="5">
        <v>1.8900000000000001E-7</v>
      </c>
      <c r="G58" s="11">
        <f t="shared" si="6"/>
        <v>2.2258900000000001E-4</v>
      </c>
      <c r="I58" s="5">
        <v>9.6599999999999995E-4</v>
      </c>
      <c r="J58" s="5">
        <v>1.02E-8</v>
      </c>
      <c r="K58" s="7">
        <v>1.25E-9</v>
      </c>
      <c r="L58" s="5"/>
      <c r="M58" s="5">
        <f>SUM(I58:K58)</f>
        <v>9.6601144999999995E-4</v>
      </c>
      <c r="N58" s="5"/>
      <c r="O58" s="5"/>
      <c r="P58" t="s">
        <v>96</v>
      </c>
      <c r="Q58" t="s">
        <v>111</v>
      </c>
    </row>
    <row r="59" spans="1:17" ht="16" hidden="1" x14ac:dyDescent="0.2">
      <c r="A59" s="24" t="s">
        <v>180</v>
      </c>
      <c r="B59" s="25"/>
      <c r="C59" s="11"/>
      <c r="D59" s="5">
        <v>5.4299999999999999E-3</v>
      </c>
      <c r="E59" s="5">
        <v>1.9599999999999999E-2</v>
      </c>
      <c r="F59" s="7">
        <v>4.8099999999999997E-5</v>
      </c>
      <c r="G59" s="11">
        <f t="shared" si="6"/>
        <v>2.5078099999999999E-2</v>
      </c>
      <c r="I59" s="5">
        <v>4.86E-4</v>
      </c>
      <c r="J59" s="7">
        <v>4.3900000000000003E-5</v>
      </c>
      <c r="K59" s="7">
        <v>6.1600000000000001E-7</v>
      </c>
      <c r="L59" s="5"/>
      <c r="M59">
        <f>SUM(I59:K59)</f>
        <v>5.3051600000000008E-4</v>
      </c>
      <c r="N59" s="5"/>
      <c r="O59" s="5"/>
      <c r="Q59" t="s">
        <v>111</v>
      </c>
    </row>
    <row r="60" spans="1:17" hidden="1" x14ac:dyDescent="0.2">
      <c r="A60" t="s">
        <v>181</v>
      </c>
      <c r="B60" s="25" t="s">
        <v>182</v>
      </c>
      <c r="C60" s="11"/>
      <c r="D60" s="5">
        <v>2.3999999999999998E-3</v>
      </c>
      <c r="E60" s="5">
        <v>2.2800000000000001E-4</v>
      </c>
      <c r="F60" s="7">
        <v>6.7800000000000003E-6</v>
      </c>
      <c r="G60" s="11">
        <f t="shared" si="6"/>
        <v>2.6347799999999998E-3</v>
      </c>
      <c r="I60" s="5">
        <v>1.8699999999999999E-4</v>
      </c>
      <c r="J60" s="7"/>
      <c r="K60" s="7"/>
      <c r="L60" s="5"/>
      <c r="N60" s="5"/>
      <c r="O60" s="5"/>
    </row>
    <row r="61" spans="1:17" hidden="1" x14ac:dyDescent="0.2">
      <c r="A61" t="s">
        <v>183</v>
      </c>
      <c r="C61" s="11"/>
      <c r="D61" s="5"/>
      <c r="E61" s="5"/>
      <c r="F61" s="7"/>
      <c r="G61" s="11"/>
      <c r="I61" s="5"/>
      <c r="J61" s="7"/>
      <c r="K61" s="7"/>
      <c r="L61" s="5"/>
      <c r="N61" s="5"/>
      <c r="O61" s="5"/>
    </row>
    <row r="62" spans="1:17" hidden="1" x14ac:dyDescent="0.2">
      <c r="A62" t="s">
        <v>184</v>
      </c>
      <c r="B62" s="25" t="s">
        <v>185</v>
      </c>
      <c r="C62" s="11"/>
      <c r="D62" s="7">
        <v>2.3199999999999999E-8</v>
      </c>
      <c r="E62" s="7">
        <v>3.9299999999999999E-10</v>
      </c>
      <c r="F62" s="7">
        <v>1.0599999999999999E-11</v>
      </c>
      <c r="G62" s="11">
        <f>SUM(D62:F62)</f>
        <v>2.3603599999999999E-8</v>
      </c>
      <c r="I62" s="5">
        <f>0.000000000001</f>
        <v>9.9999999999999998E-13</v>
      </c>
      <c r="J62" s="7">
        <f>0.0000000000118</f>
        <v>1.1800000000000001E-11</v>
      </c>
      <c r="K62" s="7"/>
      <c r="L62" s="5"/>
      <c r="N62" s="5"/>
      <c r="O62" s="5" t="s">
        <v>186</v>
      </c>
    </row>
    <row r="63" spans="1:17" hidden="1" x14ac:dyDescent="0.2">
      <c r="A63" t="s">
        <v>187</v>
      </c>
      <c r="B63" s="25" t="s">
        <v>188</v>
      </c>
      <c r="C63" s="11"/>
      <c r="D63" s="5">
        <v>1.6900000000000001E-3</v>
      </c>
      <c r="E63" s="5">
        <v>1.66E-4</v>
      </c>
      <c r="F63" s="7">
        <v>4.69E-6</v>
      </c>
      <c r="G63" s="11">
        <f>SUM(D63:F63)</f>
        <v>1.8606899999999999E-3</v>
      </c>
      <c r="I63" s="5"/>
      <c r="J63" s="7"/>
      <c r="K63" s="7"/>
      <c r="L63" s="5"/>
      <c r="N63" s="5"/>
      <c r="O63" s="5"/>
    </row>
    <row r="64" spans="1:17" hidden="1" x14ac:dyDescent="0.2">
      <c r="A64" t="s">
        <v>17</v>
      </c>
      <c r="C64" s="11">
        <f t="shared" ref="C64:C72" si="7">SUM(D64:F64)</f>
        <v>6.2811700000000012E-2</v>
      </c>
      <c r="D64" s="5">
        <f>(0.116+0.00782)/2</f>
        <v>6.1910000000000007E-2</v>
      </c>
      <c r="E64" s="5">
        <f>(0.000685+0.000984)/2</f>
        <v>8.3449999999999996E-4</v>
      </c>
      <c r="F64" s="5">
        <f>(0.0000114+0.000123)/2</f>
        <v>6.7200000000000007E-5</v>
      </c>
      <c r="H64">
        <f>SUM(I64:K64)</f>
        <v>3.2426277000000002E-5</v>
      </c>
      <c r="I64" s="5">
        <f>(0.000000000244+0.00000000131)/2</f>
        <v>7.7700000000000001E-10</v>
      </c>
      <c r="J64" s="5">
        <f>(0.00000585+0.000059)/2</f>
        <v>3.2425000000000002E-5</v>
      </c>
      <c r="K64" s="5">
        <v>5.0000000000000003E-10</v>
      </c>
      <c r="L64" s="5">
        <f>SUM(D64:K64)</f>
        <v>6.2876552554000015E-2</v>
      </c>
      <c r="M64" s="5"/>
      <c r="N64" s="9">
        <f>L64/C64</f>
        <v>1.0010324916217839</v>
      </c>
      <c r="O64" s="5" t="s">
        <v>28</v>
      </c>
      <c r="P64" t="s">
        <v>32</v>
      </c>
      <c r="Q64" t="s">
        <v>103</v>
      </c>
    </row>
    <row r="65" spans="1:17" hidden="1" x14ac:dyDescent="0.2">
      <c r="A65" t="s">
        <v>78</v>
      </c>
      <c r="C65" s="11">
        <f t="shared" si="7"/>
        <v>0.12100999999999999</v>
      </c>
      <c r="D65" s="5">
        <v>0.11799999999999999</v>
      </c>
      <c r="E65" s="5">
        <v>2.8500000000000001E-3</v>
      </c>
      <c r="F65" s="5">
        <v>1.6000000000000001E-4</v>
      </c>
      <c r="H65">
        <f>SUM(I65:K65)</f>
        <v>9.3692799999999989E-3</v>
      </c>
      <c r="I65" s="5">
        <v>9.2399999999999999E-3</v>
      </c>
      <c r="J65" s="5">
        <v>1.2799999999999999E-4</v>
      </c>
      <c r="K65" s="5">
        <v>1.28E-6</v>
      </c>
      <c r="L65" s="5"/>
      <c r="M65" s="5"/>
      <c r="N65" s="5"/>
      <c r="O65" s="5" t="s">
        <v>28</v>
      </c>
      <c r="Q65" t="s">
        <v>109</v>
      </c>
    </row>
    <row r="66" spans="1:17" hidden="1" x14ac:dyDescent="0.2">
      <c r="A66" t="s">
        <v>99</v>
      </c>
      <c r="C66" s="11">
        <f t="shared" si="7"/>
        <v>0.51764999999999994</v>
      </c>
      <c r="D66" s="5">
        <v>0.49099999999999999</v>
      </c>
      <c r="E66" s="5">
        <v>2.6200000000000001E-2</v>
      </c>
      <c r="F66" s="5">
        <v>4.4999999999999999E-4</v>
      </c>
      <c r="H66">
        <f>SUM(I66:K66)</f>
        <v>5.4393850000000001E-2</v>
      </c>
      <c r="I66" s="5">
        <v>5.3900000000000003E-2</v>
      </c>
      <c r="J66" s="5">
        <v>4.9200000000000003E-4</v>
      </c>
      <c r="K66" s="7">
        <v>1.8500000000000001E-6</v>
      </c>
      <c r="Q66" t="s">
        <v>109</v>
      </c>
    </row>
    <row r="67" spans="1:17" x14ac:dyDescent="0.2">
      <c r="A67" t="s">
        <v>156</v>
      </c>
      <c r="B67" s="19" t="s">
        <v>151</v>
      </c>
      <c r="C67" s="11">
        <f t="shared" si="7"/>
        <v>0.48447800000000002</v>
      </c>
      <c r="D67" s="5">
        <v>0.48199999999999998</v>
      </c>
      <c r="E67" s="5">
        <v>2.3E-3</v>
      </c>
      <c r="F67" s="5">
        <v>1.7799999999999999E-4</v>
      </c>
    </row>
    <row r="68" spans="1:17" x14ac:dyDescent="0.2">
      <c r="A68" t="s">
        <v>152</v>
      </c>
      <c r="B68" s="19" t="s">
        <v>149</v>
      </c>
      <c r="C68" s="11">
        <f t="shared" si="7"/>
        <v>0.42766599999999999</v>
      </c>
      <c r="D68" s="5">
        <v>0.41499999999999998</v>
      </c>
      <c r="E68" s="5">
        <v>1.1900000000000001E-2</v>
      </c>
      <c r="F68" s="5">
        <v>7.6599999999999997E-4</v>
      </c>
    </row>
    <row r="69" spans="1:17" x14ac:dyDescent="0.2">
      <c r="A69" t="s">
        <v>147</v>
      </c>
      <c r="B69" s="19" t="s">
        <v>148</v>
      </c>
      <c r="C69" s="11">
        <f t="shared" si="7"/>
        <v>2.8164400000000001</v>
      </c>
      <c r="D69" s="5">
        <v>2.4900000000000002</v>
      </c>
      <c r="E69" s="5">
        <v>0.32</v>
      </c>
      <c r="F69" s="5">
        <v>6.4400000000000004E-3</v>
      </c>
    </row>
    <row r="70" spans="1:17" x14ac:dyDescent="0.2">
      <c r="A70" t="s">
        <v>140</v>
      </c>
      <c r="B70" s="19" t="s">
        <v>146</v>
      </c>
      <c r="C70" s="11">
        <f t="shared" si="7"/>
        <v>1.26078</v>
      </c>
      <c r="D70" s="5">
        <v>1.23</v>
      </c>
      <c r="E70" s="5">
        <v>2.86E-2</v>
      </c>
      <c r="F70" s="5">
        <v>2.1800000000000001E-3</v>
      </c>
    </row>
    <row r="71" spans="1:17" x14ac:dyDescent="0.2">
      <c r="A71" t="s">
        <v>5</v>
      </c>
      <c r="B71" s="19" t="s">
        <v>284</v>
      </c>
      <c r="C71" s="20">
        <f t="shared" ref="C71" si="8">SUM(D71:F71)</f>
        <v>0.28629439999999995</v>
      </c>
      <c r="D71" s="5">
        <v>0.28499999999999998</v>
      </c>
      <c r="E71" s="5">
        <v>1.2199999999999999E-3</v>
      </c>
      <c r="F71" s="5">
        <v>7.4400000000000006E-5</v>
      </c>
      <c r="I71" s="5"/>
      <c r="J71" s="5"/>
      <c r="K71" s="5"/>
      <c r="L71" s="5"/>
      <c r="M71" s="5"/>
      <c r="N71" s="9">
        <f>L71/C71</f>
        <v>0</v>
      </c>
      <c r="O71" s="5" t="s">
        <v>28</v>
      </c>
      <c r="Q71" t="s">
        <v>104</v>
      </c>
    </row>
    <row r="72" spans="1:17" hidden="1" x14ac:dyDescent="0.2">
      <c r="A72" t="s">
        <v>37</v>
      </c>
      <c r="C72" s="11">
        <f t="shared" si="7"/>
        <v>0.32052000000000003</v>
      </c>
      <c r="D72" s="5">
        <v>0.313</v>
      </c>
      <c r="E72" s="5">
        <v>7.5199999999999998E-3</v>
      </c>
      <c r="F72" s="5"/>
      <c r="H72">
        <f>H46</f>
        <v>5.5818774028000007E-2</v>
      </c>
      <c r="I72" s="5"/>
      <c r="J72" s="5"/>
      <c r="K72" s="5"/>
      <c r="L72" s="5">
        <f>SUM(D72:K72)</f>
        <v>0.37633877402800003</v>
      </c>
      <c r="M72" s="5"/>
      <c r="N72" s="9">
        <f>L72/C72</f>
        <v>1.1741506739922625</v>
      </c>
      <c r="O72" s="5"/>
      <c r="P72" t="s">
        <v>80</v>
      </c>
      <c r="Q72" t="s">
        <v>104</v>
      </c>
    </row>
    <row r="73" spans="1:17" x14ac:dyDescent="0.2">
      <c r="A73" t="s">
        <v>189</v>
      </c>
      <c r="B73" s="19" t="s">
        <v>280</v>
      </c>
      <c r="C73" s="20">
        <f>SUM(D73:F73)</f>
        <v>1.9127649999999998</v>
      </c>
      <c r="D73" s="5">
        <v>1.9</v>
      </c>
      <c r="E73" s="5">
        <v>1.24E-2</v>
      </c>
      <c r="F73" s="5">
        <v>3.6499999999999998E-4</v>
      </c>
      <c r="I73" s="5">
        <v>9.0499999999999997E-2</v>
      </c>
      <c r="J73" s="5">
        <v>5.8E-4</v>
      </c>
      <c r="K73" s="5"/>
      <c r="L73" s="5"/>
      <c r="M73" s="5"/>
      <c r="N73" s="9"/>
      <c r="O73" s="5"/>
    </row>
    <row r="74" spans="1:17" hidden="1" x14ac:dyDescent="0.2">
      <c r="A74" t="s">
        <v>93</v>
      </c>
      <c r="C74" s="11"/>
      <c r="D74" s="5">
        <v>9.8900000000000008E-4</v>
      </c>
      <c r="E74" s="7">
        <v>3.0300000000000001E-5</v>
      </c>
      <c r="F74" s="7">
        <v>2.1100000000000001E-6</v>
      </c>
      <c r="G74" s="11">
        <f>SUM(D74:F74)</f>
        <v>1.0214100000000002E-3</v>
      </c>
      <c r="I74" s="5">
        <v>1.13E-4</v>
      </c>
      <c r="J74" s="7">
        <v>1.5799999999999999E-6</v>
      </c>
      <c r="K74" s="7">
        <v>6.1900000000000003E-9</v>
      </c>
      <c r="L74" s="5"/>
      <c r="M74">
        <f>SUM(I74:K74)</f>
        <v>1.1458618999999999E-4</v>
      </c>
      <c r="N74" s="5"/>
      <c r="O74" s="5"/>
      <c r="Q74" t="s">
        <v>111</v>
      </c>
    </row>
    <row r="75" spans="1:17" hidden="1" x14ac:dyDescent="0.2">
      <c r="A75" t="s">
        <v>39</v>
      </c>
      <c r="C75" s="11">
        <f>SUM(D75:F75)</f>
        <v>0.13900000000000001</v>
      </c>
      <c r="D75" s="5">
        <v>0.13900000000000001</v>
      </c>
      <c r="E75" s="5"/>
      <c r="F75" s="5"/>
      <c r="H75">
        <f>H66</f>
        <v>5.4393850000000001E-2</v>
      </c>
      <c r="I75" s="5"/>
      <c r="J75" s="5"/>
      <c r="K75" s="5"/>
      <c r="L75" s="5">
        <f>SUM(D75:K75)</f>
        <v>0.19339385000000001</v>
      </c>
      <c r="M75" s="5"/>
      <c r="N75" s="9">
        <f>L75/C75</f>
        <v>1.3913226618705035</v>
      </c>
      <c r="O75" s="5"/>
      <c r="Q75" t="s">
        <v>107</v>
      </c>
    </row>
    <row r="76" spans="1:17" hidden="1" x14ac:dyDescent="0.2">
      <c r="A76" t="s">
        <v>86</v>
      </c>
      <c r="C76" s="11"/>
      <c r="D76" s="5">
        <v>2.1299999999999999E-2</v>
      </c>
      <c r="E76" s="5">
        <v>4.57E-4</v>
      </c>
      <c r="F76" s="7">
        <v>2.4899999999999999E-5</v>
      </c>
      <c r="G76" s="11">
        <f>SUM(D76:F76)</f>
        <v>2.17819E-2</v>
      </c>
      <c r="I76" s="5">
        <v>3.3300000000000001E-3</v>
      </c>
      <c r="J76" s="7">
        <v>3.3899999999999997E-5</v>
      </c>
      <c r="K76" s="7">
        <v>7.17E-8</v>
      </c>
      <c r="L76" s="5"/>
      <c r="M76">
        <f>SUM(I76:K76)</f>
        <v>3.3639717000000001E-3</v>
      </c>
      <c r="N76" s="5"/>
      <c r="O76" s="5"/>
      <c r="Q76" t="s">
        <v>111</v>
      </c>
    </row>
    <row r="77" spans="1:17" x14ac:dyDescent="0.2">
      <c r="A77" t="s">
        <v>190</v>
      </c>
      <c r="B77" s="19" t="s">
        <v>288</v>
      </c>
      <c r="C77" s="20">
        <f t="shared" ref="C77" si="9">SUM(D77:F77)</f>
        <v>5.1360099999999996E-5</v>
      </c>
      <c r="D77" s="7">
        <f>0.0000513</f>
        <v>5.13E-5</v>
      </c>
      <c r="E77" s="5">
        <v>4.8599999999999998E-8</v>
      </c>
      <c r="F77" s="7">
        <v>1.15E-8</v>
      </c>
      <c r="G77" s="8"/>
      <c r="H77">
        <f>SUM(I77:K77)</f>
        <v>5.774166225999999E-6</v>
      </c>
      <c r="I77" s="7">
        <f>0.000000000000226+0.00000577</f>
        <v>5.7700002259999996E-6</v>
      </c>
      <c r="J77" s="7">
        <v>4.0400000000000001E-9</v>
      </c>
      <c r="K77" s="7">
        <v>1.26E-10</v>
      </c>
      <c r="L77" s="5"/>
      <c r="M77" s="5"/>
      <c r="N77" s="10">
        <f>L77/C77</f>
        <v>0</v>
      </c>
      <c r="O77" s="5" t="s">
        <v>28</v>
      </c>
      <c r="P77" t="s">
        <v>53</v>
      </c>
      <c r="Q77" t="s">
        <v>108</v>
      </c>
    </row>
    <row r="78" spans="1:17" hidden="1" x14ac:dyDescent="0.2">
      <c r="A78" t="s">
        <v>144</v>
      </c>
      <c r="B78" s="19" t="s">
        <v>154</v>
      </c>
      <c r="C78" s="11">
        <f>C33*0.5</f>
        <v>1.60375E-2</v>
      </c>
      <c r="D78" s="11">
        <f>D33*0.5</f>
        <v>1.52E-2</v>
      </c>
      <c r="E78" s="11">
        <f>E33*0.5</f>
        <v>1.5249999999999999E-4</v>
      </c>
      <c r="F78" s="11">
        <f>F33*0.5</f>
        <v>6.8499999999999995E-4</v>
      </c>
    </row>
    <row r="79" spans="1:17" hidden="1" x14ac:dyDescent="0.2">
      <c r="A79" t="s">
        <v>134</v>
      </c>
      <c r="C79" s="11">
        <f>SUM(D79:F79)</f>
        <v>1.143533E-2</v>
      </c>
      <c r="D79" s="5">
        <v>1.1299999999999999E-2</v>
      </c>
      <c r="E79" s="5">
        <v>1.27E-4</v>
      </c>
      <c r="F79" s="5">
        <v>8.3299999999999999E-6</v>
      </c>
      <c r="H79">
        <f>SUM(I79:K79)</f>
        <v>4.555351E-4</v>
      </c>
      <c r="I79" s="5">
        <v>4.46E-4</v>
      </c>
      <c r="J79" s="5">
        <v>9.4900000000000006E-6</v>
      </c>
      <c r="K79" s="8">
        <v>4.51E-8</v>
      </c>
      <c r="O79" s="5" t="s">
        <v>23</v>
      </c>
      <c r="P79" t="s">
        <v>58</v>
      </c>
    </row>
    <row r="80" spans="1:17" hidden="1" x14ac:dyDescent="0.2">
      <c r="A80" t="s">
        <v>84</v>
      </c>
      <c r="C80" s="11"/>
      <c r="D80" s="7">
        <v>7.7000000000000001E-5</v>
      </c>
      <c r="E80" s="7">
        <v>9.6500000000000008E-7</v>
      </c>
      <c r="F80" s="7">
        <v>5.1200000000000002E-8</v>
      </c>
      <c r="G80" s="11">
        <f>SUM(D80:F80)</f>
        <v>7.8016200000000007E-5</v>
      </c>
      <c r="I80" s="7">
        <v>6.6699999999999997E-6</v>
      </c>
      <c r="J80" s="7">
        <v>2.96E-8</v>
      </c>
      <c r="K80" s="7">
        <v>3.5099999999999998E-10</v>
      </c>
      <c r="L80" s="5"/>
      <c r="M80">
        <f>SUM(I80:K80)</f>
        <v>6.6999509999999995E-6</v>
      </c>
      <c r="N80" s="5"/>
      <c r="O80" s="5"/>
      <c r="Q80" t="s">
        <v>111</v>
      </c>
    </row>
    <row r="81" spans="1:17" hidden="1" x14ac:dyDescent="0.2">
      <c r="A81" t="s">
        <v>42</v>
      </c>
      <c r="C81" s="11">
        <f t="shared" ref="C81:C90" si="10">SUM(D81:F81)</f>
        <v>2.6087599999999997</v>
      </c>
      <c r="D81" s="5">
        <v>2.57</v>
      </c>
      <c r="E81" s="5">
        <v>3.6799999999999999E-2</v>
      </c>
      <c r="F81" s="5">
        <v>1.9599999999999999E-3</v>
      </c>
      <c r="H81">
        <f t="shared" ref="H81:H90" si="11">SUM(I81:K81)</f>
        <v>0.38169149999999996</v>
      </c>
      <c r="I81" s="5">
        <v>0.379</v>
      </c>
      <c r="J81" s="5">
        <v>2.64E-3</v>
      </c>
      <c r="K81" s="5">
        <v>5.1499999999999998E-5</v>
      </c>
      <c r="L81" s="5">
        <f t="shared" ref="L81:L90" si="12">SUM(D81:K81)</f>
        <v>3.3721429999999999</v>
      </c>
      <c r="M81" s="5"/>
      <c r="N81" s="9">
        <f t="shared" ref="N81:N90" si="13">L81/C81</f>
        <v>1.2926229319676783</v>
      </c>
      <c r="O81" s="5" t="s">
        <v>28</v>
      </c>
      <c r="Q81" t="s">
        <v>107</v>
      </c>
    </row>
    <row r="82" spans="1:17" hidden="1" x14ac:dyDescent="0.2">
      <c r="A82" t="s">
        <v>40</v>
      </c>
      <c r="C82" s="11">
        <f t="shared" si="10"/>
        <v>0.76161899999999993</v>
      </c>
      <c r="D82" s="5">
        <v>0.73599999999999999</v>
      </c>
      <c r="E82" s="5">
        <v>2.52E-2</v>
      </c>
      <c r="F82" s="5">
        <v>4.1899999999999999E-4</v>
      </c>
      <c r="H82">
        <f t="shared" si="11"/>
        <v>7.951859E-2</v>
      </c>
      <c r="I82" s="5">
        <v>7.9100000000000004E-2</v>
      </c>
      <c r="J82" s="5">
        <v>4.1599999999999997E-4</v>
      </c>
      <c r="K82" s="5">
        <v>2.5900000000000002E-6</v>
      </c>
      <c r="L82" s="5">
        <f t="shared" si="12"/>
        <v>0.92065617999999994</v>
      </c>
      <c r="M82" s="5"/>
      <c r="N82" s="9">
        <f t="shared" si="13"/>
        <v>1.2088146172823946</v>
      </c>
      <c r="O82" s="5" t="s">
        <v>28</v>
      </c>
      <c r="P82" t="s">
        <v>41</v>
      </c>
      <c r="Q82" t="s">
        <v>107</v>
      </c>
    </row>
    <row r="83" spans="1:17" hidden="1" x14ac:dyDescent="0.2">
      <c r="A83" t="s">
        <v>227</v>
      </c>
      <c r="C83" s="11">
        <f t="shared" si="10"/>
        <v>2.5183600000000004</v>
      </c>
      <c r="D83" s="5">
        <v>2.48</v>
      </c>
      <c r="E83" s="5">
        <v>3.6499999999999998E-2</v>
      </c>
      <c r="F83" s="5">
        <v>1.8600000000000001E-3</v>
      </c>
      <c r="I83" s="5"/>
      <c r="J83" s="5"/>
      <c r="K83" s="5"/>
      <c r="L83" s="5"/>
      <c r="M83" s="5"/>
      <c r="N83" s="9"/>
      <c r="O83" s="5"/>
    </row>
    <row r="84" spans="1:17" x14ac:dyDescent="0.2">
      <c r="A84" t="s">
        <v>192</v>
      </c>
      <c r="B84" s="19" t="s">
        <v>285</v>
      </c>
      <c r="C84" s="20">
        <f t="shared" si="10"/>
        <v>2.5567700000000002</v>
      </c>
      <c r="D84" s="5">
        <v>2.5099999999999998</v>
      </c>
      <c r="E84" s="5">
        <v>4.4499999999999998E-2</v>
      </c>
      <c r="F84" s="5">
        <v>2.2699999999999999E-3</v>
      </c>
      <c r="H84" t="e">
        <f t="shared" si="11"/>
        <v>#REF!</v>
      </c>
      <c r="I84" s="5" t="e">
        <f>#REF!+#REF!</f>
        <v>#REF!</v>
      </c>
      <c r="J84" s="5" t="e">
        <f>#REF!+#REF!</f>
        <v>#REF!</v>
      </c>
      <c r="K84" s="5">
        <v>5.0099999999999998E-5</v>
      </c>
      <c r="L84" s="5" t="e">
        <f t="shared" si="12"/>
        <v>#REF!</v>
      </c>
      <c r="M84" s="5"/>
      <c r="N84" s="9" t="e">
        <f t="shared" si="13"/>
        <v>#REF!</v>
      </c>
      <c r="O84" s="5" t="s">
        <v>23</v>
      </c>
      <c r="P84" t="s">
        <v>67</v>
      </c>
      <c r="Q84" t="s">
        <v>107</v>
      </c>
    </row>
    <row r="85" spans="1:17" hidden="1" x14ac:dyDescent="0.2">
      <c r="A85" t="s">
        <v>43</v>
      </c>
      <c r="C85" s="11">
        <f t="shared" si="10"/>
        <v>1.9883300000000002</v>
      </c>
      <c r="D85" s="5">
        <v>1.97</v>
      </c>
      <c r="E85" s="5">
        <v>1.7299999999999999E-2</v>
      </c>
      <c r="F85" s="5">
        <v>1.0300000000000001E-3</v>
      </c>
      <c r="H85">
        <f t="shared" si="11"/>
        <v>0.40600280000000005</v>
      </c>
      <c r="I85" s="5">
        <v>0.40500000000000003</v>
      </c>
      <c r="J85" s="5">
        <v>9.990000000000001E-4</v>
      </c>
      <c r="K85" s="5">
        <v>3.8E-6</v>
      </c>
      <c r="L85" s="5">
        <f t="shared" si="12"/>
        <v>2.8003356000000004</v>
      </c>
      <c r="M85" s="5"/>
      <c r="N85" s="10">
        <f t="shared" si="13"/>
        <v>1.4083857307388614</v>
      </c>
      <c r="O85" s="5" t="s">
        <v>28</v>
      </c>
      <c r="Q85" t="s">
        <v>107</v>
      </c>
    </row>
    <row r="86" spans="1:17" hidden="1" x14ac:dyDescent="0.2">
      <c r="A86" t="s">
        <v>118</v>
      </c>
      <c r="C86" s="11">
        <f t="shared" si="10"/>
        <v>0.1167089</v>
      </c>
      <c r="D86">
        <v>0.114</v>
      </c>
      <c r="E86">
        <v>2.6800000000000001E-3</v>
      </c>
      <c r="F86">
        <v>2.8899999999999998E-5</v>
      </c>
      <c r="H86">
        <f t="shared" si="11"/>
        <v>7.4442399999999995E-3</v>
      </c>
      <c r="I86">
        <v>7.2300000000000003E-3</v>
      </c>
      <c r="J86">
        <v>2.13E-4</v>
      </c>
      <c r="K86">
        <v>1.24E-6</v>
      </c>
      <c r="L86" s="5">
        <f t="shared" si="12"/>
        <v>0.13159738000000001</v>
      </c>
      <c r="M86" s="5"/>
      <c r="N86" s="9">
        <f t="shared" si="13"/>
        <v>1.1275693627478283</v>
      </c>
      <c r="O86" s="5" t="s">
        <v>23</v>
      </c>
      <c r="Q86" t="s">
        <v>109</v>
      </c>
    </row>
    <row r="87" spans="1:17" hidden="1" x14ac:dyDescent="0.2">
      <c r="A87" t="s">
        <v>47</v>
      </c>
      <c r="C87" s="11">
        <f t="shared" si="10"/>
        <v>2.1913999999999998</v>
      </c>
      <c r="D87" s="5">
        <v>2.17</v>
      </c>
      <c r="E87" s="5">
        <v>2.1399999999999999E-2</v>
      </c>
      <c r="F87" s="5"/>
      <c r="H87">
        <f t="shared" si="11"/>
        <v>1.37E-4</v>
      </c>
      <c r="I87" s="5"/>
      <c r="J87" s="5">
        <v>1.37E-4</v>
      </c>
      <c r="K87" s="5"/>
      <c r="L87" s="5">
        <f t="shared" si="12"/>
        <v>2.1916739999999999</v>
      </c>
      <c r="M87" s="5"/>
      <c r="N87" s="9">
        <f t="shared" si="13"/>
        <v>1.0001250342246966</v>
      </c>
      <c r="O87" s="5"/>
      <c r="Q87" t="s">
        <v>109</v>
      </c>
    </row>
    <row r="88" spans="1:17" hidden="1" x14ac:dyDescent="0.2">
      <c r="A88" t="s">
        <v>46</v>
      </c>
      <c r="C88" s="11">
        <f t="shared" si="10"/>
        <v>1.952</v>
      </c>
      <c r="D88" s="5">
        <v>1.94</v>
      </c>
      <c r="E88" s="5">
        <v>1.2E-2</v>
      </c>
      <c r="F88" s="5"/>
      <c r="H88">
        <f t="shared" si="11"/>
        <v>1.0900000000000001E-4</v>
      </c>
      <c r="I88" s="5"/>
      <c r="J88" s="5">
        <v>1.0900000000000001E-4</v>
      </c>
      <c r="K88" s="5"/>
      <c r="L88" s="5">
        <f t="shared" si="12"/>
        <v>1.9522179999999998</v>
      </c>
      <c r="M88" s="5"/>
      <c r="N88" s="9">
        <f t="shared" si="13"/>
        <v>1.0001116803278687</v>
      </c>
      <c r="O88" s="5"/>
      <c r="Q88" t="s">
        <v>109</v>
      </c>
    </row>
    <row r="89" spans="1:17" hidden="1" x14ac:dyDescent="0.2">
      <c r="A89" t="s">
        <v>45</v>
      </c>
      <c r="C89" s="11">
        <f t="shared" si="10"/>
        <v>2.0971000000000002</v>
      </c>
      <c r="D89" s="5">
        <v>2.08</v>
      </c>
      <c r="E89" s="5">
        <v>1.7100000000000001E-2</v>
      </c>
      <c r="F89" s="5"/>
      <c r="H89">
        <f t="shared" si="11"/>
        <v>1.2400000000000001E-4</v>
      </c>
      <c r="I89" s="5"/>
      <c r="J89" s="5">
        <v>1.2400000000000001E-4</v>
      </c>
      <c r="K89" s="5"/>
      <c r="L89" s="5">
        <f t="shared" si="12"/>
        <v>2.0973480000000002</v>
      </c>
      <c r="M89" s="5"/>
      <c r="N89" s="9">
        <f t="shared" si="13"/>
        <v>1.0001182585475181</v>
      </c>
      <c r="O89" s="5"/>
      <c r="Q89" t="s">
        <v>109</v>
      </c>
    </row>
    <row r="90" spans="1:17" hidden="1" x14ac:dyDescent="0.2">
      <c r="A90" t="s">
        <v>49</v>
      </c>
      <c r="C90" s="11">
        <f t="shared" si="10"/>
        <v>2.05918</v>
      </c>
      <c r="D90" s="5">
        <v>2.0499999999999998</v>
      </c>
      <c r="E90" s="5">
        <v>9.1800000000000007E-3</v>
      </c>
      <c r="F90" s="5"/>
      <c r="H90">
        <f t="shared" si="11"/>
        <v>0.18401619999999999</v>
      </c>
      <c r="I90" s="5">
        <v>0.184</v>
      </c>
      <c r="J90" s="5">
        <v>1.3699999999999999E-5</v>
      </c>
      <c r="K90" s="5">
        <v>2.5000000000000002E-6</v>
      </c>
      <c r="L90" s="5">
        <f t="shared" si="12"/>
        <v>2.4272123999999997</v>
      </c>
      <c r="M90" s="5"/>
      <c r="N90" s="9">
        <f t="shared" si="13"/>
        <v>1.1787276488699383</v>
      </c>
      <c r="O90" s="5"/>
      <c r="Q90" t="s">
        <v>109</v>
      </c>
    </row>
    <row r="91" spans="1:17" hidden="1" x14ac:dyDescent="0.2">
      <c r="A91" t="s">
        <v>81</v>
      </c>
      <c r="C91" s="11"/>
      <c r="D91" s="5">
        <v>1.0800000000000001E-2</v>
      </c>
      <c r="E91" s="5">
        <v>2.61E-4</v>
      </c>
      <c r="F91" s="7">
        <v>1.13E-5</v>
      </c>
      <c r="G91" s="11">
        <f>SUM(D91:F91)</f>
        <v>1.1072300000000002E-2</v>
      </c>
      <c r="I91" s="5">
        <v>1.0300000000000001E-3</v>
      </c>
      <c r="J91" s="7">
        <v>2.9899999999999998E-5</v>
      </c>
      <c r="K91" s="7">
        <v>4.2699999999999999E-8</v>
      </c>
      <c r="L91" s="7"/>
      <c r="M91">
        <f>SUM(I91:K91)</f>
        <v>1.0599427000000002E-3</v>
      </c>
      <c r="N91" s="5"/>
      <c r="O91" s="5"/>
      <c r="Q91" t="s">
        <v>111</v>
      </c>
    </row>
    <row r="92" spans="1:17" hidden="1" x14ac:dyDescent="0.2">
      <c r="A92" t="s">
        <v>143</v>
      </c>
    </row>
    <row r="93" spans="1:17" x14ac:dyDescent="0.2">
      <c r="A93" t="s">
        <v>193</v>
      </c>
      <c r="B93" s="19" t="s">
        <v>286</v>
      </c>
      <c r="C93" s="20">
        <f t="shared" ref="C93:C94" si="14">SUM(D93:F93)</f>
        <v>8.4373499999999994E-5</v>
      </c>
      <c r="D93">
        <v>8.3800000000000004E-5</v>
      </c>
      <c r="E93" s="8">
        <v>5.4199999999999996E-7</v>
      </c>
      <c r="F93" s="8">
        <v>3.1499999999999998E-8</v>
      </c>
      <c r="I93">
        <v>1.9400000000000001E-6</v>
      </c>
      <c r="J93">
        <v>1.99E-6</v>
      </c>
      <c r="K93">
        <v>3.45E-6</v>
      </c>
      <c r="L93">
        <v>3.5599999999999998E-6</v>
      </c>
      <c r="Q93" t="s">
        <v>108</v>
      </c>
    </row>
    <row r="94" spans="1:17" x14ac:dyDescent="0.2">
      <c r="A94" t="s">
        <v>194</v>
      </c>
      <c r="B94" s="19" t="s">
        <v>287</v>
      </c>
      <c r="C94" s="20">
        <f t="shared" si="14"/>
        <v>1.592872E-4</v>
      </c>
      <c r="D94">
        <v>1.5799999999999999E-4</v>
      </c>
      <c r="E94" s="8">
        <v>1.22E-6</v>
      </c>
      <c r="F94" s="8">
        <v>6.7200000000000006E-8</v>
      </c>
      <c r="Q94" t="s">
        <v>108</v>
      </c>
    </row>
    <row r="95" spans="1:17" x14ac:dyDescent="0.2">
      <c r="A95" t="s">
        <v>194</v>
      </c>
      <c r="B95" s="19" t="s">
        <v>195</v>
      </c>
      <c r="C95" s="11">
        <f t="shared" ref="C95:C103" si="15">SUM(D95:F95)</f>
        <v>1.587549E-4</v>
      </c>
      <c r="D95">
        <v>1.5799999999999999E-4</v>
      </c>
      <c r="E95" s="8">
        <v>7.0299999999999998E-7</v>
      </c>
      <c r="F95" s="8">
        <v>5.1900000000000002E-8</v>
      </c>
      <c r="Q95" t="s">
        <v>108</v>
      </c>
    </row>
    <row r="96" spans="1:17" x14ac:dyDescent="0.2">
      <c r="A96" t="s">
        <v>196</v>
      </c>
      <c r="B96" s="19" t="s">
        <v>197</v>
      </c>
      <c r="C96" s="11">
        <f t="shared" si="15"/>
        <v>4.5560340000000001E-5</v>
      </c>
      <c r="D96" s="11">
        <v>4.5500000000000001E-5</v>
      </c>
      <c r="E96" s="8">
        <v>1.8400000000000001E-9</v>
      </c>
      <c r="F96" s="8">
        <v>5.8500000000000001E-8</v>
      </c>
      <c r="I96">
        <v>1.86E-6</v>
      </c>
    </row>
    <row r="97" spans="1:17" x14ac:dyDescent="0.2">
      <c r="A97" t="s">
        <v>198</v>
      </c>
      <c r="B97" s="19" t="s">
        <v>287</v>
      </c>
      <c r="C97" s="20">
        <f t="shared" si="15"/>
        <v>1.592872E-4</v>
      </c>
      <c r="D97">
        <v>1.5799999999999999E-4</v>
      </c>
      <c r="E97" s="8">
        <v>1.22E-6</v>
      </c>
      <c r="F97" s="8">
        <v>6.7200000000000006E-8</v>
      </c>
      <c r="Q97" t="s">
        <v>108</v>
      </c>
    </row>
    <row r="98" spans="1:17" x14ac:dyDescent="0.2">
      <c r="A98" t="s">
        <v>200</v>
      </c>
      <c r="B98" s="19" t="s">
        <v>288</v>
      </c>
      <c r="C98" s="20">
        <f t="shared" si="15"/>
        <v>5.2890699999999998E-5</v>
      </c>
      <c r="D98" s="7">
        <f>0.0000528</f>
        <v>5.2800000000000003E-5</v>
      </c>
      <c r="E98" s="5">
        <v>7.9700000000000006E-8</v>
      </c>
      <c r="F98" s="7">
        <v>1.0999999999999999E-8</v>
      </c>
      <c r="G98" s="8"/>
      <c r="H98">
        <f>SUM(I98:K98)</f>
        <v>5.774166225999999E-6</v>
      </c>
      <c r="I98" s="7">
        <f>0.000000000000226+0.00000577</f>
        <v>5.7700002259999996E-6</v>
      </c>
      <c r="J98" s="7">
        <v>4.0400000000000001E-9</v>
      </c>
      <c r="K98" s="7">
        <v>1.26E-10</v>
      </c>
      <c r="L98" s="5"/>
      <c r="M98" s="5"/>
      <c r="N98" s="10">
        <f>L98/C98</f>
        <v>0</v>
      </c>
      <c r="O98" s="5" t="s">
        <v>28</v>
      </c>
      <c r="P98" t="s">
        <v>53</v>
      </c>
      <c r="Q98" t="s">
        <v>108</v>
      </c>
    </row>
    <row r="99" spans="1:17" x14ac:dyDescent="0.2">
      <c r="A99" t="s">
        <v>199</v>
      </c>
      <c r="B99" s="19" t="s">
        <v>288</v>
      </c>
      <c r="C99" s="20">
        <f t="shared" si="15"/>
        <v>5.1360099999999996E-5</v>
      </c>
      <c r="D99" s="7">
        <f>0.0000513</f>
        <v>5.13E-5</v>
      </c>
      <c r="E99" s="5">
        <v>4.8599999999999998E-8</v>
      </c>
      <c r="F99" s="7">
        <v>1.15E-8</v>
      </c>
      <c r="G99" s="8"/>
      <c r="H99">
        <f>SUM(I99:K99)</f>
        <v>5.774166225999999E-6</v>
      </c>
      <c r="I99" s="7">
        <f>0.000000000000226+0.00000577</f>
        <v>5.7700002259999996E-6</v>
      </c>
      <c r="J99" s="7">
        <v>4.0400000000000001E-9</v>
      </c>
      <c r="K99" s="7">
        <v>1.26E-10</v>
      </c>
      <c r="L99" s="5"/>
      <c r="M99" s="5"/>
      <c r="N99" s="10">
        <f>L99/C99</f>
        <v>0</v>
      </c>
      <c r="O99" s="5" t="s">
        <v>28</v>
      </c>
      <c r="P99" t="s">
        <v>53</v>
      </c>
      <c r="Q99" t="s">
        <v>108</v>
      </c>
    </row>
    <row r="100" spans="1:17" hidden="1" x14ac:dyDescent="0.2">
      <c r="A100" t="s">
        <v>160</v>
      </c>
      <c r="B100" s="19" t="s">
        <v>191</v>
      </c>
      <c r="C100" s="20">
        <f t="shared" si="15"/>
        <v>7.0681399999999997E-5</v>
      </c>
      <c r="D100" s="7">
        <v>7.0599999999999995E-5</v>
      </c>
      <c r="E100" s="5">
        <v>6.6100000000000003E-8</v>
      </c>
      <c r="F100" s="7">
        <v>1.5300000000000001E-8</v>
      </c>
      <c r="G100" s="8"/>
      <c r="H100">
        <f>SUM(I100:K100)</f>
        <v>5.4510181999999996E-5</v>
      </c>
      <c r="I100" s="5">
        <v>5.4400000000000001E-5</v>
      </c>
      <c r="J100" s="5">
        <f>0.00000011</f>
        <v>1.1000000000000001E-7</v>
      </c>
      <c r="K100" s="7">
        <v>1.8199999999999999E-10</v>
      </c>
      <c r="L100" s="5">
        <f>SUM(D100:K100)</f>
        <v>1.7970176399999998E-4</v>
      </c>
      <c r="M100" s="5"/>
      <c r="N100" s="10">
        <f>L100/C100</f>
        <v>2.5424194201020351</v>
      </c>
      <c r="O100" s="5" t="s">
        <v>28</v>
      </c>
      <c r="P100" t="s">
        <v>53</v>
      </c>
      <c r="Q100" t="s">
        <v>108</v>
      </c>
    </row>
    <row r="101" spans="1:17" hidden="1" x14ac:dyDescent="0.2">
      <c r="A101" t="s">
        <v>159</v>
      </c>
      <c r="B101" s="19" t="s">
        <v>191</v>
      </c>
      <c r="C101" s="20">
        <f t="shared" si="15"/>
        <v>5.1360099999999996E-5</v>
      </c>
      <c r="D101" s="7">
        <f>0.0000513</f>
        <v>5.13E-5</v>
      </c>
      <c r="E101" s="5">
        <v>4.8599999999999998E-8</v>
      </c>
      <c r="F101" s="7">
        <v>1.15E-8</v>
      </c>
      <c r="G101" s="8"/>
      <c r="H101">
        <f>SUM(I101:K101)</f>
        <v>5.774166225999999E-6</v>
      </c>
      <c r="I101" s="7">
        <f>0.000000000000226+0.00000577</f>
        <v>5.7700002259999996E-6</v>
      </c>
      <c r="J101" s="7">
        <v>4.0400000000000001E-9</v>
      </c>
      <c r="K101" s="7">
        <v>1.26E-10</v>
      </c>
      <c r="L101" s="5"/>
      <c r="M101" s="5"/>
      <c r="N101" s="10">
        <f>L101/C101</f>
        <v>0</v>
      </c>
      <c r="O101" s="5" t="s">
        <v>28</v>
      </c>
      <c r="P101" t="s">
        <v>53</v>
      </c>
      <c r="Q101" t="s">
        <v>108</v>
      </c>
    </row>
    <row r="102" spans="1:17" hidden="1" x14ac:dyDescent="0.2">
      <c r="A102" t="s">
        <v>158</v>
      </c>
      <c r="B102" s="19" t="s">
        <v>191</v>
      </c>
      <c r="C102" s="20">
        <f t="shared" si="15"/>
        <v>5.1421000000000001E-5</v>
      </c>
      <c r="D102" s="7">
        <v>5.1400000000000003E-5</v>
      </c>
      <c r="E102" s="7">
        <v>1.15E-8</v>
      </c>
      <c r="F102" s="7">
        <v>9.5000000000000007E-9</v>
      </c>
      <c r="G102" s="8"/>
      <c r="H102">
        <f>SUM(I102:K102)</f>
        <v>5.7648995120000004E-6</v>
      </c>
      <c r="I102" s="5">
        <f>0.000000000000312+0.00000575</f>
        <v>5.7500003120000003E-6</v>
      </c>
      <c r="J102" s="7">
        <v>1.48E-8</v>
      </c>
      <c r="K102" s="7">
        <v>9.9200000000000004E-11</v>
      </c>
      <c r="L102" s="5"/>
      <c r="M102" s="5"/>
      <c r="N102" s="10"/>
      <c r="O102" s="5" t="s">
        <v>28</v>
      </c>
      <c r="P102" t="s">
        <v>53</v>
      </c>
      <c r="Q102" t="s">
        <v>108</v>
      </c>
    </row>
    <row r="103" spans="1:17" x14ac:dyDescent="0.2">
      <c r="A103" t="s">
        <v>201</v>
      </c>
      <c r="B103" s="19" t="s">
        <v>289</v>
      </c>
      <c r="C103" s="20">
        <f t="shared" si="15"/>
        <v>3.4837300000000002E-4</v>
      </c>
      <c r="D103">
        <v>3.21E-4</v>
      </c>
      <c r="E103" s="5">
        <v>2.6699999999999998E-5</v>
      </c>
      <c r="F103" s="5">
        <v>6.7299999999999995E-7</v>
      </c>
      <c r="I103">
        <v>2.0100000000000001E-5</v>
      </c>
      <c r="J103" s="7">
        <v>1.01E-5</v>
      </c>
      <c r="O103" t="s">
        <v>23</v>
      </c>
      <c r="P103" t="s">
        <v>153</v>
      </c>
    </row>
    <row r="104" spans="1:17" hidden="1" x14ac:dyDescent="0.2">
      <c r="A104" s="6" t="s">
        <v>26</v>
      </c>
      <c r="B104" s="18"/>
      <c r="C104" s="11">
        <v>0.6</v>
      </c>
      <c r="D104" s="5"/>
      <c r="E104" s="5"/>
      <c r="F104" s="5"/>
      <c r="H104">
        <f>SUM(I104:K104)</f>
        <v>0</v>
      </c>
      <c r="I104" s="5"/>
      <c r="J104" s="5"/>
      <c r="K104" s="5"/>
      <c r="L104" s="5"/>
      <c r="M104" s="5"/>
      <c r="N104" s="9"/>
      <c r="O104" s="5"/>
      <c r="Q104" t="s">
        <v>106</v>
      </c>
    </row>
    <row r="105" spans="1:17" hidden="1" x14ac:dyDescent="0.2">
      <c r="A105" t="s">
        <v>44</v>
      </c>
      <c r="C105" s="11">
        <f>SUM(D105:F105)</f>
        <v>6.8199999999999997E-3</v>
      </c>
      <c r="D105" s="5">
        <v>6.8199999999999997E-3</v>
      </c>
      <c r="E105" s="5"/>
      <c r="F105" s="5"/>
      <c r="H105">
        <f>SUM(I105:K105)</f>
        <v>0</v>
      </c>
      <c r="I105" s="5"/>
      <c r="J105" s="5"/>
      <c r="K105" s="5"/>
      <c r="L105" s="5"/>
      <c r="M105" s="5"/>
      <c r="N105" s="9">
        <f t="shared" ref="N105:N111" si="16">L105/C105</f>
        <v>0</v>
      </c>
      <c r="O105" s="5"/>
      <c r="Q105" t="s">
        <v>106</v>
      </c>
    </row>
    <row r="106" spans="1:17" hidden="1" x14ac:dyDescent="0.2">
      <c r="A106" t="s">
        <v>65</v>
      </c>
      <c r="C106" s="11">
        <v>0.5</v>
      </c>
      <c r="D106" s="5"/>
      <c r="E106" s="5"/>
      <c r="F106" s="5"/>
      <c r="H106">
        <f>H104</f>
        <v>0</v>
      </c>
      <c r="I106" s="5"/>
      <c r="J106" s="5"/>
      <c r="K106" s="5"/>
      <c r="L106" s="5">
        <f t="shared" ref="L106:L111" si="17">SUM(D106:K106)</f>
        <v>0</v>
      </c>
      <c r="M106" s="5"/>
      <c r="N106" s="9">
        <f t="shared" si="16"/>
        <v>0</v>
      </c>
      <c r="O106" s="5"/>
      <c r="Q106" t="s">
        <v>106</v>
      </c>
    </row>
    <row r="107" spans="1:17" hidden="1" x14ac:dyDescent="0.2">
      <c r="A107" t="s">
        <v>66</v>
      </c>
      <c r="C107" s="11">
        <v>0.1</v>
      </c>
      <c r="D107" s="5"/>
      <c r="E107" s="5"/>
      <c r="F107" s="5"/>
      <c r="H107">
        <f>H104</f>
        <v>0</v>
      </c>
      <c r="I107" s="5"/>
      <c r="J107" s="5"/>
      <c r="K107" s="5"/>
      <c r="L107" s="5">
        <f t="shared" si="17"/>
        <v>0</v>
      </c>
      <c r="M107" s="5"/>
      <c r="N107" s="9">
        <f t="shared" si="16"/>
        <v>0</v>
      </c>
      <c r="O107" s="5"/>
      <c r="Q107" t="s">
        <v>106</v>
      </c>
    </row>
    <row r="108" spans="1:17" hidden="1" x14ac:dyDescent="0.2">
      <c r="A108" t="s">
        <v>64</v>
      </c>
      <c r="C108" s="11">
        <f t="shared" ref="C108:C113" si="18">SUM(D108:F108)</f>
        <v>0.34770199999999996</v>
      </c>
      <c r="D108" s="5">
        <v>0.13100000000000001</v>
      </c>
      <c r="E108" s="5">
        <v>0.216</v>
      </c>
      <c r="F108" s="5">
        <v>7.0200000000000004E-4</v>
      </c>
      <c r="H108">
        <f>SUM(I108:K108)</f>
        <v>1.3584769999999999E-2</v>
      </c>
      <c r="I108" s="5">
        <v>1.26E-2</v>
      </c>
      <c r="J108" s="5">
        <v>9.7499999999999996E-4</v>
      </c>
      <c r="K108" s="5">
        <v>9.7699999999999996E-6</v>
      </c>
      <c r="L108" s="5">
        <f t="shared" si="17"/>
        <v>0.37487154</v>
      </c>
      <c r="M108" s="5"/>
      <c r="N108" s="9">
        <f t="shared" si="16"/>
        <v>1.0781403040534712</v>
      </c>
      <c r="O108" s="5" t="s">
        <v>28</v>
      </c>
      <c r="P108" t="s">
        <v>53</v>
      </c>
      <c r="Q108" t="s">
        <v>106</v>
      </c>
    </row>
    <row r="109" spans="1:17" hidden="1" x14ac:dyDescent="0.2">
      <c r="A109" t="s">
        <v>50</v>
      </c>
      <c r="C109" s="11">
        <f t="shared" si="18"/>
        <v>0.3342</v>
      </c>
      <c r="D109" s="5">
        <v>3.4200000000000001E-2</v>
      </c>
      <c r="E109" s="5">
        <v>0.3</v>
      </c>
      <c r="F109" s="5"/>
      <c r="H109">
        <f>SUM(I109:K109)</f>
        <v>2.2351899999999997E-3</v>
      </c>
      <c r="I109" s="5">
        <v>2.0899999999999998E-3</v>
      </c>
      <c r="J109" s="5">
        <v>1.37E-4</v>
      </c>
      <c r="K109" s="5">
        <v>8.1899999999999995E-6</v>
      </c>
      <c r="L109" s="5">
        <f t="shared" si="17"/>
        <v>0.33867037999999999</v>
      </c>
      <c r="M109" s="5"/>
      <c r="N109" s="9">
        <f t="shared" si="16"/>
        <v>1.0133763614602034</v>
      </c>
      <c r="O109" s="5" t="s">
        <v>28</v>
      </c>
      <c r="P109" t="s">
        <v>55</v>
      </c>
      <c r="Q109" t="s">
        <v>104</v>
      </c>
    </row>
    <row r="110" spans="1:17" hidden="1" x14ac:dyDescent="0.2">
      <c r="A110" t="s">
        <v>51</v>
      </c>
      <c r="C110" s="11">
        <f t="shared" si="18"/>
        <v>0.37089999999999995</v>
      </c>
      <c r="D110" s="5">
        <v>2.5899999999999999E-2</v>
      </c>
      <c r="E110" s="5">
        <v>0.34499999999999997</v>
      </c>
      <c r="F110" s="5"/>
      <c r="H110">
        <f>SUM(I110:K110)</f>
        <v>2.9999700000000002E-3</v>
      </c>
      <c r="I110" s="5">
        <v>2.8500000000000001E-3</v>
      </c>
      <c r="J110" s="5">
        <v>1.4200000000000001E-4</v>
      </c>
      <c r="K110" s="5">
        <v>7.9699999999999999E-6</v>
      </c>
      <c r="L110" s="5">
        <f t="shared" si="17"/>
        <v>0.37689993999999999</v>
      </c>
      <c r="M110" s="5"/>
      <c r="N110" s="9">
        <f t="shared" si="16"/>
        <v>1.0161767053114048</v>
      </c>
      <c r="O110" s="5" t="s">
        <v>28</v>
      </c>
      <c r="P110" t="s">
        <v>55</v>
      </c>
      <c r="Q110" t="s">
        <v>104</v>
      </c>
    </row>
    <row r="111" spans="1:17" hidden="1" x14ac:dyDescent="0.2">
      <c r="A111" t="s">
        <v>57</v>
      </c>
      <c r="C111" s="11">
        <f t="shared" si="18"/>
        <v>4.5254500000000002</v>
      </c>
      <c r="D111" s="5">
        <v>4.4400000000000004</v>
      </c>
      <c r="E111" s="5">
        <v>8.1199999999999994E-2</v>
      </c>
      <c r="F111" s="5">
        <v>4.2500000000000003E-3</v>
      </c>
      <c r="H111">
        <f>SUM(I111:K111)</f>
        <v>0.41471239999999998</v>
      </c>
      <c r="I111" s="5">
        <v>0.41099999999999998</v>
      </c>
      <c r="J111" s="5">
        <v>3.7000000000000002E-3</v>
      </c>
      <c r="K111" s="5">
        <v>1.24E-5</v>
      </c>
      <c r="L111" s="5">
        <f t="shared" si="17"/>
        <v>5.3548748000000002</v>
      </c>
      <c r="M111" s="5"/>
      <c r="N111" s="9">
        <f t="shared" si="16"/>
        <v>1.18328007159509</v>
      </c>
      <c r="O111" s="5" t="s">
        <v>28</v>
      </c>
      <c r="P111" t="s">
        <v>58</v>
      </c>
      <c r="Q111" t="s">
        <v>103</v>
      </c>
    </row>
    <row r="112" spans="1:17" hidden="1" x14ac:dyDescent="0.2">
      <c r="A112" t="s">
        <v>202</v>
      </c>
      <c r="B112" s="19" t="s">
        <v>203</v>
      </c>
      <c r="C112" s="11">
        <f t="shared" si="18"/>
        <v>8.9000400000000014E-3</v>
      </c>
      <c r="D112" s="5">
        <v>8.6700000000000006E-3</v>
      </c>
      <c r="E112" s="5">
        <v>2.24E-4</v>
      </c>
      <c r="F112" s="5">
        <v>6.0399999999999998E-6</v>
      </c>
      <c r="I112" s="5">
        <v>2.8299999999999999E-4</v>
      </c>
    </row>
    <row r="113" spans="1:16" x14ac:dyDescent="0.2">
      <c r="A113" t="s">
        <v>204</v>
      </c>
      <c r="B113" s="19" t="s">
        <v>293</v>
      </c>
      <c r="C113" s="11">
        <f t="shared" si="18"/>
        <v>9.7865999999999995E-2</v>
      </c>
      <c r="D113">
        <v>9.2200000000000004E-2</v>
      </c>
      <c r="E113">
        <f>0.00552</f>
        <v>5.5199999999999997E-3</v>
      </c>
      <c r="F113">
        <v>1.46E-4</v>
      </c>
      <c r="I113" s="5">
        <v>2.0400000000000001E-2</v>
      </c>
      <c r="J113" s="5">
        <v>5.2499999999999997E-4</v>
      </c>
      <c r="K113" s="5">
        <v>8.8000000000000004E-7</v>
      </c>
    </row>
    <row r="114" spans="1:16" x14ac:dyDescent="0.2">
      <c r="A114" t="s">
        <v>205</v>
      </c>
    </row>
    <row r="115" spans="1:16" x14ac:dyDescent="0.2">
      <c r="A115" t="s">
        <v>274</v>
      </c>
      <c r="B115" s="19" t="s">
        <v>290</v>
      </c>
      <c r="C115" s="11">
        <f t="shared" ref="C115:C118" si="19">SUM(D115:F115)</f>
        <v>0.22493023255813957</v>
      </c>
      <c r="D115" s="11">
        <f>0.155/0.86</f>
        <v>0.1802325581395349</v>
      </c>
      <c r="E115" s="11">
        <f>0.0371/0.86</f>
        <v>4.313953488372093E-2</v>
      </c>
      <c r="F115" s="11">
        <f>0.00134/0.86</f>
        <v>1.5581395348837209E-3</v>
      </c>
    </row>
    <row r="116" spans="1:16" x14ac:dyDescent="0.2">
      <c r="A116" t="s">
        <v>275</v>
      </c>
      <c r="B116" s="19" t="s">
        <v>279</v>
      </c>
      <c r="C116" s="11">
        <f t="shared" si="19"/>
        <v>0.21503</v>
      </c>
      <c r="D116" s="11">
        <v>0.14499999999999999</v>
      </c>
      <c r="E116" s="11">
        <v>6.7000000000000004E-2</v>
      </c>
      <c r="F116" s="11">
        <v>3.0300000000000001E-3</v>
      </c>
    </row>
    <row r="117" spans="1:16" x14ac:dyDescent="0.2">
      <c r="A117" t="s">
        <v>277</v>
      </c>
      <c r="B117" s="19" t="s">
        <v>278</v>
      </c>
      <c r="C117" s="11">
        <f t="shared" si="19"/>
        <v>0.28814900000000004</v>
      </c>
      <c r="D117" s="11">
        <v>0.27100000000000002</v>
      </c>
      <c r="E117" s="11">
        <v>1.6899999999999998E-2</v>
      </c>
      <c r="F117" s="11">
        <v>2.4899999999999998E-4</v>
      </c>
    </row>
    <row r="118" spans="1:16" x14ac:dyDescent="0.2">
      <c r="A118" t="s">
        <v>271</v>
      </c>
      <c r="B118" s="19" t="s">
        <v>269</v>
      </c>
      <c r="C118" s="11">
        <f t="shared" si="19"/>
        <v>0.3232558139534884</v>
      </c>
      <c r="D118" s="5">
        <f>0.255*(1/0.86)</f>
        <v>0.29651162790697677</v>
      </c>
      <c r="E118" s="5">
        <f>0.022*(1/0.86)</f>
        <v>2.5581395348837209E-2</v>
      </c>
      <c r="F118" s="5">
        <f>0.001*(1/0.86)</f>
        <v>1.1627906976744186E-3</v>
      </c>
    </row>
    <row r="119" spans="1:16" x14ac:dyDescent="0.2">
      <c r="A119" t="s">
        <v>270</v>
      </c>
      <c r="C119" s="11">
        <f t="shared" ref="C119:C122" si="20">SUM(D119:F119)</f>
        <v>0.45913999999999999</v>
      </c>
      <c r="D119" s="5">
        <v>0.32600000000000001</v>
      </c>
      <c r="E119" s="5">
        <v>0.126</v>
      </c>
      <c r="F119" s="5">
        <v>7.1399999999999996E-3</v>
      </c>
    </row>
    <row r="120" spans="1:16" x14ac:dyDescent="0.2">
      <c r="A120" t="s">
        <v>273</v>
      </c>
      <c r="C120" s="11">
        <f t="shared" si="20"/>
        <v>0.3049</v>
      </c>
      <c r="D120" s="5">
        <v>0.28100000000000003</v>
      </c>
      <c r="E120" s="5">
        <v>2.29E-2</v>
      </c>
      <c r="F120" s="5">
        <v>1E-3</v>
      </c>
    </row>
    <row r="121" spans="1:16" x14ac:dyDescent="0.2">
      <c r="A121" t="s">
        <v>272</v>
      </c>
      <c r="C121" s="11">
        <f t="shared" si="20"/>
        <v>0.1482953488372093</v>
      </c>
      <c r="D121" s="5">
        <f>0.108/0.86</f>
        <v>0.12558139534883722</v>
      </c>
      <c r="E121" s="5">
        <f>0.0191/0.86</f>
        <v>2.2209302325581395E-2</v>
      </c>
      <c r="F121" s="5">
        <f>0.000434/0.86</f>
        <v>5.0465116279069765E-4</v>
      </c>
    </row>
    <row r="122" spans="1:16" x14ac:dyDescent="0.2">
      <c r="A122" t="s">
        <v>268</v>
      </c>
      <c r="C122" s="11">
        <f t="shared" si="20"/>
        <v>0.23130000000000001</v>
      </c>
      <c r="D122" s="5">
        <v>0.17399999999999999</v>
      </c>
      <c r="E122" s="5">
        <v>5.4300000000000001E-2</v>
      </c>
      <c r="F122" s="5">
        <v>3.0000000000000001E-3</v>
      </c>
    </row>
    <row r="123" spans="1:16" x14ac:dyDescent="0.2">
      <c r="A123" t="s">
        <v>267</v>
      </c>
      <c r="B123" s="19" t="s">
        <v>217</v>
      </c>
      <c r="C123" s="11">
        <f t="shared" ref="C123:C130" si="21">SUM(D123:F123)</f>
        <v>0.27500442999999997</v>
      </c>
      <c r="D123" s="5">
        <v>0.23499999999999999</v>
      </c>
      <c r="E123" s="5">
        <v>0.04</v>
      </c>
      <c r="F123" s="5">
        <v>4.4299999999999999E-6</v>
      </c>
    </row>
    <row r="124" spans="1:16" x14ac:dyDescent="0.2">
      <c r="A124" t="s">
        <v>216</v>
      </c>
      <c r="B124" s="19" t="s">
        <v>217</v>
      </c>
      <c r="C124" s="11">
        <f t="shared" si="21"/>
        <v>0.41980000000000001</v>
      </c>
      <c r="D124">
        <v>0.376</v>
      </c>
      <c r="E124">
        <v>1.7600000000000001E-2</v>
      </c>
      <c r="F124">
        <v>2.6200000000000001E-2</v>
      </c>
      <c r="H124">
        <f>SUM(I124:K124)</f>
        <v>2.9195000000000002E-2</v>
      </c>
      <c r="I124" s="5">
        <v>2.7699999999999999E-2</v>
      </c>
      <c r="J124">
        <v>8.6200000000000003E-4</v>
      </c>
      <c r="K124">
        <v>6.3299999999999999E-4</v>
      </c>
      <c r="P124" t="s">
        <v>215</v>
      </c>
    </row>
    <row r="125" spans="1:16" x14ac:dyDescent="0.2">
      <c r="A125" t="s">
        <v>226</v>
      </c>
      <c r="C125" s="11">
        <f t="shared" si="21"/>
        <v>0.31260399999999999</v>
      </c>
      <c r="D125" s="11">
        <v>0.29599999999999999</v>
      </c>
      <c r="E125">
        <v>1.6400000000000001E-2</v>
      </c>
      <c r="F125">
        <v>2.04E-4</v>
      </c>
      <c r="I125" s="5"/>
    </row>
    <row r="126" spans="1:16" x14ac:dyDescent="0.2">
      <c r="A126" t="s">
        <v>276</v>
      </c>
      <c r="B126" s="19" t="s">
        <v>217</v>
      </c>
      <c r="C126" s="11">
        <f t="shared" si="21"/>
        <v>0.48813953488372097</v>
      </c>
      <c r="D126">
        <f>0.376/0.86</f>
        <v>0.43720930232558142</v>
      </c>
      <c r="E126">
        <f>0.0176/0.86</f>
        <v>2.0465116279069769E-2</v>
      </c>
      <c r="F126">
        <f>0.0262/0.86</f>
        <v>3.0465116279069768E-2</v>
      </c>
      <c r="H126">
        <f>SUM(I126:K126)</f>
        <v>3.3947674418604648E-2</v>
      </c>
      <c r="I126">
        <f>0.0277*(1/(1-0.14))</f>
        <v>3.2209302325581397E-2</v>
      </c>
      <c r="J126">
        <f>0.000862*(1/(1-0.14))</f>
        <v>1.0023255813953488E-3</v>
      </c>
      <c r="K126">
        <f>0.000633*(1/(1-0.14))</f>
        <v>7.36046511627907E-4</v>
      </c>
    </row>
    <row r="127" spans="1:16" ht="16" x14ac:dyDescent="0.2">
      <c r="A127" s="1" t="s">
        <v>223</v>
      </c>
      <c r="B127" s="25">
        <f>2.34663595798982E-10*1000</f>
        <v>2.3466359579898201E-7</v>
      </c>
      <c r="C127" s="11">
        <f t="shared" si="21"/>
        <v>1.7069699999999999E-3</v>
      </c>
      <c r="D127">
        <v>1.67E-3</v>
      </c>
      <c r="E127">
        <v>3.5800000000000003E-5</v>
      </c>
      <c r="F127">
        <v>1.17E-6</v>
      </c>
      <c r="G127" s="11">
        <f>SUM(D127:F127)</f>
        <v>1.7069699999999999E-3</v>
      </c>
    </row>
    <row r="128" spans="1:16" x14ac:dyDescent="0.2">
      <c r="A128" t="s">
        <v>207</v>
      </c>
      <c r="B128" s="19" t="s">
        <v>292</v>
      </c>
      <c r="C128" s="11">
        <f t="shared" si="21"/>
        <v>9.7740000000000009</v>
      </c>
      <c r="D128">
        <v>8.34</v>
      </c>
      <c r="E128">
        <v>1.32</v>
      </c>
      <c r="F128">
        <v>0.114</v>
      </c>
      <c r="I128">
        <v>0.379</v>
      </c>
      <c r="J128">
        <v>1.5100000000000001E-2</v>
      </c>
      <c r="K128">
        <v>8.5699999999999996E-5</v>
      </c>
    </row>
    <row r="129" spans="1:16" x14ac:dyDescent="0.2">
      <c r="A129" t="s">
        <v>296</v>
      </c>
      <c r="B129" s="19" t="s">
        <v>295</v>
      </c>
      <c r="C129" s="11">
        <f t="shared" si="21"/>
        <v>9.3129999999999988</v>
      </c>
      <c r="D129">
        <v>7.82</v>
      </c>
      <c r="E129">
        <v>1.38</v>
      </c>
      <c r="F129">
        <v>0.113</v>
      </c>
    </row>
    <row r="130" spans="1:16" x14ac:dyDescent="0.2">
      <c r="A130" t="s">
        <v>219</v>
      </c>
      <c r="B130" s="19" t="s">
        <v>291</v>
      </c>
      <c r="C130" s="11">
        <f t="shared" si="21"/>
        <v>8.6382248520710067E-2</v>
      </c>
      <c r="D130">
        <f>(0.0706+0.002)*(1/(1-0.155))</f>
        <v>8.5917159763313614E-2</v>
      </c>
      <c r="E130">
        <f>0.000393*(1/(1-0.155))</f>
        <v>4.6508875739644976E-4</v>
      </c>
      <c r="F130">
        <f>F132*(1/(1-0.155))</f>
        <v>0</v>
      </c>
      <c r="I130">
        <f>(0.00593+0.00104)*(1/(1-0.155))</f>
        <v>8.2485207100591717E-3</v>
      </c>
    </row>
    <row r="131" spans="1:16" hidden="1" x14ac:dyDescent="0.2">
      <c r="A131" t="s">
        <v>209</v>
      </c>
      <c r="B131" s="19" t="s">
        <v>218</v>
      </c>
      <c r="D131">
        <v>7.2599999999999998E-2</v>
      </c>
      <c r="E131">
        <v>3.9300000000000001E-4</v>
      </c>
      <c r="F131">
        <v>0</v>
      </c>
      <c r="I131">
        <f>0.00593+0.00104</f>
        <v>6.9700000000000005E-3</v>
      </c>
      <c r="O131" t="s">
        <v>212</v>
      </c>
      <c r="P131" t="s">
        <v>213</v>
      </c>
    </row>
    <row r="132" spans="1:16" hidden="1" x14ac:dyDescent="0.2">
      <c r="A132" t="s">
        <v>210</v>
      </c>
      <c r="B132" s="19" t="s">
        <v>218</v>
      </c>
      <c r="D132">
        <v>6.5299999999999997E-2</v>
      </c>
      <c r="E132">
        <v>3.88E-4</v>
      </c>
      <c r="F132">
        <v>0</v>
      </c>
      <c r="I132">
        <f>0.00566+0.00102</f>
        <v>6.6800000000000002E-3</v>
      </c>
      <c r="O132" t="s">
        <v>212</v>
      </c>
      <c r="P132" t="s">
        <v>214</v>
      </c>
    </row>
    <row r="133" spans="1:16" hidden="1" x14ac:dyDescent="0.2">
      <c r="A133" t="s">
        <v>211</v>
      </c>
      <c r="B133" s="19" t="s">
        <v>218</v>
      </c>
      <c r="D133">
        <v>6.9199999999999999E-3</v>
      </c>
      <c r="E133">
        <v>1.2300000000000001E-5</v>
      </c>
      <c r="F133">
        <v>0</v>
      </c>
      <c r="I133">
        <f>0.00166+0.000698</f>
        <v>2.3579999999999999E-3</v>
      </c>
      <c r="O133" t="s">
        <v>212</v>
      </c>
      <c r="P133" t="s">
        <v>213</v>
      </c>
    </row>
    <row r="134" spans="1:16" hidden="1" x14ac:dyDescent="0.2">
      <c r="A134" t="s">
        <v>246</v>
      </c>
      <c r="B134" s="19" t="s">
        <v>245</v>
      </c>
      <c r="D134">
        <v>3.9300000000000002E-2</v>
      </c>
      <c r="E134">
        <v>1.57E-3</v>
      </c>
      <c r="F134">
        <v>7.8700000000000005E-4</v>
      </c>
      <c r="I134">
        <v>2.5200000000000001E-3</v>
      </c>
      <c r="J134">
        <v>2.7799999999999998E-4</v>
      </c>
      <c r="K134">
        <v>2.0500000000000002E-8</v>
      </c>
      <c r="P134" t="s">
        <v>247</v>
      </c>
    </row>
    <row r="135" spans="1:16" hidden="1" x14ac:dyDescent="0.2">
      <c r="A135" t="s">
        <v>244</v>
      </c>
      <c r="B135" s="19" t="s">
        <v>245</v>
      </c>
      <c r="D135">
        <v>0.502</v>
      </c>
      <c r="E135">
        <v>1.7799999999999999E-3</v>
      </c>
      <c r="F135">
        <v>5.9700000000000001E-5</v>
      </c>
      <c r="I135">
        <v>2.3500000000000001E-3</v>
      </c>
      <c r="J135">
        <v>4.1900000000000002E-5</v>
      </c>
      <c r="K135">
        <v>7.9899999999999999E-7</v>
      </c>
      <c r="P135" t="s">
        <v>248</v>
      </c>
    </row>
    <row r="136" spans="1:16" hidden="1" x14ac:dyDescent="0.2">
      <c r="A136" t="s">
        <v>249</v>
      </c>
      <c r="B136" s="19" t="s">
        <v>251</v>
      </c>
      <c r="D136">
        <v>2.2499999999999999E-2</v>
      </c>
      <c r="E136">
        <v>8.3599999999999994E-3</v>
      </c>
      <c r="F136">
        <v>0.13400000000000001</v>
      </c>
      <c r="I136">
        <v>1.65E-3</v>
      </c>
      <c r="J136">
        <v>8.6300000000000005E-3</v>
      </c>
      <c r="K136">
        <v>3.5200000000000001E-3</v>
      </c>
    </row>
    <row r="137" spans="1:16" hidden="1" x14ac:dyDescent="0.2">
      <c r="A137" t="s">
        <v>250</v>
      </c>
      <c r="B137" s="19" t="s">
        <v>251</v>
      </c>
      <c r="D137">
        <v>3.4299999999999997E-2</v>
      </c>
      <c r="E137">
        <v>6.0200000000000002E-3</v>
      </c>
      <c r="F137">
        <v>5.0999999999999997E-2</v>
      </c>
      <c r="I137">
        <v>2.3999999999999998E-3</v>
      </c>
      <c r="J137">
        <v>5.6299999999999996E-3</v>
      </c>
      <c r="K137">
        <v>6.19E-5</v>
      </c>
    </row>
    <row r="138" spans="1:16" hidden="1" x14ac:dyDescent="0.2">
      <c r="A138" t="s">
        <v>252</v>
      </c>
      <c r="B138" s="19" t="s">
        <v>253</v>
      </c>
      <c r="D138">
        <v>4.65E-2</v>
      </c>
      <c r="E138">
        <v>1.81E-3</v>
      </c>
      <c r="F138">
        <v>8.0900000000000004E-4</v>
      </c>
      <c r="I138">
        <v>2.4299999999999999E-3</v>
      </c>
      <c r="J138">
        <v>2.7799999999999998E-4</v>
      </c>
      <c r="K138">
        <v>2.16E-5</v>
      </c>
      <c r="P138" t="s">
        <v>254</v>
      </c>
    </row>
    <row r="139" spans="1:16" hidden="1" x14ac:dyDescent="0.2">
      <c r="A139" t="s">
        <v>208</v>
      </c>
    </row>
    <row r="140" spans="1:16" x14ac:dyDescent="0.2">
      <c r="A140" t="s">
        <v>266</v>
      </c>
      <c r="B140" s="19" t="s">
        <v>294</v>
      </c>
      <c r="C140">
        <f>SUM(D140:F140)*100</f>
        <v>0.11931120000000001</v>
      </c>
      <c r="D140">
        <v>1.1900000000000001E-3</v>
      </c>
      <c r="E140">
        <v>2.9900000000000002E-6</v>
      </c>
      <c r="F140">
        <v>1.2200000000000001E-7</v>
      </c>
    </row>
    <row r="141" spans="1:16" hidden="1" x14ac:dyDescent="0.2">
      <c r="A141" t="s">
        <v>221</v>
      </c>
      <c r="B141" s="19" t="s">
        <v>55</v>
      </c>
      <c r="C141" s="11">
        <f t="shared" ref="C141:C154" si="22">SUM(D141:F141)</f>
        <v>3.4426999999999998E-4</v>
      </c>
      <c r="D141">
        <v>3.1100000000000002E-4</v>
      </c>
      <c r="E141">
        <v>3.2199999999999997E-5</v>
      </c>
      <c r="F141">
        <v>1.0699999999999999E-6</v>
      </c>
      <c r="I141">
        <v>1.5400000000000002E-5</v>
      </c>
      <c r="J141">
        <v>2.2000000000000001E-7</v>
      </c>
    </row>
    <row r="142" spans="1:16" hidden="1" x14ac:dyDescent="0.2">
      <c r="A142" t="s">
        <v>220</v>
      </c>
      <c r="B142" s="19" t="s">
        <v>58</v>
      </c>
      <c r="C142" s="11">
        <f t="shared" si="22"/>
        <v>1.6498660000000002E-2</v>
      </c>
      <c r="D142">
        <v>5.0899999999999999E-3</v>
      </c>
      <c r="E142">
        <v>1.14E-2</v>
      </c>
      <c r="F142">
        <v>8.6600000000000001E-6</v>
      </c>
      <c r="I142">
        <v>4.37E-4</v>
      </c>
      <c r="J142">
        <v>8.6600000000000002E-4</v>
      </c>
    </row>
    <row r="143" spans="1:16" hidden="1" x14ac:dyDescent="0.2">
      <c r="A143" t="s">
        <v>222</v>
      </c>
      <c r="B143" s="19" t="s">
        <v>153</v>
      </c>
      <c r="C143" s="11">
        <f t="shared" si="22"/>
        <v>2.8786490000000001E-3</v>
      </c>
      <c r="D143">
        <v>2.8500000000000001E-3</v>
      </c>
      <c r="E143">
        <v>2.8500000000000002E-5</v>
      </c>
      <c r="F143">
        <v>1.49E-7</v>
      </c>
      <c r="I143">
        <v>1.7399999999999999E-5</v>
      </c>
      <c r="J143">
        <v>2.2700000000000001E-8</v>
      </c>
    </row>
    <row r="144" spans="1:16" hidden="1" x14ac:dyDescent="0.2">
      <c r="A144" t="s">
        <v>206</v>
      </c>
      <c r="B144" s="19" t="s">
        <v>225</v>
      </c>
      <c r="C144" s="11">
        <f t="shared" si="22"/>
        <v>4.4524059999999999E-3</v>
      </c>
      <c r="D144">
        <v>4.2399999999999998E-3</v>
      </c>
      <c r="E144">
        <v>2.12E-4</v>
      </c>
      <c r="F144">
        <v>4.0600000000000001E-7</v>
      </c>
      <c r="I144">
        <v>2.5700000000000001E-5</v>
      </c>
      <c r="J144">
        <v>1.45E-5</v>
      </c>
    </row>
    <row r="145" spans="1:16" x14ac:dyDescent="0.2">
      <c r="A145" t="s">
        <v>228</v>
      </c>
      <c r="B145" s="19" t="s">
        <v>235</v>
      </c>
      <c r="C145" s="11">
        <f t="shared" si="22"/>
        <v>4.1177499999999999E-3</v>
      </c>
      <c r="D145">
        <v>4.0200000000000001E-3</v>
      </c>
      <c r="E145">
        <v>9.5500000000000004E-5</v>
      </c>
      <c r="F145">
        <v>2.2500000000000001E-6</v>
      </c>
      <c r="G145" s="11">
        <f>SUM(D145:F145)</f>
        <v>4.1177499999999999E-3</v>
      </c>
      <c r="I145">
        <v>2.3900000000000001E-4</v>
      </c>
      <c r="J145">
        <v>3.1599999999999998E-6</v>
      </c>
      <c r="K145" s="8">
        <v>1.88E-8</v>
      </c>
      <c r="O145" t="s">
        <v>234</v>
      </c>
      <c r="P145" s="19">
        <f>1/(10000*25)</f>
        <v>3.9999999999999998E-6</v>
      </c>
    </row>
    <row r="146" spans="1:16" x14ac:dyDescent="0.2">
      <c r="A146" t="s">
        <v>229</v>
      </c>
      <c r="B146" s="25" t="s">
        <v>240</v>
      </c>
      <c r="C146" s="11">
        <f t="shared" si="22"/>
        <v>2.5483950000000002E-2</v>
      </c>
      <c r="D146">
        <f>(1.8/4)*0.0512</f>
        <v>2.3040000000000001E-2</v>
      </c>
      <c r="E146">
        <f>(1.8/4)*0.00531</f>
        <v>2.3894999999999997E-3</v>
      </c>
      <c r="F146">
        <f>(1.8/4)*0.000121</f>
        <v>5.4450000000000002E-5</v>
      </c>
      <c r="G146" s="11">
        <f>SUM(D146:F146)</f>
        <v>2.5483950000000002E-2</v>
      </c>
      <c r="I146">
        <f>(1.8/4)*0.00379</f>
        <v>1.7055E-3</v>
      </c>
      <c r="J146">
        <f>(1.8/4)*0.000214</f>
        <v>9.6299999999999996E-5</v>
      </c>
      <c r="K146">
        <f>(1.8/4)*0.000000991</f>
        <v>4.4594999999999999E-7</v>
      </c>
    </row>
    <row r="147" spans="1:16" x14ac:dyDescent="0.2">
      <c r="A147" t="s">
        <v>230</v>
      </c>
      <c r="B147" s="19" t="s">
        <v>233</v>
      </c>
      <c r="C147" s="11">
        <f t="shared" si="22"/>
        <v>5.6631000000000008E-2</v>
      </c>
      <c r="D147">
        <v>5.1200000000000002E-2</v>
      </c>
      <c r="E147">
        <v>5.3099999999999996E-3</v>
      </c>
      <c r="F147">
        <v>1.21E-4</v>
      </c>
      <c r="G147" s="11">
        <f>SUM(D147:F147)</f>
        <v>5.6631000000000008E-2</v>
      </c>
      <c r="I147">
        <v>3.79E-3</v>
      </c>
      <c r="J147">
        <v>2.14E-4</v>
      </c>
      <c r="K147">
        <v>9.9099999999999991E-7</v>
      </c>
    </row>
    <row r="148" spans="1:16" x14ac:dyDescent="0.2">
      <c r="A148" t="s">
        <v>231</v>
      </c>
      <c r="B148" s="19" t="s">
        <v>233</v>
      </c>
      <c r="C148" s="11">
        <f t="shared" si="22"/>
        <v>5.6631000000000008E-2</v>
      </c>
      <c r="D148">
        <v>5.1200000000000002E-2</v>
      </c>
      <c r="E148">
        <v>5.3099999999999996E-3</v>
      </c>
      <c r="F148">
        <v>1.21E-4</v>
      </c>
      <c r="G148" s="11">
        <f>SUM(D148:F148)</f>
        <v>5.6631000000000008E-2</v>
      </c>
      <c r="I148">
        <v>3.79E-3</v>
      </c>
      <c r="J148">
        <v>2.14E-4</v>
      </c>
      <c r="K148">
        <v>9.9099999999999991E-7</v>
      </c>
      <c r="O148" t="s">
        <v>256</v>
      </c>
      <c r="P148" s="19">
        <f>0.00000087/2.17</f>
        <v>4.0092165898617515E-7</v>
      </c>
    </row>
    <row r="149" spans="1:16" x14ac:dyDescent="0.2">
      <c r="A149" t="s">
        <v>232</v>
      </c>
      <c r="B149" s="19" t="s">
        <v>233</v>
      </c>
      <c r="C149" s="11">
        <f t="shared" si="22"/>
        <v>5.6631000000000008E-2</v>
      </c>
      <c r="D149">
        <v>5.1200000000000002E-2</v>
      </c>
      <c r="E149">
        <v>5.3099999999999996E-3</v>
      </c>
      <c r="F149">
        <v>1.21E-4</v>
      </c>
      <c r="G149" s="11">
        <f>SUM(D149:F149)</f>
        <v>5.6631000000000008E-2</v>
      </c>
      <c r="I149">
        <v>3.79E-3</v>
      </c>
      <c r="J149">
        <v>2.14E-4</v>
      </c>
      <c r="K149">
        <v>9.9099999999999991E-7</v>
      </c>
      <c r="O149" t="s">
        <v>256</v>
      </c>
      <c r="P149" s="19">
        <f>0.00000087/2.17</f>
        <v>4.0092165898617515E-7</v>
      </c>
    </row>
    <row r="150" spans="1:16" x14ac:dyDescent="0.2">
      <c r="A150" t="s">
        <v>236</v>
      </c>
      <c r="B150" s="19" t="s">
        <v>255</v>
      </c>
      <c r="C150" s="11">
        <f t="shared" si="22"/>
        <v>1.4206635944700461</v>
      </c>
      <c r="D150">
        <f>3.04/2.17</f>
        <v>1.4009216589861753</v>
      </c>
      <c r="E150">
        <f>0.0418/2.17</f>
        <v>1.9262672811059908E-2</v>
      </c>
      <c r="F150">
        <f>0.00104/2.17</f>
        <v>4.792626728110599E-4</v>
      </c>
      <c r="I150">
        <f>0.176/2.17</f>
        <v>8.1105990783410131E-2</v>
      </c>
      <c r="J150">
        <f>0.00155/2.17</f>
        <v>7.1428571428571429E-4</v>
      </c>
      <c r="K150">
        <f>0.00000659/2.17</f>
        <v>3.0368663594470044E-6</v>
      </c>
      <c r="O150" t="s">
        <v>256</v>
      </c>
      <c r="P150" s="19">
        <f>0.00000087/2.17</f>
        <v>4.0092165898617515E-7</v>
      </c>
    </row>
    <row r="151" spans="1:16" x14ac:dyDescent="0.2">
      <c r="A151" t="s">
        <v>237</v>
      </c>
      <c r="B151" s="19" t="s">
        <v>242</v>
      </c>
      <c r="C151" s="11">
        <f t="shared" si="22"/>
        <v>0.24690000000000001</v>
      </c>
      <c r="D151">
        <v>0.13100000000000001</v>
      </c>
      <c r="E151">
        <v>8.5099999999999995E-2</v>
      </c>
      <c r="F151">
        <v>3.0800000000000001E-2</v>
      </c>
      <c r="I151">
        <v>1.0200000000000001E-2</v>
      </c>
      <c r="J151">
        <v>1.6999999999999999E-3</v>
      </c>
      <c r="K151">
        <v>6.3500000000000004E-4</v>
      </c>
      <c r="P151" t="s">
        <v>243</v>
      </c>
    </row>
    <row r="152" spans="1:16" x14ac:dyDescent="0.2">
      <c r="A152" t="s">
        <v>257</v>
      </c>
      <c r="C152" s="11">
        <f t="shared" si="22"/>
        <v>6.9379999999999997</v>
      </c>
      <c r="D152">
        <v>0.378</v>
      </c>
      <c r="E152">
        <v>4.6399999999999997</v>
      </c>
      <c r="F152">
        <v>1.92</v>
      </c>
      <c r="I152">
        <v>2.5100000000000001E-2</v>
      </c>
      <c r="J152">
        <v>0.125</v>
      </c>
      <c r="K152">
        <v>5.04E-2</v>
      </c>
      <c r="O152" t="s">
        <v>259</v>
      </c>
    </row>
    <row r="153" spans="1:16" x14ac:dyDescent="0.2">
      <c r="A153" t="s">
        <v>238</v>
      </c>
      <c r="C153" s="11">
        <f t="shared" si="22"/>
        <v>2.3413999999999997</v>
      </c>
      <c r="D153">
        <v>1.0900000000000001</v>
      </c>
      <c r="E153">
        <v>1.21</v>
      </c>
      <c r="F153">
        <v>4.1399999999999999E-2</v>
      </c>
      <c r="I153">
        <v>7.8700000000000006E-2</v>
      </c>
      <c r="J153">
        <v>2.1099999999999999E-3</v>
      </c>
      <c r="K153">
        <v>9.9799999999999997E-4</v>
      </c>
      <c r="O153" t="s">
        <v>260</v>
      </c>
    </row>
    <row r="154" spans="1:16" x14ac:dyDescent="0.2">
      <c r="A154" t="s">
        <v>258</v>
      </c>
      <c r="C154" s="11">
        <f t="shared" si="22"/>
        <v>5.51532</v>
      </c>
      <c r="D154">
        <v>0.35399999999999998</v>
      </c>
      <c r="E154">
        <v>5.16</v>
      </c>
      <c r="F154">
        <v>1.32E-3</v>
      </c>
      <c r="I154">
        <v>1.84E-2</v>
      </c>
      <c r="J154">
        <v>8.7699999999999996E-4</v>
      </c>
      <c r="K154">
        <v>2.4899999999999999E-5</v>
      </c>
      <c r="O154" t="s">
        <v>261</v>
      </c>
    </row>
    <row r="155" spans="1:16" x14ac:dyDescent="0.2">
      <c r="A155" t="s">
        <v>239</v>
      </c>
    </row>
    <row r="156" spans="1:16" x14ac:dyDescent="0.2">
      <c r="A156" t="s">
        <v>241</v>
      </c>
      <c r="C156" s="11">
        <f t="shared" ref="C156:C158" si="23">SUM(D156:F156)</f>
        <v>1.252326E-3</v>
      </c>
      <c r="D156">
        <v>1.25E-3</v>
      </c>
      <c r="E156">
        <v>2.1900000000000002E-6</v>
      </c>
      <c r="F156">
        <v>1.36E-7</v>
      </c>
      <c r="I156">
        <v>2.0699999999999998E-5</v>
      </c>
      <c r="J156" s="8">
        <v>5.0099999999999999E-12</v>
      </c>
      <c r="K156" s="8">
        <v>1.1599999999999999E-9</v>
      </c>
    </row>
    <row r="157" spans="1:16" x14ac:dyDescent="0.2">
      <c r="A157" t="s">
        <v>262</v>
      </c>
      <c r="C157" s="11">
        <f t="shared" si="23"/>
        <v>4.0296000000000003</v>
      </c>
      <c r="D157">
        <v>0.52500000000000002</v>
      </c>
      <c r="E157">
        <v>3.46</v>
      </c>
      <c r="F157">
        <v>4.4600000000000001E-2</v>
      </c>
      <c r="I157">
        <v>3.78E-2</v>
      </c>
      <c r="J157">
        <v>1.17</v>
      </c>
      <c r="K157">
        <v>8.2700000000000004E-4</v>
      </c>
      <c r="O157" t="s">
        <v>264</v>
      </c>
      <c r="P157" t="s">
        <v>263</v>
      </c>
    </row>
    <row r="158" spans="1:16" x14ac:dyDescent="0.2">
      <c r="A158" t="s">
        <v>265</v>
      </c>
      <c r="C158" s="11">
        <f t="shared" si="23"/>
        <v>0.105765</v>
      </c>
      <c r="D158">
        <v>0.10299999999999999</v>
      </c>
      <c r="E158">
        <v>2.7100000000000002E-3</v>
      </c>
      <c r="F158">
        <v>5.5000000000000002E-5</v>
      </c>
      <c r="I158">
        <v>3.2000000000000002E-3</v>
      </c>
      <c r="J158">
        <v>2.5300000000000002E-4</v>
      </c>
      <c r="K158">
        <v>3.46E-7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opLeftCell="A49" zoomScale="167" zoomScaleNormal="167" workbookViewId="0">
      <selection activeCell="E66" sqref="E66"/>
    </sheetView>
  </sheetViews>
  <sheetFormatPr baseColWidth="10" defaultColWidth="11.5" defaultRowHeight="15" x14ac:dyDescent="0.2"/>
  <cols>
    <col min="1" max="1" width="26.1640625" customWidth="1"/>
    <col min="2" max="2" width="12.6640625" hidden="1" customWidth="1"/>
    <col min="3" max="4" width="12.6640625" customWidth="1"/>
    <col min="5" max="5" width="11.83203125" style="5" bestFit="1" customWidth="1"/>
  </cols>
  <sheetData>
    <row r="1" spans="1:6" ht="32" x14ac:dyDescent="0.2">
      <c r="A1" s="1" t="s">
        <v>11</v>
      </c>
      <c r="B1" s="1" t="s">
        <v>132</v>
      </c>
      <c r="C1" s="1" t="s">
        <v>16</v>
      </c>
      <c r="D1" s="1" t="s">
        <v>92</v>
      </c>
      <c r="E1" s="3" t="s">
        <v>12</v>
      </c>
      <c r="F1" s="3" t="s">
        <v>29</v>
      </c>
    </row>
    <row r="2" spans="1:6" ht="16" x14ac:dyDescent="0.2">
      <c r="A2" s="2" t="s">
        <v>0</v>
      </c>
      <c r="B2" s="2"/>
      <c r="C2" s="2"/>
      <c r="D2" s="2"/>
      <c r="E2" s="4"/>
    </row>
    <row r="3" spans="1:6" ht="16" x14ac:dyDescent="0.2">
      <c r="A3" s="2" t="s">
        <v>1</v>
      </c>
      <c r="B3" s="2" t="s">
        <v>13</v>
      </c>
      <c r="C3" s="2"/>
      <c r="D3" s="2"/>
      <c r="E3" s="4"/>
    </row>
    <row r="4" spans="1:6" x14ac:dyDescent="0.2">
      <c r="A4" t="s">
        <v>2</v>
      </c>
      <c r="B4">
        <v>4.54</v>
      </c>
      <c r="C4">
        <v>4.54</v>
      </c>
      <c r="E4" s="5" t="s">
        <v>28</v>
      </c>
      <c r="F4" t="s">
        <v>68</v>
      </c>
    </row>
    <row r="5" spans="1:6" x14ac:dyDescent="0.2">
      <c r="A5" t="s">
        <v>3</v>
      </c>
      <c r="B5">
        <v>2.06E-2</v>
      </c>
      <c r="E5" s="5" t="s">
        <v>23</v>
      </c>
      <c r="F5" t="s">
        <v>30</v>
      </c>
    </row>
    <row r="6" spans="1:6" x14ac:dyDescent="0.2">
      <c r="A6" t="s">
        <v>4</v>
      </c>
      <c r="B6">
        <v>2.06E-2</v>
      </c>
      <c r="E6" s="5" t="s">
        <v>23</v>
      </c>
      <c r="F6" t="s">
        <v>30</v>
      </c>
    </row>
    <row r="7" spans="1:6" x14ac:dyDescent="0.2">
      <c r="A7" t="s">
        <v>5</v>
      </c>
      <c r="B7">
        <v>0</v>
      </c>
      <c r="E7" s="5" t="s">
        <v>28</v>
      </c>
    </row>
    <row r="8" spans="1:6" x14ac:dyDescent="0.2">
      <c r="A8" t="s">
        <v>9</v>
      </c>
      <c r="B8">
        <v>0</v>
      </c>
      <c r="C8">
        <v>1.81</v>
      </c>
    </row>
    <row r="9" spans="1:6" x14ac:dyDescent="0.2">
      <c r="A9" t="s">
        <v>10</v>
      </c>
      <c r="B9">
        <v>0</v>
      </c>
      <c r="C9">
        <v>1.81</v>
      </c>
    </row>
    <row r="10" spans="1:6" x14ac:dyDescent="0.2">
      <c r="A10" t="s">
        <v>14</v>
      </c>
      <c r="B10">
        <v>8.8700000000000001E-5</v>
      </c>
      <c r="E10" s="5" t="s">
        <v>34</v>
      </c>
      <c r="F10" t="s">
        <v>33</v>
      </c>
    </row>
    <row r="11" spans="1:6" x14ac:dyDescent="0.2">
      <c r="A11" t="s">
        <v>35</v>
      </c>
      <c r="B11" s="8">
        <v>5.63E-5</v>
      </c>
      <c r="C11" s="8"/>
      <c r="D11" s="8"/>
      <c r="E11" s="5" t="s">
        <v>34</v>
      </c>
      <c r="F11" t="s">
        <v>36</v>
      </c>
    </row>
    <row r="12" spans="1:6" x14ac:dyDescent="0.2">
      <c r="A12" t="s">
        <v>17</v>
      </c>
      <c r="B12">
        <f>(0.000112+0.00107)/2</f>
        <v>5.9099999999999995E-4</v>
      </c>
      <c r="E12" s="5" t="s">
        <v>28</v>
      </c>
      <c r="F12" t="s">
        <v>32</v>
      </c>
    </row>
    <row r="13" spans="1:6" x14ac:dyDescent="0.2">
      <c r="A13" t="s">
        <v>8</v>
      </c>
      <c r="B13">
        <f t="shared" ref="B13" si="0">SUM(E13:F13)</f>
        <v>0</v>
      </c>
    </row>
    <row r="14" spans="1:6" x14ac:dyDescent="0.2">
      <c r="A14" t="s">
        <v>7</v>
      </c>
      <c r="B14">
        <v>0</v>
      </c>
      <c r="E14" s="5" t="s">
        <v>25</v>
      </c>
    </row>
    <row r="15" spans="1:6" x14ac:dyDescent="0.2">
      <c r="A15" t="s">
        <v>6</v>
      </c>
      <c r="B15">
        <v>0</v>
      </c>
      <c r="E15" s="5" t="s">
        <v>25</v>
      </c>
    </row>
    <row r="16" spans="1:6" x14ac:dyDescent="0.2">
      <c r="A16" t="s">
        <v>26</v>
      </c>
      <c r="B16">
        <v>3.54</v>
      </c>
      <c r="E16" s="5" t="s">
        <v>56</v>
      </c>
    </row>
    <row r="17" spans="1:6" x14ac:dyDescent="0.2">
      <c r="A17" t="s">
        <v>40</v>
      </c>
      <c r="B17">
        <v>2.63E-2</v>
      </c>
      <c r="E17" s="5" t="s">
        <v>28</v>
      </c>
      <c r="F17" t="s">
        <v>41</v>
      </c>
    </row>
    <row r="18" spans="1:6" x14ac:dyDescent="0.2">
      <c r="A18" t="s">
        <v>27</v>
      </c>
      <c r="B18">
        <v>1.64</v>
      </c>
      <c r="C18">
        <v>1.64</v>
      </c>
      <c r="E18" s="5" t="s">
        <v>28</v>
      </c>
    </row>
    <row r="19" spans="1:6" x14ac:dyDescent="0.2">
      <c r="A19" t="s">
        <v>31</v>
      </c>
      <c r="B19">
        <v>2.4299999999999999E-2</v>
      </c>
      <c r="E19" s="5" t="s">
        <v>28</v>
      </c>
    </row>
    <row r="20" spans="1:6" x14ac:dyDescent="0.2">
      <c r="A20" t="s">
        <v>37</v>
      </c>
      <c r="B20">
        <v>8.0700000000000008E-3</v>
      </c>
      <c r="F20" t="s">
        <v>38</v>
      </c>
    </row>
    <row r="21" spans="1:6" x14ac:dyDescent="0.2">
      <c r="A21" t="s">
        <v>39</v>
      </c>
      <c r="B21">
        <v>2.66E-3</v>
      </c>
    </row>
    <row r="22" spans="1:6" x14ac:dyDescent="0.2">
      <c r="A22" t="s">
        <v>63</v>
      </c>
      <c r="B22" s="8">
        <v>7.5499999999999994E-8</v>
      </c>
      <c r="C22" s="8"/>
      <c r="D22" s="8"/>
      <c r="E22" s="5" t="s">
        <v>28</v>
      </c>
    </row>
    <row r="23" spans="1:6" x14ac:dyDescent="0.2">
      <c r="A23" t="s">
        <v>42</v>
      </c>
      <c r="B23">
        <v>4.0399999999999998E-2</v>
      </c>
      <c r="E23" s="5" t="s">
        <v>28</v>
      </c>
    </row>
    <row r="24" spans="1:6" x14ac:dyDescent="0.2">
      <c r="A24" t="s">
        <v>24</v>
      </c>
      <c r="B24">
        <v>3.8699999999999998E-2</v>
      </c>
      <c r="E24" s="5" t="s">
        <v>28</v>
      </c>
    </row>
    <row r="25" spans="1:6" x14ac:dyDescent="0.2">
      <c r="A25" t="s">
        <v>43</v>
      </c>
      <c r="B25">
        <v>2.1499999999999998E-2</v>
      </c>
      <c r="E25" s="5" t="s">
        <v>28</v>
      </c>
    </row>
    <row r="26" spans="1:6" x14ac:dyDescent="0.2">
      <c r="A26" t="s">
        <v>44</v>
      </c>
      <c r="B26">
        <v>1.03</v>
      </c>
      <c r="C26">
        <v>1.03</v>
      </c>
    </row>
    <row r="27" spans="1:6" x14ac:dyDescent="0.2">
      <c r="A27" t="s">
        <v>45</v>
      </c>
      <c r="B27">
        <v>1.5299999999999999E-2</v>
      </c>
    </row>
    <row r="28" spans="1:6" x14ac:dyDescent="0.2">
      <c r="A28" t="s">
        <v>46</v>
      </c>
      <c r="B28">
        <v>1.03E-2</v>
      </c>
    </row>
    <row r="29" spans="1:6" x14ac:dyDescent="0.2">
      <c r="A29" t="s">
        <v>47</v>
      </c>
      <c r="B29">
        <v>1.9699999999999999E-2</v>
      </c>
    </row>
    <row r="30" spans="1:6" x14ac:dyDescent="0.2">
      <c r="A30" t="s">
        <v>48</v>
      </c>
    </row>
    <row r="31" spans="1:6" x14ac:dyDescent="0.2">
      <c r="A31" t="s">
        <v>49</v>
      </c>
      <c r="B31">
        <v>1.7000000000000001E-2</v>
      </c>
    </row>
    <row r="32" spans="1:6" x14ac:dyDescent="0.2">
      <c r="A32" t="s">
        <v>50</v>
      </c>
      <c r="B32">
        <v>0.58499999999999996</v>
      </c>
      <c r="C32">
        <v>0.58499999999999996</v>
      </c>
    </row>
    <row r="33" spans="1:5" x14ac:dyDescent="0.2">
      <c r="A33" t="s">
        <v>51</v>
      </c>
      <c r="B33">
        <v>0.58599999999999997</v>
      </c>
      <c r="C33">
        <v>0.58599999999999997</v>
      </c>
    </row>
    <row r="34" spans="1:5" x14ac:dyDescent="0.2">
      <c r="A34" t="s">
        <v>120</v>
      </c>
      <c r="B34">
        <v>1.81</v>
      </c>
      <c r="C34">
        <v>1.81</v>
      </c>
    </row>
    <row r="35" spans="1:5" x14ac:dyDescent="0.2">
      <c r="A35" t="s">
        <v>52</v>
      </c>
      <c r="B35">
        <v>0.81399999999999995</v>
      </c>
      <c r="C35">
        <v>0.81399999999999995</v>
      </c>
    </row>
    <row r="36" spans="1:5" x14ac:dyDescent="0.2">
      <c r="A36" t="s">
        <v>59</v>
      </c>
      <c r="B36">
        <v>2.3300000000000001E-2</v>
      </c>
    </row>
    <row r="37" spans="1:5" x14ac:dyDescent="0.2">
      <c r="A37" t="s">
        <v>61</v>
      </c>
      <c r="B37">
        <v>7.2700000000000004E-3</v>
      </c>
      <c r="E37" s="5" t="s">
        <v>28</v>
      </c>
    </row>
    <row r="38" spans="1:5" x14ac:dyDescent="0.2">
      <c r="A38" t="s">
        <v>60</v>
      </c>
      <c r="B38">
        <v>4.57E-4</v>
      </c>
    </row>
    <row r="39" spans="1:5" x14ac:dyDescent="0.2">
      <c r="A39" t="s">
        <v>64</v>
      </c>
      <c r="B39">
        <f>B34</f>
        <v>1.81</v>
      </c>
      <c r="C39">
        <f>C34</f>
        <v>1.81</v>
      </c>
    </row>
    <row r="40" spans="1:5" x14ac:dyDescent="0.2">
      <c r="A40" t="s">
        <v>65</v>
      </c>
      <c r="B40">
        <v>1.81</v>
      </c>
      <c r="C40">
        <v>1.81</v>
      </c>
    </row>
    <row r="41" spans="1:5" x14ac:dyDescent="0.2">
      <c r="A41" t="s">
        <v>66</v>
      </c>
      <c r="B41">
        <v>1.81</v>
      </c>
      <c r="C41">
        <v>1.81</v>
      </c>
    </row>
    <row r="42" spans="1:5" x14ac:dyDescent="0.2">
      <c r="A42" t="s">
        <v>74</v>
      </c>
      <c r="B42">
        <f>B4</f>
        <v>4.54</v>
      </c>
      <c r="C42">
        <f>C4</f>
        <v>4.54</v>
      </c>
    </row>
    <row r="43" spans="1:5" x14ac:dyDescent="0.2">
      <c r="A43" t="s">
        <v>75</v>
      </c>
      <c r="B43">
        <f>B4</f>
        <v>4.54</v>
      </c>
      <c r="C43">
        <f>C4</f>
        <v>4.54</v>
      </c>
    </row>
    <row r="44" spans="1:5" x14ac:dyDescent="0.2">
      <c r="A44" t="s">
        <v>76</v>
      </c>
      <c r="B44">
        <v>0.01</v>
      </c>
    </row>
    <row r="45" spans="1:5" x14ac:dyDescent="0.2">
      <c r="A45" t="s">
        <v>77</v>
      </c>
      <c r="B45">
        <v>2.7799999999999999E-3</v>
      </c>
    </row>
    <row r="46" spans="1:5" x14ac:dyDescent="0.2">
      <c r="A46" t="s">
        <v>78</v>
      </c>
      <c r="B46">
        <v>4.8700000000000002E-3</v>
      </c>
    </row>
    <row r="47" spans="1:5" x14ac:dyDescent="0.2">
      <c r="A47" t="s">
        <v>81</v>
      </c>
      <c r="D47">
        <v>3.0299999999999999E-4</v>
      </c>
    </row>
    <row r="48" spans="1:5" x14ac:dyDescent="0.2">
      <c r="A48" t="s">
        <v>82</v>
      </c>
      <c r="D48">
        <v>1.2199999999999999E-3</v>
      </c>
    </row>
    <row r="49" spans="1:4" x14ac:dyDescent="0.2">
      <c r="A49" t="s">
        <v>101</v>
      </c>
      <c r="D49">
        <v>2.4199999999999999E-2</v>
      </c>
    </row>
    <row r="50" spans="1:4" x14ac:dyDescent="0.2">
      <c r="A50" t="s">
        <v>84</v>
      </c>
      <c r="D50" s="8">
        <v>1.0300000000000001E-6</v>
      </c>
    </row>
    <row r="51" spans="1:4" x14ac:dyDescent="0.2">
      <c r="A51" t="s">
        <v>85</v>
      </c>
      <c r="D51">
        <v>2.2499999999999999E-4</v>
      </c>
    </row>
    <row r="52" spans="1:4" x14ac:dyDescent="0.2">
      <c r="A52" t="s">
        <v>93</v>
      </c>
      <c r="D52" s="8">
        <v>3.2499999999999997E-5</v>
      </c>
    </row>
    <row r="53" spans="1:4" x14ac:dyDescent="0.2">
      <c r="A53" t="s">
        <v>86</v>
      </c>
      <c r="D53">
        <v>6.2E-4</v>
      </c>
    </row>
    <row r="54" spans="1:4" x14ac:dyDescent="0.2">
      <c r="A54" t="s">
        <v>87</v>
      </c>
      <c r="D54" s="8">
        <v>1.7699999999999999E-4</v>
      </c>
    </row>
    <row r="55" spans="1:4" x14ac:dyDescent="0.2">
      <c r="A55" t="s">
        <v>88</v>
      </c>
      <c r="D55" s="8">
        <v>4.88E-5</v>
      </c>
    </row>
    <row r="56" spans="1:4" x14ac:dyDescent="0.2">
      <c r="A56" t="s">
        <v>83</v>
      </c>
      <c r="D56" s="8">
        <v>5.71E-4</v>
      </c>
    </row>
    <row r="57" spans="1:4" x14ac:dyDescent="0.2">
      <c r="A57" t="s">
        <v>89</v>
      </c>
      <c r="D57" s="8">
        <v>1.7899999999999999E-2</v>
      </c>
    </row>
    <row r="58" spans="1:4" x14ac:dyDescent="0.2">
      <c r="A58" t="s">
        <v>94</v>
      </c>
      <c r="D58" s="8">
        <v>5.5799999999999999E-6</v>
      </c>
    </row>
    <row r="59" spans="1:4" x14ac:dyDescent="0.2">
      <c r="A59" t="s">
        <v>95</v>
      </c>
      <c r="D59" s="8">
        <v>9.7100000000000002E-5</v>
      </c>
    </row>
    <row r="60" spans="1:4" x14ac:dyDescent="0.2">
      <c r="A60" s="15" t="s">
        <v>97</v>
      </c>
      <c r="C60">
        <v>1.81</v>
      </c>
    </row>
    <row r="61" spans="1:4" x14ac:dyDescent="0.2">
      <c r="A61" t="s">
        <v>119</v>
      </c>
      <c r="B61">
        <v>2.5500000000000002E-3</v>
      </c>
    </row>
    <row r="62" spans="1:4" x14ac:dyDescent="0.2">
      <c r="A62" t="s">
        <v>100</v>
      </c>
      <c r="B62">
        <v>0.16</v>
      </c>
    </row>
    <row r="63" spans="1:4" x14ac:dyDescent="0.2">
      <c r="A63" t="s">
        <v>99</v>
      </c>
      <c r="B63">
        <v>2.3699999999999999E-2</v>
      </c>
    </row>
    <row r="64" spans="1:4" x14ac:dyDescent="0.2">
      <c r="A64" t="s">
        <v>144</v>
      </c>
      <c r="C64">
        <f>C60*0.5</f>
        <v>0.90500000000000003</v>
      </c>
    </row>
    <row r="65" spans="1:1" x14ac:dyDescent="0.2">
      <c r="A65" t="s">
        <v>162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zoomScale="161" zoomScaleNormal="161" workbookViewId="0">
      <selection activeCell="G15" sqref="G15"/>
    </sheetView>
  </sheetViews>
  <sheetFormatPr baseColWidth="10" defaultColWidth="8.83203125" defaultRowHeight="15" x14ac:dyDescent="0.2"/>
  <sheetData>
    <row r="1" spans="1:16" ht="48" x14ac:dyDescent="0.2">
      <c r="A1" s="1" t="s">
        <v>11</v>
      </c>
      <c r="B1" s="12" t="s">
        <v>22</v>
      </c>
      <c r="C1" s="3" t="s">
        <v>18</v>
      </c>
      <c r="D1" s="3" t="s">
        <v>19</v>
      </c>
      <c r="E1" s="3" t="s">
        <v>73</v>
      </c>
      <c r="F1" s="3" t="s">
        <v>90</v>
      </c>
      <c r="G1" s="14" t="s">
        <v>79</v>
      </c>
      <c r="H1" s="3" t="s">
        <v>20</v>
      </c>
      <c r="I1" s="3" t="s">
        <v>21</v>
      </c>
      <c r="J1" s="3" t="s">
        <v>72</v>
      </c>
      <c r="K1" s="3" t="s">
        <v>70</v>
      </c>
      <c r="L1" s="3" t="s">
        <v>91</v>
      </c>
      <c r="M1" s="3" t="s">
        <v>71</v>
      </c>
      <c r="N1" s="3" t="s">
        <v>12</v>
      </c>
      <c r="O1" s="3" t="s">
        <v>29</v>
      </c>
      <c r="P1" t="s">
        <v>102</v>
      </c>
    </row>
    <row r="2" spans="1:16" ht="16" x14ac:dyDescent="0.2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6" x14ac:dyDescent="0.2">
      <c r="A3" s="2" t="s">
        <v>1</v>
      </c>
      <c r="B3" s="4" t="s">
        <v>130</v>
      </c>
      <c r="C3" s="4" t="s">
        <v>130</v>
      </c>
      <c r="D3" s="4" t="s">
        <v>130</v>
      </c>
      <c r="E3" s="4" t="s">
        <v>130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  <row r="4" spans="1:16" x14ac:dyDescent="0.2">
      <c r="A4" s="21" t="s">
        <v>161</v>
      </c>
      <c r="B4">
        <f>(2*44)/(2*12+6+16)</f>
        <v>1.9130434782608696</v>
      </c>
    </row>
    <row r="5" spans="1:16" x14ac:dyDescent="0.2">
      <c r="A5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zoomScale="162" zoomScaleNormal="162" workbookViewId="0">
      <selection activeCell="H12" sqref="H12"/>
    </sheetView>
  </sheetViews>
  <sheetFormatPr baseColWidth="10" defaultColWidth="8.83203125" defaultRowHeight="15" x14ac:dyDescent="0.2"/>
  <cols>
    <col min="1" max="1" width="16.33203125" bestFit="1" customWidth="1"/>
  </cols>
  <sheetData>
    <row r="1" spans="1:5" ht="48" x14ac:dyDescent="0.2">
      <c r="A1" s="1" t="s">
        <v>11</v>
      </c>
      <c r="B1" s="1" t="s">
        <v>16</v>
      </c>
      <c r="C1" s="3" t="s">
        <v>12</v>
      </c>
      <c r="D1" s="3" t="s">
        <v>29</v>
      </c>
      <c r="E1" t="s">
        <v>102</v>
      </c>
    </row>
    <row r="2" spans="1:5" ht="16" x14ac:dyDescent="0.2">
      <c r="A2" s="2" t="s">
        <v>0</v>
      </c>
      <c r="B2" s="13"/>
      <c r="C2" s="4"/>
    </row>
    <row r="3" spans="1:5" ht="16" x14ac:dyDescent="0.2">
      <c r="A3" s="2" t="s">
        <v>1</v>
      </c>
      <c r="B3" s="4" t="s">
        <v>13</v>
      </c>
      <c r="C3" s="4"/>
    </row>
    <row r="4" spans="1:5" x14ac:dyDescent="0.2">
      <c r="A4" s="16" t="s">
        <v>133</v>
      </c>
      <c r="B4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up-emissions</vt:lpstr>
      <vt:lpstr>up-removals</vt:lpstr>
      <vt:lpstr>down-emissions</vt:lpstr>
      <vt:lpstr>down-removals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2020-12-17T11:51:05Z</dcterms:modified>
</cp:coreProperties>
</file>