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firstSheet="1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D72" i="18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D65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47" i="6"/>
  <c r="I47" i="6"/>
  <c r="H47" i="6"/>
  <c r="G47" i="6"/>
  <c r="F47" i="6"/>
  <c r="E47" i="6"/>
  <c r="D47" i="6"/>
  <c r="C47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6" i="6"/>
  <c r="I46" i="6"/>
  <c r="H46" i="6"/>
  <c r="G46" i="6"/>
  <c r="F46" i="6"/>
  <c r="E46" i="6"/>
  <c r="D46" i="6"/>
  <c r="C46" i="6"/>
  <c r="B46" i="6"/>
  <c r="J44" i="6"/>
  <c r="I44" i="6"/>
  <c r="H44" i="6"/>
  <c r="G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41" i="6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E72" i="15"/>
  <c r="D72" i="15"/>
  <c r="C72" i="15"/>
  <c r="B72" i="15"/>
  <c r="E71" i="15"/>
  <c r="D71" i="15"/>
  <c r="C71" i="15"/>
  <c r="B71" i="15"/>
  <c r="E70" i="15"/>
  <c r="D70" i="15"/>
  <c r="C70" i="15"/>
  <c r="B70" i="15"/>
  <c r="E69" i="15"/>
  <c r="D69" i="15"/>
  <c r="C69" i="15"/>
  <c r="B69" i="15"/>
  <c r="L67" i="15"/>
  <c r="K67" i="15"/>
  <c r="J67" i="15"/>
  <c r="I67" i="15"/>
  <c r="H67" i="15"/>
  <c r="G67" i="15"/>
  <c r="L66" i="15"/>
  <c r="K66" i="15"/>
  <c r="J66" i="15"/>
  <c r="I66" i="15"/>
  <c r="H66" i="15"/>
  <c r="G66" i="15"/>
  <c r="L65" i="15"/>
  <c r="K65" i="15"/>
  <c r="J65" i="15"/>
  <c r="I65" i="15"/>
  <c r="H65" i="15"/>
  <c r="G65" i="15"/>
  <c r="L64" i="15"/>
  <c r="K64" i="15"/>
  <c r="J64" i="15"/>
  <c r="I64" i="15"/>
  <c r="H64" i="15"/>
  <c r="G64" i="15"/>
  <c r="E67" i="15"/>
  <c r="D67" i="15"/>
  <c r="C67" i="15"/>
  <c r="B67" i="15"/>
  <c r="E66" i="15"/>
  <c r="D66" i="15"/>
  <c r="C66" i="15"/>
  <c r="B66" i="15"/>
  <c r="E65" i="15"/>
  <c r="D65" i="15"/>
  <c r="C65" i="15"/>
  <c r="B65" i="15"/>
  <c r="E64" i="15"/>
  <c r="D64" i="15"/>
  <c r="C64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E62" i="15"/>
  <c r="D62" i="15"/>
  <c r="C62" i="15"/>
  <c r="B62" i="15"/>
  <c r="E61" i="15"/>
  <c r="D61" i="15"/>
  <c r="C61" i="15"/>
  <c r="B61" i="15"/>
  <c r="E60" i="15"/>
  <c r="D60" i="15"/>
  <c r="C60" i="15"/>
  <c r="B60" i="15"/>
  <c r="E59" i="15"/>
  <c r="D59" i="15"/>
  <c r="C59" i="15"/>
  <c r="B59" i="15"/>
  <c r="D52" i="15"/>
  <c r="D51" i="15"/>
  <c r="D50" i="15"/>
  <c r="D49" i="15"/>
  <c r="D48" i="15"/>
  <c r="D47" i="15"/>
  <c r="D46" i="15"/>
  <c r="D57" i="15"/>
  <c r="D56" i="15"/>
  <c r="D55" i="15"/>
  <c r="D54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E57" i="15"/>
  <c r="C57" i="15"/>
  <c r="B57" i="15"/>
  <c r="E56" i="15"/>
  <c r="C56" i="15"/>
  <c r="B56" i="15"/>
  <c r="E55" i="15"/>
  <c r="C55" i="15"/>
  <c r="B55" i="15"/>
  <c r="L54" i="15"/>
  <c r="K54" i="15"/>
  <c r="J54" i="15"/>
  <c r="I54" i="15"/>
  <c r="H54" i="15"/>
  <c r="G54" i="15"/>
  <c r="E54" i="15"/>
  <c r="C54" i="15"/>
  <c r="B54" i="15"/>
  <c r="L50" i="15"/>
  <c r="K50" i="15"/>
  <c r="J50" i="15"/>
  <c r="I50" i="15"/>
  <c r="H50" i="15"/>
  <c r="G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E47" i="15"/>
  <c r="C47" i="15"/>
  <c r="B47" i="15"/>
  <c r="K52" i="15"/>
  <c r="K51" i="15"/>
  <c r="K48" i="15"/>
  <c r="J52" i="15"/>
  <c r="I52" i="15"/>
  <c r="H52" i="15"/>
  <c r="G52" i="15"/>
  <c r="E52" i="15"/>
  <c r="C52" i="15"/>
  <c r="B52" i="15"/>
  <c r="J51" i="15"/>
  <c r="I51" i="15"/>
  <c r="H51" i="15"/>
  <c r="G51" i="15"/>
  <c r="E51" i="15"/>
  <c r="C51" i="15"/>
  <c r="B51" i="15"/>
  <c r="J48" i="15"/>
  <c r="I48" i="15"/>
  <c r="H48" i="15"/>
  <c r="G48" i="15"/>
  <c r="E48" i="15"/>
  <c r="C48" i="15"/>
  <c r="B48" i="15"/>
  <c r="K46" i="15"/>
  <c r="J46" i="15"/>
  <c r="I46" i="15"/>
  <c r="H46" i="15"/>
  <c r="G46" i="15"/>
  <c r="E46" i="15"/>
  <c r="C46" i="15"/>
  <c r="B46" i="15"/>
  <c r="K45" i="15"/>
  <c r="G45" i="15"/>
  <c r="E44" i="15"/>
  <c r="E49" i="15" s="1"/>
  <c r="E45" i="15"/>
  <c r="E50" i="15" s="1"/>
  <c r="F43" i="15"/>
  <c r="E43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3" i="15"/>
  <c r="G63" i="15"/>
  <c r="D63" i="15"/>
  <c r="C63" i="15"/>
  <c r="D58" i="15"/>
  <c r="C58" i="15"/>
  <c r="B58" i="15"/>
  <c r="D53" i="15"/>
  <c r="D42" i="15"/>
  <c r="D41" i="15"/>
  <c r="N40" i="15"/>
  <c r="L40" i="15"/>
  <c r="J40" i="15"/>
  <c r="I40" i="15"/>
  <c r="H40" i="15"/>
  <c r="F40" i="15"/>
  <c r="E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E39" i="15"/>
  <c r="C39" i="15"/>
  <c r="B39" i="15"/>
  <c r="N37" i="15"/>
  <c r="L37" i="15"/>
  <c r="K37" i="15"/>
  <c r="J37" i="15"/>
  <c r="I37" i="15"/>
  <c r="H37" i="15"/>
  <c r="G37" i="15"/>
  <c r="F37" i="15"/>
  <c r="E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E42" i="15"/>
  <c r="C42" i="15"/>
  <c r="B42" i="15"/>
  <c r="K41" i="15"/>
  <c r="H41" i="15"/>
  <c r="G41" i="15"/>
  <c r="F41" i="15"/>
  <c r="E41" i="15"/>
  <c r="C41" i="15"/>
  <c r="B41" i="15"/>
  <c r="K38" i="15"/>
  <c r="H38" i="15"/>
  <c r="G38" i="15"/>
  <c r="F38" i="15"/>
  <c r="E38" i="15"/>
  <c r="C38" i="15"/>
  <c r="B38" i="15"/>
  <c r="H36" i="15"/>
  <c r="K36" i="15"/>
  <c r="G36" i="15"/>
  <c r="F36" i="15"/>
  <c r="E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F5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43" i="4"/>
  <c r="B54" i="4" s="1"/>
  <c r="B21" i="4"/>
  <c r="C52" i="4"/>
  <c r="B52" i="4"/>
  <c r="C51" i="4"/>
  <c r="B51" i="4"/>
  <c r="C50" i="4"/>
  <c r="B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E56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4" i="3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34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48" i="17"/>
  <c r="B53" i="17" s="1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F13" i="18" l="1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28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C4" i="17" l="1"/>
  <c r="B7" i="17"/>
  <c r="B4" i="17" s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B4" i="15" l="1"/>
  <c r="C4" i="15"/>
  <c r="G4" i="15"/>
  <c r="H4" i="15"/>
  <c r="I4" i="15"/>
  <c r="J4" i="15"/>
  <c r="K4" i="15"/>
  <c r="L4" i="15"/>
  <c r="M4" i="15"/>
  <c r="N4" i="15"/>
  <c r="E4" i="15"/>
  <c r="L5" i="15"/>
  <c r="D6" i="15"/>
  <c r="E6" i="15"/>
  <c r="E19" i="15" s="1"/>
  <c r="D11" i="15"/>
  <c r="D4" i="15" s="1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<sst xmlns="http://schemas.openxmlformats.org/spreadsheetml/2006/main" count="1833" uniqueCount="281">
  <si>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</si>
  <si>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</si>
  <si>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</si>
  <si>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</si>
  <si>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</si>
  <si>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</si>
  <si>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</si>
  <si>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</si>
  <si>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</si>
  <si>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</si>
  <si>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</si>
  <si>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</si>
  <si>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</si>
  <si>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</si>
  <si>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</si>
  <si>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</si>
  <si>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</si>
  <si>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</si>
  <si>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</si>
  <si>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</si>
  <si>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</si>
  <si>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</si>
  <si>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</si>
  <si>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</si>
  <si>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</si>
  <si>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</si>
  <si>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</si>
  <si>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</si>
  <si>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</si>
  <si>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</si>
  <si>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</si>
  <si>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</si>
  <si>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</si>
  <si>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</si>
  <si>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</si>
  <si>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</si>
  <si>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</si>
  <si>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</si>
  <si>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</si>
  <si>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</si>
  <si>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</si>
  <si>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</si>
  <si>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</si>
  <si>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</si>
  <si>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</si>
  <si>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</si>
  <si>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</si>
  <si>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</si>
  <si>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</si>
  <si>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</si>
  <si>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</si>
  <si>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</si>
  <si>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</si>
  <si>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</si>
  <si>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</si>
  <si>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</si>
  <si>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</si>
  <si>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</si>
  <si>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</si>
  <si>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</si>
  <si>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</si>
  <si>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</si>
  <si>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</si>
  <si>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</si>
  <si>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</si>
  <si>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</si>
  <si>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</si>
  <si>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</si>
  <si>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</si>
  <si>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</si>
  <si>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</si>
  <si>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</si>
  <si>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</si>
  <si>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</si>
  <si>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</si>
  <si>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</si>
  <si>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</si>
  <si>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</si>
  <si>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</si>
  <si>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</si>
  <si>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</si>
  <si>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</si>
  <si>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</si>
  <si>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</si>
  <si>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</si>
  <si>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</si>
  <si>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</si>
  <si>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</si>
  <si>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</si>
  <si>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</si>
  <si>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</si>
  <si>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</si>
  <si>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</si>
  <si>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</si>
  <si>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</si>
  <si>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</si>
  <si>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</si>
  <si>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</si>
  <si>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</si>
  <si>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</si>
  <si>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</si>
  <si>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</si>
  <si>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</si>
  <si>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</si>
  <si>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</si>
  <si>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</si>
  <si>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</si>
  <si>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</si>
  <si>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</si>
  <si>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</si>
  <si>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</si>
  <si>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</si>
  <si>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</si>
  <si>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</si>
  <si>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</si>
  <si>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</si>
  <si>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</si>
  <si>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</si>
  <si>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</si>
  <si>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</si>
  <si>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</si>
  <si>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</si>
  <si>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</si>
  <si>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</si>
  <si>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</si>
  <si>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</si>
  <si>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</si>
  <si>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</si>
  <si>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</si>
  <si>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</si>
  <si>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</si>
  <si>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</si>
  <si>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</si>
  <si>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</si>
  <si>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</si>
  <si>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</si>
  <si>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</si>
  <si>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</si>
  <si>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</si>
  <si>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</si>
  <si>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</si>
  <si>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</si>
  <si>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</si>
  <si>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</si>
  <si>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</si>
  <si>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</si>
  <si>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</si>
  <si>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</si>
  <si>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</si>
  <si>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</si>
  <si>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</si>
  <si>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</si>
  <si>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</si>
  <si>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</si>
  <si>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</si>
  <si>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</si>
  <si>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</si>
  <si>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</si>
  <si>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</si>
  <si>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</si>
  <si>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</si>
  <si>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</si>
  <si>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</si>
  <si>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</si>
  <si>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</si>
  <si>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</si>
  <si>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</si>
  <si>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</si>
  <si>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</si>
  <si>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</si>
  <si>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</si>
  <si>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</si>
  <si>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</si>
  <si>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</si>
  <si>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</si>
  <si>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</si>
  <si>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</si>
  <si>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</si>
  <si>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</si>
  <si>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</si>
  <si>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</si>
  <si>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</si>
  <si>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</si>
  <si>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</si>
  <si>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</si>
  <si>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</si>
  <si>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</si>
  <si>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</si>
  <si>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</si>
  <si>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</si>
  <si>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</si>
  <si>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</si>
  <si>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</si>
  <si>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</si>
  <si>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</si>
  <si>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</si>
  <si>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</si>
  <si>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</si>
  <si>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</si>
  <si>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</si>
  <si>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</si>
  <si>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</si>
  <si>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</si>
  <si>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</si>
  <si>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</si>
  <si>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</si>
  <si>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</si>
  <si>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</si>
  <si>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</si>
  <si>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</si>
  <si>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</si>
  <si>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</si>
  <si>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</si>
  <si>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</si>
  <si>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</si>
  <si>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</si>
  <si>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</si>
  <si>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</si>
  <si>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</si>
  <si>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</si>
  <si>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</si>
  <si>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</si>
  <si>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</si>
  <si>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</si>
  <si>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</si>
  <si>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</si>
  <si>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</si>
  <si>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</si>
  <si>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</si>
  <si>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</si>
  <si>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</si>
  <si>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</si>
  <si>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</si>
  <si>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</si>
  <si>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</si>
  <si>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</si>
  <si>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</si>
  <si>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</si>
  <si>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</si>
  <si>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</si>
  <si>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</si>
  <si>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</si>
  <si>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</si>
  <si>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</si>
  <si>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</si>
  <si>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</si>
  <si>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</si>
  <si>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</si>
  <si>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</si>
  <si>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</si>
  <si>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</si>
  <si>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</si>
  <si>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</si>
  <si>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</si>
  <si>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</si>
  <si>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</si>
  <si>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</si>
  <si>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</si>
  <si>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</si>
  <si>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</si>
  <si>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</si>
  <si>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</si>
  <si>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</si>
  <si>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 xml:space="preserve">                             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</si>
  <si>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</si>
  <si>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</si>
  <si>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</si>
  <si>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</si>
  <si>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</si>
  <si>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</si>
  <si>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PROXY - EU 2016</t>
  </si>
  <si>
    <t>PROXY - EU 2030</t>
  </si>
  <si>
    <t>PROXY - EU 2040</t>
  </si>
  <si>
    <t>PROXY - CN 2016</t>
  </si>
  <si>
    <t>PROXY - CN 2030</t>
  </si>
  <si>
    <t>PROXY - CN 2040</t>
  </si>
  <si>
    <t>PROXY - JP 2016</t>
  </si>
  <si>
    <t>PROXY - RU 2016</t>
  </si>
  <si>
    <t>PROXY - US 2016</t>
  </si>
  <si>
    <t>PROXY - IN 2016</t>
  </si>
  <si>
    <t>IPCC -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</si>
</sst>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166" fontId="1" fillId="0" borderId="0" xfId="0" applyNumberFormat="1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5" fontId="20" fillId="0" borderId="0" xfId="0" applyNumberFormat="1" applyFont="1" applyFill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5" fillId="0" borderId="0" xfId="0" applyFont="1"/>
    <xf numFmtId="166" fontId="0" fillId="0" borderId="9" xfId="0" applyNumberFormat="1" applyFill="1" applyBorder="1"/>
    <xf numFmtId="165" fontId="16" fillId="0" borderId="0" xfId="0" applyNumberFormat="1" applyFont="1"/>
    <xf numFmtId="0" fontId="0" fillId="4" borderId="0" xfId="0" applyFill="1"/>
    <xf numFmtId="0" fontId="0" fillId="4" borderId="9" xfId="0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0" fontId="16" fillId="0" borderId="0" xfId="0" applyFont="1" applyBorder="1"/>
    <xf numFmtId="0" fontId="22" fillId="0" borderId="0" xfId="0" applyFont="1" applyFill="1"/>
    <xf numFmtId="0" fontId="16" fillId="0" borderId="0" xfId="0" applyFont="1" applyFill="1"/>
    <xf numFmtId="167" fontId="0" fillId="0" borderId="0" xfId="0" applyNumberFormat="1" applyFont="1"/>
    <xf numFmtId="0" fontId="26" fillId="0" borderId="0" xfId="0" applyFont="1"/>
    <xf numFmtId="0" fontId="1" fillId="4" borderId="0" xfId="0" applyFont="1" applyFill="1"/>
    <xf numFmtId="0" fontId="20" fillId="4" borderId="0" xfId="0" applyFont="1" applyFill="1"/>
    <xf numFmtId="0" fontId="26" fillId="4" borderId="0" xfId="0" applyFont="1" applyFill="1"/>
    <xf numFmtId="9" fontId="0" fillId="0" borderId="9" xfId="0" applyNumberFormat="1" applyFont="1" applyBorder="1"/>
    <xf numFmtId="2" fontId="25" fillId="0" borderId="0" xfId="0" applyNumberFormat="1" applyFont="1"/>
    <xf numFmtId="0" fontId="0" fillId="4" borderId="0" xfId="0" applyFill="1" applyBorder="1"/>
    <xf numFmtId="0" fontId="1" fillId="4" borderId="2" xfId="0" applyFont="1" applyFill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0" fontId="20" fillId="0" borderId="0" xfId="1" applyFont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8" sqref="A28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  <c r="G1" t="s">
        <v>81</v>
      </c>
    </row>
    <row r="2" spans="1:7" x14ac:dyDescent="0.25">
      <c r="A2" s="2" t="s">
        <v>1</v>
      </c>
      <c r="B2" s="2" t="s">
        <v>6</v>
      </c>
      <c r="C2" s="2" t="s">
        <v>64</v>
      </c>
      <c r="D2" s="2"/>
      <c r="E2" s="2"/>
      <c r="F2" s="2"/>
    </row>
    <row r="3" spans="1:7" x14ac:dyDescent="0.25">
      <c r="A3" s="2" t="s">
        <v>2</v>
      </c>
      <c r="B3" s="2" t="s">
        <v>63</v>
      </c>
      <c r="C3" s="2"/>
      <c r="D3" s="2"/>
      <c r="E3" s="2"/>
      <c r="F3" s="2"/>
    </row>
    <row r="4" spans="1:7" x14ac:dyDescent="0.25">
      <c r="A4" s="3" t="s">
        <v>3</v>
      </c>
      <c r="B4" s="21">
        <f>B7</f>
        <v>0.77808901338313108</v>
      </c>
      <c r="C4" s="21">
        <f>C7</f>
        <v>0.126</v>
      </c>
      <c r="D4" t="s">
        <v>57</v>
      </c>
      <c r="E4">
        <v>0</v>
      </c>
      <c r="F4" t="s">
        <v>23</v>
      </c>
    </row>
    <row r="5" spans="1:7" hidden="1" x14ac:dyDescent="0.25">
      <c r="A5" s="3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7" x14ac:dyDescent="0.25">
      <c r="A6" s="3" t="s">
        <v>107</v>
      </c>
      <c r="B6">
        <v>0.754</v>
      </c>
      <c r="C6">
        <v>0</v>
      </c>
      <c r="D6" t="s">
        <v>114</v>
      </c>
      <c r="E6">
        <v>0</v>
      </c>
      <c r="F6" t="s">
        <v>23</v>
      </c>
    </row>
    <row r="7" spans="1:7" hidden="1" x14ac:dyDescent="0.25">
      <c r="A7" s="3" t="s">
        <v>108</v>
      </c>
      <c r="B7" s="21">
        <f>1/1.2852</f>
        <v>0.77808901338313108</v>
      </c>
      <c r="C7">
        <v>0.126</v>
      </c>
      <c r="D7" t="s">
        <v>115</v>
      </c>
      <c r="E7">
        <v>0</v>
      </c>
      <c r="F7" t="s">
        <v>23</v>
      </c>
    </row>
    <row r="8" spans="1:7" hidden="1" x14ac:dyDescent="0.25">
      <c r="A8" s="3" t="s">
        <v>109</v>
      </c>
      <c r="B8" s="21">
        <f>1/1.43</f>
        <v>0.69930069930069938</v>
      </c>
      <c r="C8">
        <v>0.19</v>
      </c>
      <c r="D8" t="s">
        <v>121</v>
      </c>
      <c r="E8">
        <v>0</v>
      </c>
      <c r="F8" t="s">
        <v>23</v>
      </c>
    </row>
    <row r="9" spans="1:7" s="62" customFormat="1" hidden="1" x14ac:dyDescent="0.25">
      <c r="A9" s="59" t="s">
        <v>110</v>
      </c>
      <c r="B9" s="60">
        <v>0.7</v>
      </c>
      <c r="C9" s="61">
        <v>0.2</v>
      </c>
      <c r="D9" s="62" t="s">
        <v>122</v>
      </c>
      <c r="E9" s="62">
        <v>0</v>
      </c>
      <c r="F9" s="62" t="s">
        <v>23</v>
      </c>
    </row>
    <row r="10" spans="1:7" s="62" customFormat="1" hidden="1" x14ac:dyDescent="0.25">
      <c r="A10" s="59" t="s">
        <v>111</v>
      </c>
      <c r="B10" s="63">
        <f>24.7/32</f>
        <v>0.77187499999999998</v>
      </c>
      <c r="C10" s="62">
        <v>0.12</v>
      </c>
      <c r="D10" s="62" t="s">
        <v>123</v>
      </c>
      <c r="E10" s="62">
        <v>0</v>
      </c>
      <c r="F10" s="62" t="s">
        <v>23</v>
      </c>
    </row>
    <row r="11" spans="1:7" s="62" customFormat="1" hidden="1" x14ac:dyDescent="0.25">
      <c r="A11" s="59" t="s">
        <v>126</v>
      </c>
      <c r="B11" s="64">
        <f>AVERAGE(B6:B10)</f>
        <v>0.74065294253676606</v>
      </c>
      <c r="C11" s="62">
        <f>AVERAGE(C6:C10)</f>
        <v>0.12720000000000001</v>
      </c>
      <c r="D11" s="62" t="s">
        <v>115</v>
      </c>
      <c r="E11" s="62">
        <v>0</v>
      </c>
      <c r="F11" s="62" t="s">
        <v>23</v>
      </c>
    </row>
    <row r="12" spans="1:7" hidden="1" x14ac:dyDescent="0.25">
      <c r="A12" s="3" t="s">
        <v>131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23</v>
      </c>
    </row>
    <row r="13" spans="1:7" hidden="1" x14ac:dyDescent="0.25">
      <c r="A13" s="3" t="s">
        <v>132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7" hidden="1" x14ac:dyDescent="0.25">
      <c r="A14" s="3" t="s">
        <v>133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7" hidden="1" x14ac:dyDescent="0.25">
      <c r="A15" s="3" t="s">
        <v>134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7" hidden="1" x14ac:dyDescent="0.25">
      <c r="A16" s="3" t="s">
        <v>136</v>
      </c>
      <c r="B16" s="48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  <row r="17" spans="1:7" hidden="1" x14ac:dyDescent="0.25">
      <c r="A17" s="3" t="s">
        <v>127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23</v>
      </c>
    </row>
    <row r="18" spans="1:7" hidden="1" x14ac:dyDescent="0.25">
      <c r="A18" s="3" t="s">
        <v>151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23</v>
      </c>
    </row>
    <row r="19" spans="1:7" hidden="1" x14ac:dyDescent="0.25">
      <c r="A19" s="3" t="s">
        <v>158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23</v>
      </c>
    </row>
    <row r="20" spans="1:7" x14ac:dyDescent="0.25">
      <c r="A20" s="3" t="s">
        <v>152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23</v>
      </c>
    </row>
    <row r="21" spans="1:7" x14ac:dyDescent="0.25">
      <c r="A21" s="3" t="s">
        <v>143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23</v>
      </c>
    </row>
    <row r="22" spans="1:7" x14ac:dyDescent="0.25">
      <c r="A22" s="3" t="s">
        <v>153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23</v>
      </c>
    </row>
    <row r="23" spans="1:7" hidden="1" x14ac:dyDescent="0.25">
      <c r="A23" s="3" t="s">
        <v>156</v>
      </c>
      <c r="B23" s="51">
        <f>(B10-3.16/3.24*B10)+B10</f>
        <v>0.79093364197530858</v>
      </c>
      <c r="C23">
        <v>0.1</v>
      </c>
      <c r="D23" s="46" t="s">
        <v>123</v>
      </c>
      <c r="E23">
        <v>0</v>
      </c>
      <c r="F23" t="s">
        <v>23</v>
      </c>
    </row>
    <row r="24" spans="1:7" x14ac:dyDescent="0.25">
      <c r="A24" s="3" t="s">
        <v>168</v>
      </c>
      <c r="B24" s="51">
        <f>30.23/(30.23+2.23)</f>
        <v>0.93130006161429446</v>
      </c>
      <c r="C24">
        <v>0.1</v>
      </c>
      <c r="D24" s="46" t="s">
        <v>123</v>
      </c>
      <c r="E24">
        <v>0</v>
      </c>
      <c r="F24" t="s">
        <v>23</v>
      </c>
    </row>
    <row r="25" spans="1:7" hidden="1" x14ac:dyDescent="0.25">
      <c r="A25" s="3" t="s">
        <v>169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23</v>
      </c>
    </row>
    <row r="26" spans="1:7" hidden="1" x14ac:dyDescent="0.25">
      <c r="A26" s="3" t="s">
        <v>170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23</v>
      </c>
    </row>
    <row r="27" spans="1:7" s="30" customFormat="1" hidden="1" x14ac:dyDescent="0.25">
      <c r="A27" s="57" t="s">
        <v>166</v>
      </c>
      <c r="B27" s="31">
        <f>1/1.2852</f>
        <v>0.77808901338313108</v>
      </c>
      <c r="C27" s="30">
        <v>0.126</v>
      </c>
      <c r="D27" s="30" t="s">
        <v>115</v>
      </c>
      <c r="E27" s="30">
        <v>0</v>
      </c>
      <c r="F27" s="30" t="s">
        <v>23</v>
      </c>
    </row>
    <row r="28" spans="1:7" s="30" customFormat="1" x14ac:dyDescent="0.25">
      <c r="A28" s="59" t="s">
        <v>243</v>
      </c>
      <c r="B28" s="31">
        <f>1/1.326</f>
        <v>0.75414781297134237</v>
      </c>
      <c r="C28" s="30">
        <f>35*Ref!B18</f>
        <v>0.126</v>
      </c>
      <c r="D28" s="30" t="s">
        <v>114</v>
      </c>
      <c r="E28"/>
      <c r="F28"/>
    </row>
    <row r="29" spans="1:7" s="30" customFormat="1" x14ac:dyDescent="0.25">
      <c r="A29" s="59" t="s">
        <v>245</v>
      </c>
      <c r="B29" s="31">
        <f>365.4/510.3</f>
        <v>0.71604938271604934</v>
      </c>
      <c r="C29" s="30">
        <f>12.8*Ref!B18</f>
        <v>4.6080000000000003E-2</v>
      </c>
      <c r="D29" s="30" t="s">
        <v>114</v>
      </c>
      <c r="E29"/>
      <c r="F29"/>
      <c r="G29" s="30" t="s">
        <v>247</v>
      </c>
    </row>
    <row r="30" spans="1:7" s="30" customFormat="1" x14ac:dyDescent="0.25">
      <c r="A30" s="59" t="s">
        <v>246</v>
      </c>
      <c r="B30" s="31">
        <f>358.7/502.2</f>
        <v>0.71425726802070888</v>
      </c>
      <c r="C30" s="30">
        <f>12.5*Ref!B18</f>
        <v>4.4999999999999998E-2</v>
      </c>
      <c r="D30" s="30" t="s">
        <v>114</v>
      </c>
      <c r="E30"/>
      <c r="F30"/>
      <c r="G30" s="30" t="s">
        <v>247</v>
      </c>
    </row>
    <row r="31" spans="1:7" s="30" customFormat="1" x14ac:dyDescent="0.25">
      <c r="A31" s="59" t="s">
        <v>244</v>
      </c>
      <c r="B31" s="31">
        <f>0.889/1.277</f>
        <v>0.69616288175411123</v>
      </c>
      <c r="D31" s="30" t="s">
        <v>114</v>
      </c>
      <c r="E31"/>
      <c r="F31"/>
    </row>
    <row r="32" spans="1:7" s="105" customFormat="1" x14ac:dyDescent="0.25">
      <c r="A32" s="101" t="s">
        <v>201</v>
      </c>
      <c r="B32" s="102">
        <f>1/1.3</f>
        <v>0.76923076923076916</v>
      </c>
      <c r="C32" s="103">
        <v>0.1</v>
      </c>
      <c r="D32" s="104" t="s">
        <v>115</v>
      </c>
      <c r="E32" s="105">
        <v>0</v>
      </c>
      <c r="F32" s="105" t="s">
        <v>23</v>
      </c>
      <c r="G32" s="105" t="s">
        <v>185</v>
      </c>
    </row>
    <row r="33" spans="1:7" x14ac:dyDescent="0.25">
      <c r="A33" s="74" t="s">
        <v>202</v>
      </c>
      <c r="B33" s="72">
        <f>1/1.22</f>
        <v>0.81967213114754101</v>
      </c>
      <c r="C33" s="71">
        <v>0.02</v>
      </c>
      <c r="D33" s="1" t="s">
        <v>115</v>
      </c>
      <c r="E33">
        <v>0</v>
      </c>
      <c r="F33" t="s">
        <v>23</v>
      </c>
      <c r="G33" t="s">
        <v>186</v>
      </c>
    </row>
    <row r="34" spans="1:7" x14ac:dyDescent="0.25">
      <c r="A34" s="74" t="s">
        <v>203</v>
      </c>
      <c r="B34" s="73">
        <v>0.84</v>
      </c>
      <c r="C34" s="71">
        <v>0.02</v>
      </c>
      <c r="D34" s="1" t="s">
        <v>115</v>
      </c>
      <c r="E34">
        <v>0</v>
      </c>
      <c r="F34" t="s">
        <v>23</v>
      </c>
      <c r="G34" t="s">
        <v>187</v>
      </c>
    </row>
    <row r="35" spans="1:7" x14ac:dyDescent="0.25">
      <c r="A35" s="55" t="s">
        <v>204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23</v>
      </c>
    </row>
    <row r="36" spans="1:7" x14ac:dyDescent="0.25">
      <c r="A36" s="55" t="s">
        <v>205</v>
      </c>
      <c r="B36" s="47">
        <f>B$33</f>
        <v>0.81967213114754101</v>
      </c>
      <c r="C36">
        <f>C$33</f>
        <v>0.02</v>
      </c>
      <c r="D36" t="str">
        <f>D$33</f>
        <v>coal coking - IPCC</v>
      </c>
      <c r="E36">
        <v>0</v>
      </c>
      <c r="F36" t="s">
        <v>23</v>
      </c>
    </row>
    <row r="37" spans="1:7" x14ac:dyDescent="0.25">
      <c r="A37" s="55" t="s">
        <v>206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6">
        <v>0.05</v>
      </c>
      <c r="F37" t="s">
        <v>23</v>
      </c>
    </row>
    <row r="38" spans="1:7" x14ac:dyDescent="0.25">
      <c r="A38" s="55" t="s">
        <v>207</v>
      </c>
      <c r="B38" s="47">
        <f>B$33</f>
        <v>0.81967213114754101</v>
      </c>
      <c r="C38">
        <f>C$33</f>
        <v>0.02</v>
      </c>
      <c r="D38" t="str">
        <f>D$33</f>
        <v>coal coking - IPCC</v>
      </c>
      <c r="E38" s="56">
        <v>0.05</v>
      </c>
      <c r="F38" t="s">
        <v>23</v>
      </c>
    </row>
    <row r="39" spans="1:7" x14ac:dyDescent="0.25">
      <c r="A39" s="55" t="s">
        <v>208</v>
      </c>
      <c r="B39">
        <f>B$34</f>
        <v>0.84</v>
      </c>
      <c r="C39">
        <f>C$34</f>
        <v>0.02</v>
      </c>
      <c r="D39" t="str">
        <f>D$34</f>
        <v>coal coking - IPCC</v>
      </c>
      <c r="E39" s="56">
        <v>0.05</v>
      </c>
      <c r="F39" t="s">
        <v>23</v>
      </c>
    </row>
    <row r="40" spans="1:7" x14ac:dyDescent="0.25">
      <c r="A40" s="55" t="s">
        <v>209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6">
        <v>0.05</v>
      </c>
      <c r="F40" t="s">
        <v>23</v>
      </c>
    </row>
    <row r="41" spans="1:7" x14ac:dyDescent="0.25">
      <c r="A41" s="55" t="s">
        <v>210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6">
        <v>0.05</v>
      </c>
      <c r="F41" t="s">
        <v>184</v>
      </c>
    </row>
    <row r="42" spans="1:7" x14ac:dyDescent="0.25">
      <c r="A42" s="55" t="s">
        <v>174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23</v>
      </c>
    </row>
    <row r="43" spans="1:7" x14ac:dyDescent="0.25">
      <c r="A43" s="55" t="s">
        <v>175</v>
      </c>
      <c r="B43" s="47">
        <f t="shared" ref="B43:D44" si="5">B$33</f>
        <v>0.81967213114754101</v>
      </c>
      <c r="C43">
        <f t="shared" si="5"/>
        <v>0.02</v>
      </c>
      <c r="D43" t="str">
        <f t="shared" si="5"/>
        <v>coal coking - IPCC</v>
      </c>
      <c r="E43">
        <v>0</v>
      </c>
      <c r="F43" t="s">
        <v>23</v>
      </c>
    </row>
    <row r="44" spans="1:7" x14ac:dyDescent="0.25">
      <c r="A44" s="55" t="s">
        <v>176</v>
      </c>
      <c r="B44" s="47">
        <f t="shared" si="5"/>
        <v>0.81967213114754101</v>
      </c>
      <c r="C44">
        <f t="shared" si="5"/>
        <v>0.02</v>
      </c>
      <c r="D44" t="str">
        <f t="shared" si="5"/>
        <v>coal coking - IPCC</v>
      </c>
      <c r="E44" s="56">
        <v>0.05</v>
      </c>
      <c r="F44" t="s">
        <v>184</v>
      </c>
    </row>
    <row r="45" spans="1:7" x14ac:dyDescent="0.25">
      <c r="A45" s="55" t="s">
        <v>177</v>
      </c>
      <c r="B45">
        <f t="shared" ref="B45:D46" si="6">B$34</f>
        <v>0.84</v>
      </c>
      <c r="C45">
        <f t="shared" si="6"/>
        <v>0.02</v>
      </c>
      <c r="D45" t="str">
        <f t="shared" si="6"/>
        <v>coal coking - IPCC</v>
      </c>
      <c r="E45">
        <v>0</v>
      </c>
      <c r="F45" t="s">
        <v>23</v>
      </c>
    </row>
    <row r="46" spans="1:7" s="67" customFormat="1" ht="15.75" thickBot="1" x14ac:dyDescent="0.3">
      <c r="A46" s="68" t="s">
        <v>178</v>
      </c>
      <c r="B46" s="67">
        <f t="shared" si="6"/>
        <v>0.84</v>
      </c>
      <c r="C46" s="67">
        <f t="shared" si="6"/>
        <v>0.02</v>
      </c>
      <c r="D46" s="67" t="str">
        <f t="shared" si="6"/>
        <v>coal coking - IPCC</v>
      </c>
      <c r="E46" s="69">
        <v>0.05</v>
      </c>
      <c r="F46" s="67" t="s">
        <v>184</v>
      </c>
    </row>
    <row r="47" spans="1:7" x14ac:dyDescent="0.25">
      <c r="A47" s="74" t="s">
        <v>211</v>
      </c>
      <c r="B47" s="1">
        <v>0.754</v>
      </c>
      <c r="C47" s="1">
        <v>0</v>
      </c>
      <c r="D47" s="1" t="s">
        <v>114</v>
      </c>
      <c r="E47">
        <v>0</v>
      </c>
      <c r="F47" t="s">
        <v>23</v>
      </c>
      <c r="G47" t="s">
        <v>188</v>
      </c>
    </row>
    <row r="48" spans="1:7" x14ac:dyDescent="0.25">
      <c r="A48" s="74" t="s">
        <v>212</v>
      </c>
      <c r="B48" s="88">
        <f>1/1.3</f>
        <v>0.76923076923076916</v>
      </c>
      <c r="C48" s="73">
        <v>0.1</v>
      </c>
      <c r="D48" s="81" t="s">
        <v>114</v>
      </c>
      <c r="E48">
        <v>0</v>
      </c>
      <c r="F48" t="s">
        <v>23</v>
      </c>
    </row>
    <row r="49" spans="1:11" x14ac:dyDescent="0.25">
      <c r="A49" s="74" t="s">
        <v>213</v>
      </c>
      <c r="B49" s="87">
        <f>1/1.22</f>
        <v>0.81967213114754101</v>
      </c>
      <c r="C49" s="73">
        <v>0.02</v>
      </c>
      <c r="D49" s="81" t="s">
        <v>114</v>
      </c>
      <c r="E49">
        <v>0</v>
      </c>
      <c r="F49" t="s">
        <v>23</v>
      </c>
    </row>
    <row r="50" spans="1:11" x14ac:dyDescent="0.25">
      <c r="A50" s="55" t="s">
        <v>214</v>
      </c>
      <c r="B50">
        <f>B$47</f>
        <v>0.754</v>
      </c>
      <c r="C50">
        <f>C$47</f>
        <v>0</v>
      </c>
      <c r="D50" t="str">
        <f>D$47</f>
        <v>coal coking - CN</v>
      </c>
      <c r="E50">
        <v>0</v>
      </c>
      <c r="F50" t="s">
        <v>23</v>
      </c>
    </row>
    <row r="51" spans="1:11" x14ac:dyDescent="0.25">
      <c r="A51" s="55" t="s">
        <v>215</v>
      </c>
      <c r="B51" s="21">
        <f>B$48</f>
        <v>0.76923076923076916</v>
      </c>
      <c r="C51" s="21">
        <f>C$48</f>
        <v>0.1</v>
      </c>
      <c r="D51" s="21" t="str">
        <f>D$48</f>
        <v>coal coking - CN</v>
      </c>
      <c r="E51">
        <v>0</v>
      </c>
      <c r="F51" t="s">
        <v>23</v>
      </c>
    </row>
    <row r="52" spans="1:11" x14ac:dyDescent="0.25">
      <c r="A52" s="55" t="s">
        <v>216</v>
      </c>
      <c r="B52">
        <f>B$47</f>
        <v>0.754</v>
      </c>
      <c r="C52">
        <f>C$47</f>
        <v>0</v>
      </c>
      <c r="D52" t="str">
        <f>D$47</f>
        <v>coal coking - CN</v>
      </c>
      <c r="E52" s="56">
        <v>0.05</v>
      </c>
      <c r="F52" t="s">
        <v>23</v>
      </c>
    </row>
    <row r="53" spans="1:11" x14ac:dyDescent="0.25">
      <c r="A53" s="55" t="s">
        <v>217</v>
      </c>
      <c r="B53" s="21">
        <f>B$48</f>
        <v>0.76923076923076916</v>
      </c>
      <c r="C53" s="21">
        <f>C$48</f>
        <v>0.1</v>
      </c>
      <c r="D53" s="21" t="str">
        <f>D$48</f>
        <v>coal coking - CN</v>
      </c>
      <c r="E53" s="56">
        <v>0.05</v>
      </c>
      <c r="F53" t="s">
        <v>23</v>
      </c>
    </row>
    <row r="54" spans="1:11" x14ac:dyDescent="0.25">
      <c r="A54" s="55" t="s">
        <v>218</v>
      </c>
      <c r="B54" s="47">
        <f>B$49</f>
        <v>0.81967213114754101</v>
      </c>
      <c r="C54" s="47">
        <f>C$49</f>
        <v>0.02</v>
      </c>
      <c r="D54" s="47" t="str">
        <f>D$49</f>
        <v>coal coking - CN</v>
      </c>
      <c r="E54" s="56">
        <v>0.05</v>
      </c>
      <c r="F54" t="s">
        <v>23</v>
      </c>
    </row>
    <row r="55" spans="1:11" x14ac:dyDescent="0.25">
      <c r="A55" s="55" t="s">
        <v>219</v>
      </c>
      <c r="B55">
        <f>B$47</f>
        <v>0.754</v>
      </c>
      <c r="C55">
        <f>C$47</f>
        <v>0</v>
      </c>
      <c r="D55" t="str">
        <f>D$47</f>
        <v>coal coking - CN</v>
      </c>
      <c r="E55" s="56">
        <v>1</v>
      </c>
      <c r="F55" t="s">
        <v>23</v>
      </c>
    </row>
    <row r="56" spans="1:11" x14ac:dyDescent="0.25">
      <c r="A56" s="55" t="s">
        <v>220</v>
      </c>
      <c r="B56">
        <f t="shared" ref="B56:D56" si="7">B$47</f>
        <v>0.754</v>
      </c>
      <c r="C56">
        <f t="shared" si="7"/>
        <v>0</v>
      </c>
      <c r="D56" t="str">
        <f t="shared" si="7"/>
        <v>coal coking - CN</v>
      </c>
      <c r="E56" s="56">
        <v>0.05</v>
      </c>
      <c r="F56" s="30" t="s">
        <v>189</v>
      </c>
    </row>
    <row r="57" spans="1:11" x14ac:dyDescent="0.25">
      <c r="A57" s="55" t="s">
        <v>179</v>
      </c>
      <c r="B57">
        <f>B$47</f>
        <v>0.754</v>
      </c>
      <c r="C57">
        <f>C$47</f>
        <v>0</v>
      </c>
      <c r="D57" t="str">
        <f>D$47</f>
        <v>coal coking - CN</v>
      </c>
      <c r="E57">
        <v>0</v>
      </c>
      <c r="F57" s="30" t="s">
        <v>23</v>
      </c>
      <c r="K57">
        <f>9.99/0.02931</f>
        <v>340.83930399181168</v>
      </c>
    </row>
    <row r="58" spans="1:11" x14ac:dyDescent="0.25">
      <c r="A58" s="55" t="s">
        <v>180</v>
      </c>
      <c r="B58" s="21">
        <f t="shared" ref="B58:D59" si="8">B$48</f>
        <v>0.76923076923076916</v>
      </c>
      <c r="C58" s="21">
        <f t="shared" si="8"/>
        <v>0.1</v>
      </c>
      <c r="D58" s="21" t="str">
        <f t="shared" si="8"/>
        <v>coal coking - CN</v>
      </c>
      <c r="E58">
        <v>0</v>
      </c>
      <c r="F58" s="30" t="s">
        <v>23</v>
      </c>
    </row>
    <row r="59" spans="1:11" x14ac:dyDescent="0.25">
      <c r="A59" s="55" t="s">
        <v>181</v>
      </c>
      <c r="B59" s="21">
        <f t="shared" si="8"/>
        <v>0.76923076923076916</v>
      </c>
      <c r="C59" s="21">
        <f t="shared" si="8"/>
        <v>0.1</v>
      </c>
      <c r="D59" s="21" t="str">
        <f t="shared" si="8"/>
        <v>coal coking - CN</v>
      </c>
      <c r="E59" s="56">
        <v>0.05</v>
      </c>
      <c r="F59" s="30" t="s">
        <v>189</v>
      </c>
    </row>
    <row r="60" spans="1:11" x14ac:dyDescent="0.25">
      <c r="A60" s="55" t="s">
        <v>182</v>
      </c>
      <c r="B60" s="47">
        <f t="shared" ref="B60:D61" si="9">B$49</f>
        <v>0.81967213114754101</v>
      </c>
      <c r="C60" s="47">
        <f t="shared" si="9"/>
        <v>0.02</v>
      </c>
      <c r="D60" s="47" t="str">
        <f t="shared" si="9"/>
        <v>coal coking - CN</v>
      </c>
      <c r="E60">
        <v>0</v>
      </c>
      <c r="F60" s="30" t="s">
        <v>23</v>
      </c>
    </row>
    <row r="61" spans="1:11" s="67" customFormat="1" ht="15.75" thickBot="1" x14ac:dyDescent="0.3">
      <c r="A61" s="68" t="s">
        <v>183</v>
      </c>
      <c r="B61" s="89">
        <f t="shared" si="9"/>
        <v>0.81967213114754101</v>
      </c>
      <c r="C61" s="89">
        <f t="shared" si="9"/>
        <v>0.02</v>
      </c>
      <c r="D61" s="89" t="str">
        <f t="shared" si="9"/>
        <v>coal coking - CN</v>
      </c>
      <c r="E61" s="69">
        <v>0.05</v>
      </c>
      <c r="F61" s="67" t="s">
        <v>189</v>
      </c>
    </row>
    <row r="62" spans="1:11" s="1" customFormat="1" x14ac:dyDescent="0.25">
      <c r="A62" s="75" t="s">
        <v>221</v>
      </c>
      <c r="B62" s="76">
        <f>1/1.43</f>
        <v>0.69930069930069938</v>
      </c>
      <c r="C62" s="1">
        <v>0.19</v>
      </c>
      <c r="D62" s="1" t="s">
        <v>121</v>
      </c>
      <c r="E62" s="1">
        <v>0</v>
      </c>
      <c r="F62" s="1" t="s">
        <v>23</v>
      </c>
    </row>
    <row r="63" spans="1:11" x14ac:dyDescent="0.25">
      <c r="A63" s="54" t="s">
        <v>222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JP IPCC</v>
      </c>
      <c r="E63">
        <v>0</v>
      </c>
      <c r="F63" t="s">
        <v>23</v>
      </c>
    </row>
    <row r="64" spans="1:11" x14ac:dyDescent="0.25">
      <c r="A64" s="54" t="s">
        <v>223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JP IPCC</v>
      </c>
      <c r="E64" s="56">
        <v>0.05</v>
      </c>
      <c r="F64" t="s">
        <v>23</v>
      </c>
    </row>
    <row r="65" spans="1:7" x14ac:dyDescent="0.25">
      <c r="A65" s="54" t="s">
        <v>224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JP IPCC</v>
      </c>
      <c r="E65" s="56">
        <v>1</v>
      </c>
      <c r="F65" t="s">
        <v>23</v>
      </c>
    </row>
    <row r="66" spans="1:7" s="67" customFormat="1" ht="15.75" thickBot="1" x14ac:dyDescent="0.3">
      <c r="A66" s="70" t="s">
        <v>225</v>
      </c>
      <c r="B66" s="66">
        <f t="shared" si="10"/>
        <v>0.69930069930069938</v>
      </c>
      <c r="C66" s="66">
        <f t="shared" si="11"/>
        <v>0.19</v>
      </c>
      <c r="D66" s="66" t="str">
        <f t="shared" si="11"/>
        <v>coal coking - JP IPCC</v>
      </c>
      <c r="E66" s="69">
        <v>0.05</v>
      </c>
      <c r="F66" s="67" t="s">
        <v>189</v>
      </c>
    </row>
    <row r="67" spans="1:7" x14ac:dyDescent="0.25">
      <c r="A67" s="75" t="s">
        <v>226</v>
      </c>
      <c r="B67" s="77">
        <v>0.7</v>
      </c>
      <c r="C67" s="78">
        <v>0.2</v>
      </c>
      <c r="D67" s="79" t="s">
        <v>122</v>
      </c>
      <c r="E67">
        <v>0</v>
      </c>
      <c r="F67" t="s">
        <v>23</v>
      </c>
    </row>
    <row r="68" spans="1:7" x14ac:dyDescent="0.25">
      <c r="A68" s="54" t="s">
        <v>227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hard - RU</v>
      </c>
      <c r="E68">
        <v>0</v>
      </c>
      <c r="F68" t="s">
        <v>23</v>
      </c>
    </row>
    <row r="69" spans="1:7" x14ac:dyDescent="0.25">
      <c r="A69" s="54" t="s">
        <v>228</v>
      </c>
      <c r="B69" s="21">
        <f t="shared" si="12"/>
        <v>0.7</v>
      </c>
      <c r="C69" s="21">
        <f t="shared" si="13"/>
        <v>0.2</v>
      </c>
      <c r="D69" s="21" t="str">
        <f t="shared" si="13"/>
        <v>coal hard - RU</v>
      </c>
      <c r="E69" s="56">
        <v>0.05</v>
      </c>
      <c r="F69" t="s">
        <v>23</v>
      </c>
    </row>
    <row r="70" spans="1:7" x14ac:dyDescent="0.25">
      <c r="A70" s="54" t="s">
        <v>229</v>
      </c>
      <c r="B70" s="21">
        <f t="shared" si="12"/>
        <v>0.7</v>
      </c>
      <c r="C70" s="21">
        <f t="shared" si="13"/>
        <v>0.2</v>
      </c>
      <c r="D70" s="21" t="str">
        <f t="shared" si="13"/>
        <v>coal hard - RU</v>
      </c>
      <c r="E70" s="56">
        <v>1</v>
      </c>
      <c r="F70" t="s">
        <v>23</v>
      </c>
    </row>
    <row r="71" spans="1:7" s="67" customFormat="1" ht="15.75" thickBot="1" x14ac:dyDescent="0.3">
      <c r="A71" s="70" t="s">
        <v>230</v>
      </c>
      <c r="B71" s="66">
        <f t="shared" si="12"/>
        <v>0.7</v>
      </c>
      <c r="C71" s="66">
        <f t="shared" si="13"/>
        <v>0.2</v>
      </c>
      <c r="D71" s="66" t="str">
        <f t="shared" si="13"/>
        <v>coal hard - RU</v>
      </c>
      <c r="E71" s="69">
        <v>0.05</v>
      </c>
      <c r="F71" s="67" t="s">
        <v>184</v>
      </c>
    </row>
    <row r="72" spans="1:7" x14ac:dyDescent="0.25">
      <c r="A72" s="75" t="s">
        <v>231</v>
      </c>
      <c r="B72" s="80">
        <f>24.7/32</f>
        <v>0.77187499999999998</v>
      </c>
      <c r="C72" s="79">
        <v>0.12</v>
      </c>
      <c r="D72" s="79" t="s">
        <v>123</v>
      </c>
      <c r="E72">
        <v>0</v>
      </c>
      <c r="F72" t="s">
        <v>23</v>
      </c>
      <c r="G72" t="s">
        <v>190</v>
      </c>
    </row>
    <row r="73" spans="1:7" x14ac:dyDescent="0.25">
      <c r="A73" s="54" t="s">
        <v>232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US</v>
      </c>
      <c r="E73">
        <v>0</v>
      </c>
      <c r="F73" t="s">
        <v>23</v>
      </c>
    </row>
    <row r="74" spans="1:7" x14ac:dyDescent="0.25">
      <c r="A74" s="54" t="s">
        <v>233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US</v>
      </c>
      <c r="E74" s="56">
        <v>0.05</v>
      </c>
      <c r="F74" t="s">
        <v>23</v>
      </c>
    </row>
    <row r="75" spans="1:7" x14ac:dyDescent="0.25">
      <c r="A75" s="54" t="s">
        <v>234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US</v>
      </c>
      <c r="E75" s="56">
        <v>1</v>
      </c>
      <c r="F75" t="s">
        <v>23</v>
      </c>
    </row>
    <row r="76" spans="1:7" s="67" customFormat="1" ht="15.75" thickBot="1" x14ac:dyDescent="0.3">
      <c r="A76" s="70" t="s">
        <v>235</v>
      </c>
      <c r="B76" s="66">
        <f t="shared" si="14"/>
        <v>0.77187499999999998</v>
      </c>
      <c r="C76" s="66">
        <f t="shared" si="15"/>
        <v>0.12</v>
      </c>
      <c r="D76" s="66" t="str">
        <f t="shared" si="15"/>
        <v>coal coking - US</v>
      </c>
      <c r="E76" s="69">
        <v>0.05</v>
      </c>
      <c r="F76" s="67" t="s">
        <v>184</v>
      </c>
    </row>
    <row r="77" spans="1:7" x14ac:dyDescent="0.25">
      <c r="A77" s="75" t="s">
        <v>236</v>
      </c>
      <c r="B77" s="1">
        <v>0.7</v>
      </c>
      <c r="C77" s="81">
        <v>0.2</v>
      </c>
      <c r="D77" s="76" t="str">
        <f t="shared" ref="D77" si="16">D$7</f>
        <v>coal coking - IPCC</v>
      </c>
      <c r="E77">
        <v>0</v>
      </c>
      <c r="F77" t="s">
        <v>23</v>
      </c>
    </row>
    <row r="78" spans="1:7" x14ac:dyDescent="0.25">
      <c r="A78" s="54" t="s">
        <v>237</v>
      </c>
      <c r="B78" s="21">
        <f t="shared" ref="B78:B81" si="17">B$77</f>
        <v>0.7</v>
      </c>
      <c r="C78" s="21">
        <f t="shared" ref="C78:D81" si="18">C$77</f>
        <v>0.2</v>
      </c>
      <c r="D78" s="21" t="str">
        <f t="shared" si="18"/>
        <v>coal coking - IPCC</v>
      </c>
      <c r="E78">
        <v>0</v>
      </c>
      <c r="F78" t="s">
        <v>23</v>
      </c>
    </row>
    <row r="79" spans="1:7" x14ac:dyDescent="0.25">
      <c r="A79" s="54" t="s">
        <v>238</v>
      </c>
      <c r="B79" s="21">
        <f t="shared" si="17"/>
        <v>0.7</v>
      </c>
      <c r="C79" s="21">
        <f t="shared" si="18"/>
        <v>0.2</v>
      </c>
      <c r="D79" s="21" t="str">
        <f t="shared" si="18"/>
        <v>coal coking - IPCC</v>
      </c>
      <c r="E79" s="56">
        <v>0.05</v>
      </c>
      <c r="F79" t="s">
        <v>23</v>
      </c>
    </row>
    <row r="80" spans="1:7" x14ac:dyDescent="0.25">
      <c r="A80" s="54" t="s">
        <v>239</v>
      </c>
      <c r="B80" s="21">
        <f t="shared" si="17"/>
        <v>0.7</v>
      </c>
      <c r="C80" s="21">
        <f t="shared" si="18"/>
        <v>0.2</v>
      </c>
      <c r="D80" s="21" t="str">
        <f t="shared" si="18"/>
        <v>coal coking - IPCC</v>
      </c>
      <c r="E80" s="56">
        <v>1</v>
      </c>
      <c r="F80" t="s">
        <v>23</v>
      </c>
    </row>
    <row r="81" spans="1:6" s="67" customFormat="1" ht="15.75" thickBot="1" x14ac:dyDescent="0.3">
      <c r="A81" s="70" t="s">
        <v>240</v>
      </c>
      <c r="B81" s="66">
        <f t="shared" si="17"/>
        <v>0.7</v>
      </c>
      <c r="C81" s="66">
        <f t="shared" si="18"/>
        <v>0.2</v>
      </c>
      <c r="D81" s="66" t="str">
        <f t="shared" si="18"/>
        <v>coal coking - IPCC</v>
      </c>
      <c r="E81" s="69">
        <v>0.05</v>
      </c>
      <c r="F81" s="67" t="s">
        <v>189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85</v>
      </c>
      <c r="B1" s="38" t="s">
        <v>86</v>
      </c>
      <c r="C1" s="39" t="s">
        <v>87</v>
      </c>
      <c r="D1" s="39" t="s">
        <v>9</v>
      </c>
      <c r="E1" s="39" t="s">
        <v>88</v>
      </c>
      <c r="F1" s="39" t="s">
        <v>89</v>
      </c>
    </row>
    <row r="2" spans="1:6" x14ac:dyDescent="0.25">
      <c r="A2" s="40" t="s">
        <v>79</v>
      </c>
      <c r="B2" s="41" t="s">
        <v>90</v>
      </c>
      <c r="C2" s="42" t="s">
        <v>91</v>
      </c>
      <c r="D2" s="42" t="s">
        <v>92</v>
      </c>
      <c r="E2" s="42" t="s">
        <v>93</v>
      </c>
      <c r="F2" s="43"/>
    </row>
    <row r="3" spans="1:6" x14ac:dyDescent="0.25">
      <c r="A3" s="40" t="s">
        <v>2</v>
      </c>
      <c r="B3" s="41" t="s">
        <v>94</v>
      </c>
      <c r="C3" s="42" t="s">
        <v>95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hidden="1" x14ac:dyDescent="0.25">
      <c r="A5" s="42" t="s">
        <v>96</v>
      </c>
      <c r="B5" s="42">
        <v>0.63</v>
      </c>
      <c r="C5" s="43">
        <v>0.9</v>
      </c>
      <c r="D5" s="42">
        <v>1.05</v>
      </c>
      <c r="E5" s="43">
        <v>0</v>
      </c>
      <c r="F5" s="42" t="s">
        <v>97</v>
      </c>
    </row>
    <row r="6" spans="1:6" hidden="1" x14ac:dyDescent="0.25">
      <c r="A6" s="42" t="s">
        <v>98</v>
      </c>
      <c r="B6" s="42">
        <v>0.63</v>
      </c>
      <c r="C6" s="43">
        <v>0.9</v>
      </c>
      <c r="D6" s="42">
        <v>0.61</v>
      </c>
      <c r="E6" s="43">
        <v>3.2</v>
      </c>
      <c r="F6" s="42" t="s">
        <v>99</v>
      </c>
    </row>
    <row r="7" spans="1:6" hidden="1" x14ac:dyDescent="0.25">
      <c r="A7" s="42" t="s">
        <v>100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101</v>
      </c>
    </row>
    <row r="8" spans="1:6" hidden="1" x14ac:dyDescent="0.25">
      <c r="A8" t="s">
        <v>107</v>
      </c>
      <c r="B8" s="43">
        <v>1</v>
      </c>
      <c r="C8" s="43">
        <v>0.9</v>
      </c>
      <c r="D8" s="43">
        <v>0.5</v>
      </c>
      <c r="E8" s="43">
        <v>3</v>
      </c>
      <c r="F8" s="42" t="s">
        <v>99</v>
      </c>
    </row>
    <row r="9" spans="1:6" hidden="1" x14ac:dyDescent="0.25">
      <c r="A9" t="s">
        <v>108</v>
      </c>
      <c r="B9" s="43">
        <v>1</v>
      </c>
      <c r="C9" s="43">
        <v>0.9</v>
      </c>
      <c r="D9" s="43">
        <v>0.5</v>
      </c>
      <c r="E9" s="43">
        <v>3</v>
      </c>
      <c r="F9" s="42" t="s">
        <v>106</v>
      </c>
    </row>
    <row r="10" spans="1:6" hidden="1" x14ac:dyDescent="0.25">
      <c r="A10" t="s">
        <v>109</v>
      </c>
      <c r="B10" s="43">
        <v>1</v>
      </c>
      <c r="C10" s="43">
        <v>0.9</v>
      </c>
      <c r="D10" s="43">
        <v>0.5</v>
      </c>
      <c r="E10" s="43">
        <v>3</v>
      </c>
      <c r="F10" s="42" t="s">
        <v>106</v>
      </c>
    </row>
    <row r="11" spans="1:6" hidden="1" x14ac:dyDescent="0.25">
      <c r="A11" t="s">
        <v>110</v>
      </c>
      <c r="B11" s="43">
        <v>1</v>
      </c>
      <c r="C11" s="43">
        <v>0.9</v>
      </c>
      <c r="D11" s="43">
        <v>0.5</v>
      </c>
      <c r="E11" s="43">
        <v>3</v>
      </c>
      <c r="F11" s="42" t="s">
        <v>106</v>
      </c>
    </row>
    <row r="12" spans="1:6" hidden="1" x14ac:dyDescent="0.25">
      <c r="A12" t="s">
        <v>111</v>
      </c>
      <c r="B12" s="43">
        <v>1</v>
      </c>
      <c r="C12" s="43">
        <v>0.9</v>
      </c>
      <c r="D12" s="43">
        <v>0.5</v>
      </c>
      <c r="E12" s="43">
        <v>3</v>
      </c>
      <c r="F12" s="42" t="s">
        <v>106</v>
      </c>
    </row>
    <row r="13" spans="1:6" hidden="1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hidden="1" x14ac:dyDescent="0.25">
      <c r="A14" t="s">
        <v>131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132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133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134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127</v>
      </c>
      <c r="B18" s="43">
        <v>1</v>
      </c>
      <c r="C18" s="43">
        <v>0.9</v>
      </c>
      <c r="D18" s="43">
        <v>0.5</v>
      </c>
      <c r="E18" s="43">
        <v>3</v>
      </c>
    </row>
    <row r="19" spans="1:6" hidden="1" x14ac:dyDescent="0.25">
      <c r="A19" t="s">
        <v>151</v>
      </c>
    </row>
    <row r="20" spans="1:6" hidden="1" x14ac:dyDescent="0.25">
      <c r="A20" t="s">
        <v>158</v>
      </c>
    </row>
    <row r="21" spans="1:6" hidden="1" x14ac:dyDescent="0.25">
      <c r="A21" t="s">
        <v>152</v>
      </c>
    </row>
    <row r="22" spans="1:6" hidden="1" x14ac:dyDescent="0.25">
      <c r="A22" t="s">
        <v>143</v>
      </c>
    </row>
    <row r="23" spans="1:6" hidden="1" x14ac:dyDescent="0.25">
      <c r="A23" t="s">
        <v>153</v>
      </c>
    </row>
    <row r="24" spans="1:6" hidden="1" x14ac:dyDescent="0.25">
      <c r="A24" t="s">
        <v>156</v>
      </c>
    </row>
    <row r="25" spans="1:6" s="104" customFormat="1" x14ac:dyDescent="0.25">
      <c r="A25" s="101" t="s">
        <v>201</v>
      </c>
      <c r="B25" s="104">
        <v>1</v>
      </c>
      <c r="C25" s="104">
        <v>0.9</v>
      </c>
      <c r="D25" s="104">
        <v>0.5</v>
      </c>
      <c r="E25" s="104">
        <v>3</v>
      </c>
    </row>
    <row r="26" spans="1:6" s="1" customFormat="1" x14ac:dyDescent="0.25">
      <c r="A26" s="74" t="s">
        <v>202</v>
      </c>
      <c r="B26" s="1">
        <v>1</v>
      </c>
      <c r="C26" s="81">
        <v>0.92</v>
      </c>
      <c r="D26" s="81">
        <v>0.4</v>
      </c>
      <c r="E26" s="81">
        <v>2.5</v>
      </c>
    </row>
    <row r="27" spans="1:6" s="1" customFormat="1" x14ac:dyDescent="0.25">
      <c r="A27" s="74" t="s">
        <v>203</v>
      </c>
      <c r="B27" s="1">
        <v>1</v>
      </c>
      <c r="C27" s="81">
        <v>0.95</v>
      </c>
      <c r="D27" s="81">
        <v>0.3</v>
      </c>
      <c r="E27" s="81">
        <v>2</v>
      </c>
    </row>
    <row r="28" spans="1:6" x14ac:dyDescent="0.25">
      <c r="A28" s="55" t="s">
        <v>204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3</v>
      </c>
    </row>
    <row r="29" spans="1:6" x14ac:dyDescent="0.25">
      <c r="A29" s="55" t="s">
        <v>205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2.5</v>
      </c>
    </row>
    <row r="30" spans="1:6" x14ac:dyDescent="0.25">
      <c r="A30" s="55" t="s">
        <v>206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3</v>
      </c>
    </row>
    <row r="31" spans="1:6" x14ac:dyDescent="0.25">
      <c r="A31" s="55" t="s">
        <v>207</v>
      </c>
      <c r="B31">
        <f t="shared" ref="B31:E31" si="5">B$26</f>
        <v>1</v>
      </c>
      <c r="C31">
        <f t="shared" si="5"/>
        <v>0.92</v>
      </c>
      <c r="D31">
        <f t="shared" si="5"/>
        <v>0.4</v>
      </c>
      <c r="E31">
        <f t="shared" si="5"/>
        <v>2.5</v>
      </c>
    </row>
    <row r="32" spans="1:6" x14ac:dyDescent="0.25">
      <c r="A32" s="55" t="s">
        <v>208</v>
      </c>
      <c r="B32">
        <f>B$27</f>
        <v>1</v>
      </c>
      <c r="C32">
        <f t="shared" ref="C32:E32" si="6">C$27</f>
        <v>0.95</v>
      </c>
      <c r="D32">
        <f t="shared" si="6"/>
        <v>0.3</v>
      </c>
      <c r="E32">
        <f t="shared" si="6"/>
        <v>2</v>
      </c>
    </row>
    <row r="33" spans="1:5" x14ac:dyDescent="0.25">
      <c r="A33" s="55" t="s">
        <v>209</v>
      </c>
      <c r="B33">
        <f t="shared" ref="B33:E35" si="7">B$25</f>
        <v>1</v>
      </c>
      <c r="C33">
        <f t="shared" si="7"/>
        <v>0.9</v>
      </c>
      <c r="D33">
        <f t="shared" si="7"/>
        <v>0.5</v>
      </c>
      <c r="E33">
        <f t="shared" si="7"/>
        <v>3</v>
      </c>
    </row>
    <row r="34" spans="1:5" x14ac:dyDescent="0.25">
      <c r="A34" s="55" t="s">
        <v>210</v>
      </c>
      <c r="B34">
        <f t="shared" si="7"/>
        <v>1</v>
      </c>
      <c r="C34">
        <f t="shared" si="7"/>
        <v>0.9</v>
      </c>
      <c r="D34">
        <f t="shared" si="7"/>
        <v>0.5</v>
      </c>
      <c r="E34">
        <f t="shared" si="7"/>
        <v>3</v>
      </c>
    </row>
    <row r="35" spans="1:5" x14ac:dyDescent="0.25">
      <c r="A35" s="55" t="s">
        <v>174</v>
      </c>
      <c r="B35">
        <f t="shared" si="7"/>
        <v>1</v>
      </c>
      <c r="C35">
        <f t="shared" si="7"/>
        <v>0.9</v>
      </c>
      <c r="D35">
        <f t="shared" si="7"/>
        <v>0.5</v>
      </c>
      <c r="E35">
        <f t="shared" si="7"/>
        <v>3</v>
      </c>
    </row>
    <row r="36" spans="1:5" x14ac:dyDescent="0.25">
      <c r="A36" s="55" t="s">
        <v>175</v>
      </c>
      <c r="B36">
        <f t="shared" ref="B36:E37" si="8">B$26</f>
        <v>1</v>
      </c>
      <c r="C36">
        <f t="shared" si="8"/>
        <v>0.92</v>
      </c>
      <c r="D36">
        <f t="shared" si="8"/>
        <v>0.4</v>
      </c>
      <c r="E36">
        <f t="shared" si="8"/>
        <v>2.5</v>
      </c>
    </row>
    <row r="37" spans="1:5" x14ac:dyDescent="0.25">
      <c r="A37" s="55" t="s">
        <v>176</v>
      </c>
      <c r="B37">
        <f t="shared" si="8"/>
        <v>1</v>
      </c>
      <c r="C37">
        <f t="shared" si="8"/>
        <v>0.92</v>
      </c>
      <c r="D37">
        <f t="shared" si="8"/>
        <v>0.4</v>
      </c>
      <c r="E37">
        <f>E$26</f>
        <v>2.5</v>
      </c>
    </row>
    <row r="38" spans="1:5" x14ac:dyDescent="0.25">
      <c r="A38" s="55" t="s">
        <v>177</v>
      </c>
      <c r="B38">
        <f t="shared" ref="B38:E39" si="9">B$27</f>
        <v>1</v>
      </c>
      <c r="C38">
        <f t="shared" si="9"/>
        <v>0.95</v>
      </c>
      <c r="D38">
        <f t="shared" si="9"/>
        <v>0.3</v>
      </c>
      <c r="E38">
        <f t="shared" si="9"/>
        <v>2</v>
      </c>
    </row>
    <row r="39" spans="1:5" s="67" customFormat="1" ht="15.75" thickBot="1" x14ac:dyDescent="0.3">
      <c r="A39" s="68" t="s">
        <v>178</v>
      </c>
      <c r="B39" s="67">
        <f t="shared" si="9"/>
        <v>1</v>
      </c>
      <c r="C39" s="67">
        <f t="shared" si="9"/>
        <v>0.95</v>
      </c>
      <c r="D39" s="67">
        <f t="shared" si="9"/>
        <v>0.3</v>
      </c>
      <c r="E39" s="67">
        <f t="shared" si="9"/>
        <v>2</v>
      </c>
    </row>
    <row r="40" spans="1:5" s="1" customFormat="1" x14ac:dyDescent="0.25">
      <c r="A40" s="74" t="s">
        <v>211</v>
      </c>
      <c r="B40" s="129">
        <v>1</v>
      </c>
      <c r="C40" s="129">
        <v>0.9</v>
      </c>
      <c r="D40" s="129">
        <v>0.5</v>
      </c>
      <c r="E40" s="129">
        <v>3</v>
      </c>
    </row>
    <row r="41" spans="1:5" s="1" customFormat="1" x14ac:dyDescent="0.25">
      <c r="A41" s="74" t="s">
        <v>212</v>
      </c>
      <c r="B41" s="1">
        <v>1</v>
      </c>
      <c r="C41" s="81">
        <v>0.92</v>
      </c>
      <c r="D41" s="81">
        <v>0.4</v>
      </c>
      <c r="E41" s="81">
        <v>2.5</v>
      </c>
    </row>
    <row r="42" spans="1:5" s="1" customFormat="1" x14ac:dyDescent="0.25">
      <c r="A42" s="74" t="s">
        <v>213</v>
      </c>
      <c r="B42" s="1">
        <v>1</v>
      </c>
      <c r="C42" s="81">
        <v>0.95</v>
      </c>
      <c r="D42" s="81">
        <v>0.3</v>
      </c>
      <c r="E42" s="81">
        <v>2</v>
      </c>
    </row>
    <row r="43" spans="1:5" x14ac:dyDescent="0.25">
      <c r="A43" s="55" t="s">
        <v>214</v>
      </c>
      <c r="B43">
        <f>B$40</f>
        <v>1</v>
      </c>
      <c r="C43">
        <f t="shared" ref="C43:E43" si="10">C$40</f>
        <v>0.9</v>
      </c>
      <c r="D43">
        <f t="shared" si="10"/>
        <v>0.5</v>
      </c>
      <c r="E43">
        <f t="shared" si="10"/>
        <v>3</v>
      </c>
    </row>
    <row r="44" spans="1:5" x14ac:dyDescent="0.25">
      <c r="A44" s="55" t="s">
        <v>215</v>
      </c>
      <c r="B44">
        <f>B$41</f>
        <v>1</v>
      </c>
      <c r="C44">
        <f t="shared" ref="C44:E44" si="11">C$41</f>
        <v>0.92</v>
      </c>
      <c r="D44">
        <f t="shared" si="11"/>
        <v>0.4</v>
      </c>
      <c r="E44">
        <f t="shared" si="11"/>
        <v>2.5</v>
      </c>
    </row>
    <row r="45" spans="1:5" x14ac:dyDescent="0.25">
      <c r="A45" s="55" t="s">
        <v>216</v>
      </c>
      <c r="B45">
        <f t="shared" ref="B45:E45" si="12">B$40</f>
        <v>1</v>
      </c>
      <c r="C45">
        <f t="shared" si="12"/>
        <v>0.9</v>
      </c>
      <c r="D45">
        <f t="shared" si="12"/>
        <v>0.5</v>
      </c>
      <c r="E45">
        <f t="shared" si="12"/>
        <v>3</v>
      </c>
    </row>
    <row r="46" spans="1:5" x14ac:dyDescent="0.25">
      <c r="A46" s="55" t="s">
        <v>217</v>
      </c>
      <c r="B46">
        <f t="shared" ref="B46:E46" si="13">B$41</f>
        <v>1</v>
      </c>
      <c r="C46">
        <f t="shared" si="13"/>
        <v>0.92</v>
      </c>
      <c r="D46">
        <f t="shared" si="13"/>
        <v>0.4</v>
      </c>
      <c r="E46">
        <f t="shared" si="13"/>
        <v>2.5</v>
      </c>
    </row>
    <row r="47" spans="1:5" x14ac:dyDescent="0.25">
      <c r="A47" s="55" t="s">
        <v>218</v>
      </c>
      <c r="B47">
        <f>B$42</f>
        <v>1</v>
      </c>
      <c r="C47">
        <f t="shared" ref="C47:E47" si="14">C$42</f>
        <v>0.95</v>
      </c>
      <c r="D47">
        <f t="shared" si="14"/>
        <v>0.3</v>
      </c>
      <c r="E47">
        <f t="shared" si="14"/>
        <v>2</v>
      </c>
    </row>
    <row r="48" spans="1:5" x14ac:dyDescent="0.25">
      <c r="A48" s="55" t="s">
        <v>219</v>
      </c>
      <c r="B48">
        <f t="shared" ref="B48:E50" si="15">B$40</f>
        <v>1</v>
      </c>
      <c r="C48">
        <f t="shared" si="15"/>
        <v>0.9</v>
      </c>
      <c r="D48">
        <f t="shared" si="15"/>
        <v>0.5</v>
      </c>
      <c r="E48">
        <f t="shared" si="15"/>
        <v>3</v>
      </c>
    </row>
    <row r="49" spans="1:5" x14ac:dyDescent="0.25">
      <c r="A49" s="55" t="s">
        <v>220</v>
      </c>
      <c r="B49">
        <f t="shared" si="15"/>
        <v>1</v>
      </c>
      <c r="C49">
        <f t="shared" si="15"/>
        <v>0.9</v>
      </c>
      <c r="D49">
        <f t="shared" si="15"/>
        <v>0.5</v>
      </c>
      <c r="E49">
        <f t="shared" si="15"/>
        <v>3</v>
      </c>
    </row>
    <row r="50" spans="1:5" x14ac:dyDescent="0.25">
      <c r="A50" s="55" t="s">
        <v>179</v>
      </c>
      <c r="B50">
        <f t="shared" si="15"/>
        <v>1</v>
      </c>
      <c r="C50">
        <f t="shared" si="15"/>
        <v>0.9</v>
      </c>
      <c r="D50">
        <f t="shared" si="15"/>
        <v>0.5</v>
      </c>
      <c r="E50">
        <f t="shared" si="15"/>
        <v>3</v>
      </c>
    </row>
    <row r="51" spans="1:5" x14ac:dyDescent="0.25">
      <c r="A51" s="55" t="s">
        <v>180</v>
      </c>
      <c r="B51">
        <f t="shared" ref="B51:E52" si="16">B$41</f>
        <v>1</v>
      </c>
      <c r="C51">
        <f t="shared" si="16"/>
        <v>0.92</v>
      </c>
      <c r="D51">
        <f t="shared" si="16"/>
        <v>0.4</v>
      </c>
      <c r="E51">
        <f t="shared" si="16"/>
        <v>2.5</v>
      </c>
    </row>
    <row r="52" spans="1:5" x14ac:dyDescent="0.25">
      <c r="A52" s="55" t="s">
        <v>181</v>
      </c>
      <c r="B52">
        <f t="shared" si="16"/>
        <v>1</v>
      </c>
      <c r="C52">
        <f t="shared" si="16"/>
        <v>0.92</v>
      </c>
      <c r="D52">
        <f t="shared" si="16"/>
        <v>0.4</v>
      </c>
      <c r="E52">
        <f t="shared" si="16"/>
        <v>2.5</v>
      </c>
    </row>
    <row r="53" spans="1:5" x14ac:dyDescent="0.25">
      <c r="A53" s="55" t="s">
        <v>182</v>
      </c>
      <c r="B53">
        <f t="shared" ref="B53:E54" si="17">B$42</f>
        <v>1</v>
      </c>
      <c r="C53">
        <f t="shared" si="17"/>
        <v>0.95</v>
      </c>
      <c r="D53">
        <f t="shared" si="17"/>
        <v>0.3</v>
      </c>
      <c r="E53">
        <f t="shared" si="17"/>
        <v>2</v>
      </c>
    </row>
    <row r="54" spans="1:5" s="67" customFormat="1" ht="15.75" thickBot="1" x14ac:dyDescent="0.3">
      <c r="A54" s="68" t="s">
        <v>183</v>
      </c>
      <c r="B54" s="67">
        <f t="shared" si="17"/>
        <v>1</v>
      </c>
      <c r="C54" s="67">
        <f t="shared" si="17"/>
        <v>0.95</v>
      </c>
      <c r="D54" s="67">
        <f t="shared" si="17"/>
        <v>0.3</v>
      </c>
      <c r="E54" s="67">
        <f t="shared" si="17"/>
        <v>2</v>
      </c>
    </row>
    <row r="55" spans="1:5" s="1" customFormat="1" x14ac:dyDescent="0.25">
      <c r="A55" s="74" t="s">
        <v>221</v>
      </c>
      <c r="B55" s="129">
        <v>1</v>
      </c>
      <c r="C55" s="129">
        <v>0.9</v>
      </c>
      <c r="D55" s="129">
        <v>0.5</v>
      </c>
      <c r="E55" s="129">
        <v>3</v>
      </c>
    </row>
    <row r="56" spans="1:5" x14ac:dyDescent="0.25">
      <c r="A56" s="55" t="s">
        <v>222</v>
      </c>
      <c r="B56">
        <f>B$55</f>
        <v>1</v>
      </c>
      <c r="C56">
        <f t="shared" ref="C56:E59" si="18">C$55</f>
        <v>0.9</v>
      </c>
      <c r="D56">
        <f t="shared" si="18"/>
        <v>0.5</v>
      </c>
      <c r="E56">
        <f t="shared" si="18"/>
        <v>3</v>
      </c>
    </row>
    <row r="57" spans="1:5" x14ac:dyDescent="0.25">
      <c r="A57" s="55" t="s">
        <v>223</v>
      </c>
      <c r="B57">
        <f t="shared" ref="B57:B59" si="19">B$55</f>
        <v>1</v>
      </c>
      <c r="C57">
        <f t="shared" si="18"/>
        <v>0.9</v>
      </c>
      <c r="D57">
        <f t="shared" si="18"/>
        <v>0.5</v>
      </c>
      <c r="E57">
        <f t="shared" si="18"/>
        <v>3</v>
      </c>
    </row>
    <row r="58" spans="1:5" x14ac:dyDescent="0.25">
      <c r="A58" s="55" t="s">
        <v>224</v>
      </c>
      <c r="B58">
        <f t="shared" si="19"/>
        <v>1</v>
      </c>
      <c r="C58">
        <f t="shared" si="18"/>
        <v>0.9</v>
      </c>
      <c r="D58">
        <f t="shared" si="18"/>
        <v>0.5</v>
      </c>
      <c r="E58">
        <f t="shared" si="18"/>
        <v>3</v>
      </c>
    </row>
    <row r="59" spans="1:5" s="67" customFormat="1" ht="15.75" thickBot="1" x14ac:dyDescent="0.3">
      <c r="A59" s="68" t="s">
        <v>225</v>
      </c>
      <c r="B59" s="67">
        <f t="shared" si="19"/>
        <v>1</v>
      </c>
      <c r="C59" s="67">
        <f t="shared" si="18"/>
        <v>0.9</v>
      </c>
      <c r="D59" s="67">
        <f t="shared" si="18"/>
        <v>0.5</v>
      </c>
      <c r="E59" s="67">
        <f t="shared" si="18"/>
        <v>3</v>
      </c>
    </row>
    <row r="60" spans="1:5" s="1" customFormat="1" x14ac:dyDescent="0.25">
      <c r="A60" s="74" t="s">
        <v>226</v>
      </c>
      <c r="B60" s="129">
        <v>1</v>
      </c>
      <c r="C60" s="129">
        <v>0.9</v>
      </c>
      <c r="D60" s="129">
        <v>0.5</v>
      </c>
      <c r="E60" s="129">
        <v>3</v>
      </c>
    </row>
    <row r="61" spans="1:5" x14ac:dyDescent="0.25">
      <c r="A61" s="55" t="s">
        <v>227</v>
      </c>
      <c r="B61">
        <f>B$60</f>
        <v>1</v>
      </c>
      <c r="C61">
        <f t="shared" ref="C61:E64" si="20">C$60</f>
        <v>0.9</v>
      </c>
      <c r="D61">
        <f t="shared" si="20"/>
        <v>0.5</v>
      </c>
      <c r="E61">
        <f t="shared" si="20"/>
        <v>3</v>
      </c>
    </row>
    <row r="62" spans="1:5" x14ac:dyDescent="0.25">
      <c r="A62" s="55" t="s">
        <v>228</v>
      </c>
      <c r="B62">
        <f t="shared" ref="B62:B64" si="21">B$60</f>
        <v>1</v>
      </c>
      <c r="C62">
        <f t="shared" si="20"/>
        <v>0.9</v>
      </c>
      <c r="D62">
        <f t="shared" si="20"/>
        <v>0.5</v>
      </c>
      <c r="E62">
        <f t="shared" si="20"/>
        <v>3</v>
      </c>
    </row>
    <row r="63" spans="1:5" x14ac:dyDescent="0.25">
      <c r="A63" s="55" t="s">
        <v>229</v>
      </c>
      <c r="B63">
        <f t="shared" si="21"/>
        <v>1</v>
      </c>
      <c r="C63">
        <f t="shared" si="20"/>
        <v>0.9</v>
      </c>
      <c r="D63">
        <f t="shared" si="20"/>
        <v>0.5</v>
      </c>
      <c r="E63">
        <f t="shared" si="20"/>
        <v>3</v>
      </c>
    </row>
    <row r="64" spans="1:5" s="67" customFormat="1" ht="15.75" thickBot="1" x14ac:dyDescent="0.3">
      <c r="A64" s="68" t="s">
        <v>230</v>
      </c>
      <c r="B64" s="67">
        <f t="shared" si="21"/>
        <v>1</v>
      </c>
      <c r="C64" s="67">
        <f t="shared" si="20"/>
        <v>0.9</v>
      </c>
      <c r="D64" s="67">
        <f t="shared" si="20"/>
        <v>0.5</v>
      </c>
      <c r="E64" s="67">
        <f t="shared" si="20"/>
        <v>3</v>
      </c>
    </row>
    <row r="65" spans="1:5" s="1" customFormat="1" x14ac:dyDescent="0.25">
      <c r="A65" s="74" t="s">
        <v>231</v>
      </c>
      <c r="B65" s="129">
        <v>1</v>
      </c>
      <c r="C65" s="129">
        <v>0.9</v>
      </c>
      <c r="D65" s="129">
        <v>0.5</v>
      </c>
      <c r="E65" s="129">
        <v>3</v>
      </c>
    </row>
    <row r="66" spans="1:5" x14ac:dyDescent="0.25">
      <c r="A66" s="55" t="s">
        <v>232</v>
      </c>
      <c r="B66" s="62">
        <f>B$65</f>
        <v>1</v>
      </c>
      <c r="C66" s="62">
        <f t="shared" ref="C66:E69" si="22">C$65</f>
        <v>0.9</v>
      </c>
      <c r="D66" s="62">
        <f t="shared" si="22"/>
        <v>0.5</v>
      </c>
      <c r="E66" s="62">
        <f t="shared" si="22"/>
        <v>3</v>
      </c>
    </row>
    <row r="67" spans="1:5" x14ac:dyDescent="0.25">
      <c r="A67" s="55" t="s">
        <v>233</v>
      </c>
      <c r="B67" s="62">
        <f t="shared" ref="B67:B69" si="23">B$65</f>
        <v>1</v>
      </c>
      <c r="C67" s="62">
        <f t="shared" si="22"/>
        <v>0.9</v>
      </c>
      <c r="D67" s="62">
        <f t="shared" si="22"/>
        <v>0.5</v>
      </c>
      <c r="E67" s="62">
        <f t="shared" si="22"/>
        <v>3</v>
      </c>
    </row>
    <row r="68" spans="1:5" x14ac:dyDescent="0.25">
      <c r="A68" s="55" t="s">
        <v>234</v>
      </c>
      <c r="B68" s="62">
        <f t="shared" si="23"/>
        <v>1</v>
      </c>
      <c r="C68" s="62">
        <f t="shared" si="22"/>
        <v>0.9</v>
      </c>
      <c r="D68" s="62">
        <f t="shared" si="22"/>
        <v>0.5</v>
      </c>
      <c r="E68" s="62">
        <f t="shared" si="22"/>
        <v>3</v>
      </c>
    </row>
    <row r="69" spans="1:5" s="67" customFormat="1" ht="15.75" thickBot="1" x14ac:dyDescent="0.3">
      <c r="A69" s="68" t="s">
        <v>235</v>
      </c>
      <c r="B69" s="86">
        <f t="shared" si="23"/>
        <v>1</v>
      </c>
      <c r="C69" s="86">
        <f t="shared" si="22"/>
        <v>0.9</v>
      </c>
      <c r="D69" s="86">
        <f t="shared" si="22"/>
        <v>0.5</v>
      </c>
      <c r="E69" s="86">
        <f t="shared" si="22"/>
        <v>3</v>
      </c>
    </row>
    <row r="70" spans="1:5" s="1" customFormat="1" x14ac:dyDescent="0.25">
      <c r="A70" s="74" t="s">
        <v>236</v>
      </c>
      <c r="B70" s="129">
        <v>1</v>
      </c>
      <c r="C70" s="129">
        <v>0.9</v>
      </c>
      <c r="D70" s="129">
        <v>0.5</v>
      </c>
      <c r="E70" s="129">
        <v>3</v>
      </c>
    </row>
    <row r="71" spans="1:5" x14ac:dyDescent="0.25">
      <c r="A71" s="55" t="s">
        <v>237</v>
      </c>
      <c r="B71" s="62">
        <f>B$70</f>
        <v>1</v>
      </c>
      <c r="C71" s="62">
        <f t="shared" ref="C71:E74" si="24">C$70</f>
        <v>0.9</v>
      </c>
      <c r="D71" s="62">
        <f t="shared" si="24"/>
        <v>0.5</v>
      </c>
      <c r="E71" s="62">
        <f t="shared" si="24"/>
        <v>3</v>
      </c>
    </row>
    <row r="72" spans="1:5" x14ac:dyDescent="0.25">
      <c r="A72" s="55" t="s">
        <v>238</v>
      </c>
      <c r="B72" s="62">
        <f t="shared" ref="B72:B74" si="25">B$70</f>
        <v>1</v>
      </c>
      <c r="C72" s="62">
        <f t="shared" si="24"/>
        <v>0.9</v>
      </c>
      <c r="D72" s="62">
        <f t="shared" si="24"/>
        <v>0.5</v>
      </c>
      <c r="E72" s="62">
        <f t="shared" si="24"/>
        <v>3</v>
      </c>
    </row>
    <row r="73" spans="1:5" x14ac:dyDescent="0.25">
      <c r="A73" s="55" t="s">
        <v>239</v>
      </c>
      <c r="B73" s="62">
        <f t="shared" si="25"/>
        <v>1</v>
      </c>
      <c r="C73" s="62">
        <f t="shared" si="24"/>
        <v>0.9</v>
      </c>
      <c r="D73" s="62">
        <f t="shared" si="24"/>
        <v>0.5</v>
      </c>
      <c r="E73" s="62">
        <f t="shared" si="24"/>
        <v>3</v>
      </c>
    </row>
    <row r="74" spans="1:5" s="67" customFormat="1" ht="15.75" thickBot="1" x14ac:dyDescent="0.3">
      <c r="A74" s="68" t="s">
        <v>240</v>
      </c>
      <c r="B74" s="86">
        <f t="shared" si="25"/>
        <v>1</v>
      </c>
      <c r="C74" s="86">
        <f t="shared" si="24"/>
        <v>0.9</v>
      </c>
      <c r="D74" s="86">
        <f t="shared" si="24"/>
        <v>0.5</v>
      </c>
      <c r="E74" s="86">
        <f t="shared" si="24"/>
        <v>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85</v>
      </c>
      <c r="B1" t="s">
        <v>102</v>
      </c>
      <c r="C1" t="s">
        <v>103</v>
      </c>
    </row>
    <row r="2" spans="1:3" x14ac:dyDescent="0.25">
      <c r="A2" s="40" t="s">
        <v>79</v>
      </c>
      <c r="B2" t="s">
        <v>104</v>
      </c>
      <c r="C2" t="s">
        <v>105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0.01</v>
      </c>
      <c r="C4">
        <v>0</v>
      </c>
    </row>
    <row r="5" spans="1:3" hidden="1" x14ac:dyDescent="0.25">
      <c r="A5" t="s">
        <v>107</v>
      </c>
      <c r="B5">
        <v>0.01</v>
      </c>
      <c r="C5">
        <v>0</v>
      </c>
    </row>
    <row r="6" spans="1:3" hidden="1" x14ac:dyDescent="0.25">
      <c r="A6" t="s">
        <v>108</v>
      </c>
      <c r="B6">
        <v>0.01</v>
      </c>
      <c r="C6">
        <v>0</v>
      </c>
    </row>
    <row r="7" spans="1:3" hidden="1" x14ac:dyDescent="0.25">
      <c r="A7" t="s">
        <v>109</v>
      </c>
      <c r="B7">
        <v>0.01</v>
      </c>
      <c r="C7">
        <v>0</v>
      </c>
    </row>
    <row r="8" spans="1:3" hidden="1" x14ac:dyDescent="0.25">
      <c r="A8" t="s">
        <v>110</v>
      </c>
      <c r="B8">
        <v>0.01</v>
      </c>
      <c r="C8">
        <v>0</v>
      </c>
    </row>
    <row r="9" spans="1:3" hidden="1" x14ac:dyDescent="0.25">
      <c r="A9" t="s">
        <v>111</v>
      </c>
      <c r="B9">
        <v>0.01</v>
      </c>
      <c r="C9">
        <v>0</v>
      </c>
    </row>
    <row r="10" spans="1:3" hidden="1" x14ac:dyDescent="0.25">
      <c r="A10" t="s">
        <v>56</v>
      </c>
      <c r="B10">
        <v>0.01</v>
      </c>
      <c r="C10">
        <v>0</v>
      </c>
    </row>
    <row r="11" spans="1:3" hidden="1" x14ac:dyDescent="0.25">
      <c r="A11" t="s">
        <v>131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132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133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134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127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151</v>
      </c>
    </row>
    <row r="17" spans="1:3" hidden="1" x14ac:dyDescent="0.25">
      <c r="A17" t="s">
        <v>158</v>
      </c>
    </row>
    <row r="18" spans="1:3" hidden="1" x14ac:dyDescent="0.25">
      <c r="A18" t="s">
        <v>152</v>
      </c>
    </row>
    <row r="19" spans="1:3" hidden="1" x14ac:dyDescent="0.25">
      <c r="A19" t="s">
        <v>143</v>
      </c>
    </row>
    <row r="20" spans="1:3" hidden="1" x14ac:dyDescent="0.25">
      <c r="A20" t="s">
        <v>153</v>
      </c>
    </row>
    <row r="21" spans="1:3" hidden="1" x14ac:dyDescent="0.25">
      <c r="A21" t="s">
        <v>156</v>
      </c>
    </row>
    <row r="22" spans="1:3" s="104" customFormat="1" x14ac:dyDescent="0.25">
      <c r="A22" s="101" t="s">
        <v>201</v>
      </c>
      <c r="B22" s="110">
        <v>0.01</v>
      </c>
      <c r="C22" s="110">
        <v>0</v>
      </c>
    </row>
    <row r="23" spans="1:3" s="1" customFormat="1" x14ac:dyDescent="0.25">
      <c r="A23" s="74" t="s">
        <v>202</v>
      </c>
      <c r="B23" s="81">
        <v>0.01</v>
      </c>
      <c r="C23" s="81">
        <v>0</v>
      </c>
    </row>
    <row r="24" spans="1:3" s="1" customFormat="1" x14ac:dyDescent="0.25">
      <c r="A24" s="74" t="s">
        <v>203</v>
      </c>
      <c r="B24" s="81">
        <v>0.01</v>
      </c>
      <c r="C24" s="81">
        <v>0</v>
      </c>
    </row>
    <row r="25" spans="1:3" x14ac:dyDescent="0.25">
      <c r="A25" s="55" t="s">
        <v>204</v>
      </c>
      <c r="B25">
        <f>B$22</f>
        <v>0.01</v>
      </c>
      <c r="C25">
        <f>C$22</f>
        <v>0</v>
      </c>
    </row>
    <row r="26" spans="1:3" x14ac:dyDescent="0.25">
      <c r="A26" s="55" t="s">
        <v>205</v>
      </c>
      <c r="B26">
        <f>B$23</f>
        <v>0.01</v>
      </c>
      <c r="C26">
        <f>C$23</f>
        <v>0</v>
      </c>
    </row>
    <row r="27" spans="1:3" x14ac:dyDescent="0.25">
      <c r="A27" s="55" t="s">
        <v>206</v>
      </c>
      <c r="B27">
        <f>B$22</f>
        <v>0.01</v>
      </c>
      <c r="C27">
        <f>C$22</f>
        <v>0</v>
      </c>
    </row>
    <row r="28" spans="1:3" x14ac:dyDescent="0.25">
      <c r="A28" s="55" t="s">
        <v>207</v>
      </c>
      <c r="B28">
        <f>B$23</f>
        <v>0.01</v>
      </c>
      <c r="C28">
        <f>C$23</f>
        <v>0</v>
      </c>
    </row>
    <row r="29" spans="1:3" x14ac:dyDescent="0.25">
      <c r="A29" s="55" t="s">
        <v>208</v>
      </c>
      <c r="B29">
        <f>B$24</f>
        <v>0.01</v>
      </c>
      <c r="C29">
        <f>C$24</f>
        <v>0</v>
      </c>
    </row>
    <row r="30" spans="1:3" x14ac:dyDescent="0.25">
      <c r="A30" s="55" t="s">
        <v>209</v>
      </c>
      <c r="B30">
        <f t="shared" ref="B30:C32" si="2">B$22</f>
        <v>0.01</v>
      </c>
      <c r="C30">
        <f t="shared" si="2"/>
        <v>0</v>
      </c>
    </row>
    <row r="31" spans="1:3" x14ac:dyDescent="0.25">
      <c r="A31" s="55" t="s">
        <v>210</v>
      </c>
      <c r="B31">
        <f t="shared" si="2"/>
        <v>0.01</v>
      </c>
      <c r="C31">
        <f t="shared" si="2"/>
        <v>0</v>
      </c>
    </row>
    <row r="32" spans="1:3" x14ac:dyDescent="0.25">
      <c r="A32" s="55" t="s">
        <v>174</v>
      </c>
      <c r="B32">
        <f t="shared" si="2"/>
        <v>0.01</v>
      </c>
      <c r="C32">
        <f t="shared" si="2"/>
        <v>0</v>
      </c>
    </row>
    <row r="33" spans="1:3" x14ac:dyDescent="0.25">
      <c r="A33" s="55" t="s">
        <v>175</v>
      </c>
      <c r="B33">
        <f t="shared" ref="B33:C34" si="3">B$23</f>
        <v>0.01</v>
      </c>
      <c r="C33">
        <f t="shared" si="3"/>
        <v>0</v>
      </c>
    </row>
    <row r="34" spans="1:3" x14ac:dyDescent="0.25">
      <c r="A34" s="55" t="s">
        <v>176</v>
      </c>
      <c r="B34">
        <f t="shared" si="3"/>
        <v>0.01</v>
      </c>
      <c r="C34">
        <f t="shared" si="3"/>
        <v>0</v>
      </c>
    </row>
    <row r="35" spans="1:3" x14ac:dyDescent="0.25">
      <c r="A35" s="55" t="s">
        <v>177</v>
      </c>
      <c r="B35">
        <f t="shared" ref="B35:C36" si="4">B$24</f>
        <v>0.01</v>
      </c>
      <c r="C35">
        <f t="shared" si="4"/>
        <v>0</v>
      </c>
    </row>
    <row r="36" spans="1:3" s="67" customFormat="1" ht="15.75" thickBot="1" x14ac:dyDescent="0.3">
      <c r="A36" s="68" t="s">
        <v>178</v>
      </c>
      <c r="B36" s="67">
        <f t="shared" si="4"/>
        <v>0.01</v>
      </c>
      <c r="C36" s="67">
        <f t="shared" si="4"/>
        <v>0</v>
      </c>
    </row>
    <row r="37" spans="1:3" s="1" customFormat="1" x14ac:dyDescent="0.25">
      <c r="A37" s="74" t="s">
        <v>211</v>
      </c>
      <c r="B37" s="115">
        <v>0.01</v>
      </c>
      <c r="C37" s="115">
        <v>0</v>
      </c>
    </row>
    <row r="38" spans="1:3" s="1" customFormat="1" x14ac:dyDescent="0.25">
      <c r="A38" s="74" t="s">
        <v>212</v>
      </c>
      <c r="B38" s="81">
        <v>0.01</v>
      </c>
      <c r="C38" s="81">
        <v>0</v>
      </c>
    </row>
    <row r="39" spans="1:3" s="1" customFormat="1" x14ac:dyDescent="0.25">
      <c r="A39" s="74" t="s">
        <v>213</v>
      </c>
      <c r="B39" s="81">
        <v>0.01</v>
      </c>
      <c r="C39" s="81">
        <v>0</v>
      </c>
    </row>
    <row r="40" spans="1:3" x14ac:dyDescent="0.25">
      <c r="A40" s="55" t="s">
        <v>214</v>
      </c>
      <c r="B40">
        <f>B$37</f>
        <v>0.01</v>
      </c>
      <c r="C40">
        <f>C$37</f>
        <v>0</v>
      </c>
    </row>
    <row r="41" spans="1:3" x14ac:dyDescent="0.25">
      <c r="A41" s="55" t="s">
        <v>215</v>
      </c>
      <c r="B41">
        <f>B$38</f>
        <v>0.01</v>
      </c>
      <c r="C41">
        <f>C$38</f>
        <v>0</v>
      </c>
    </row>
    <row r="42" spans="1:3" x14ac:dyDescent="0.25">
      <c r="A42" s="55" t="s">
        <v>216</v>
      </c>
      <c r="B42">
        <f>B$37</f>
        <v>0.01</v>
      </c>
      <c r="C42">
        <f>C$37</f>
        <v>0</v>
      </c>
    </row>
    <row r="43" spans="1:3" x14ac:dyDescent="0.25">
      <c r="A43" s="55" t="s">
        <v>217</v>
      </c>
      <c r="B43">
        <f>B$38</f>
        <v>0.01</v>
      </c>
      <c r="C43">
        <f>C$38</f>
        <v>0</v>
      </c>
    </row>
    <row r="44" spans="1:3" x14ac:dyDescent="0.25">
      <c r="A44" s="55" t="s">
        <v>218</v>
      </c>
      <c r="B44">
        <f>B$39</f>
        <v>0.01</v>
      </c>
      <c r="C44">
        <f>C$39</f>
        <v>0</v>
      </c>
    </row>
    <row r="45" spans="1:3" x14ac:dyDescent="0.25">
      <c r="A45" s="55" t="s">
        <v>219</v>
      </c>
      <c r="B45">
        <f t="shared" ref="B45:C47" si="5">B$37</f>
        <v>0.01</v>
      </c>
      <c r="C45">
        <f t="shared" si="5"/>
        <v>0</v>
      </c>
    </row>
    <row r="46" spans="1:3" x14ac:dyDescent="0.25">
      <c r="A46" s="55" t="s">
        <v>220</v>
      </c>
      <c r="B46">
        <f t="shared" si="5"/>
        <v>0.01</v>
      </c>
      <c r="C46">
        <f t="shared" si="5"/>
        <v>0</v>
      </c>
    </row>
    <row r="47" spans="1:3" x14ac:dyDescent="0.25">
      <c r="A47" s="55" t="s">
        <v>179</v>
      </c>
      <c r="B47">
        <f t="shared" si="5"/>
        <v>0.01</v>
      </c>
      <c r="C47">
        <f t="shared" si="5"/>
        <v>0</v>
      </c>
    </row>
    <row r="48" spans="1:3" x14ac:dyDescent="0.25">
      <c r="A48" s="55" t="s">
        <v>180</v>
      </c>
      <c r="B48">
        <f t="shared" ref="B48:C49" si="6">B$38</f>
        <v>0.01</v>
      </c>
      <c r="C48">
        <f t="shared" si="6"/>
        <v>0</v>
      </c>
    </row>
    <row r="49" spans="1:3" x14ac:dyDescent="0.25">
      <c r="A49" s="55" t="s">
        <v>181</v>
      </c>
      <c r="B49">
        <f t="shared" si="6"/>
        <v>0.01</v>
      </c>
      <c r="C49">
        <f t="shared" si="6"/>
        <v>0</v>
      </c>
    </row>
    <row r="50" spans="1:3" x14ac:dyDescent="0.25">
      <c r="A50" s="55" t="s">
        <v>182</v>
      </c>
      <c r="B50">
        <f t="shared" ref="B50:C51" si="7">B$39</f>
        <v>0.01</v>
      </c>
      <c r="C50">
        <f t="shared" si="7"/>
        <v>0</v>
      </c>
    </row>
    <row r="51" spans="1:3" s="67" customFormat="1" ht="15.75" thickBot="1" x14ac:dyDescent="0.3">
      <c r="A51" s="68" t="s">
        <v>183</v>
      </c>
      <c r="B51" s="67">
        <f t="shared" si="7"/>
        <v>0.01</v>
      </c>
      <c r="C51" s="67">
        <f t="shared" si="7"/>
        <v>0</v>
      </c>
    </row>
    <row r="52" spans="1:3" s="1" customFormat="1" x14ac:dyDescent="0.25">
      <c r="A52" s="74" t="s">
        <v>221</v>
      </c>
      <c r="B52" s="81">
        <v>0.01</v>
      </c>
      <c r="C52" s="81">
        <v>0</v>
      </c>
    </row>
    <row r="53" spans="1:3" x14ac:dyDescent="0.25">
      <c r="A53" s="55" t="s">
        <v>222</v>
      </c>
      <c r="B53">
        <f>B$52</f>
        <v>0.01</v>
      </c>
      <c r="C53">
        <f t="shared" ref="C53:C56" si="8">C$52</f>
        <v>0</v>
      </c>
    </row>
    <row r="54" spans="1:3" x14ac:dyDescent="0.25">
      <c r="A54" s="55" t="s">
        <v>223</v>
      </c>
      <c r="B54">
        <f t="shared" ref="B54:B56" si="9">B$52</f>
        <v>0.01</v>
      </c>
      <c r="C54">
        <f t="shared" si="8"/>
        <v>0</v>
      </c>
    </row>
    <row r="55" spans="1:3" x14ac:dyDescent="0.25">
      <c r="A55" s="55" t="s">
        <v>224</v>
      </c>
      <c r="B55">
        <f t="shared" si="9"/>
        <v>0.01</v>
      </c>
      <c r="C55">
        <f t="shared" si="8"/>
        <v>0</v>
      </c>
    </row>
    <row r="56" spans="1:3" s="67" customFormat="1" ht="15.75" thickBot="1" x14ac:dyDescent="0.3">
      <c r="A56" s="68" t="s">
        <v>225</v>
      </c>
      <c r="B56" s="67">
        <f t="shared" si="9"/>
        <v>0.01</v>
      </c>
      <c r="C56" s="67">
        <f t="shared" si="8"/>
        <v>0</v>
      </c>
    </row>
    <row r="57" spans="1:3" s="1" customFormat="1" x14ac:dyDescent="0.25">
      <c r="A57" s="74" t="s">
        <v>226</v>
      </c>
      <c r="B57" s="81">
        <v>0.01</v>
      </c>
      <c r="C57" s="81">
        <v>0</v>
      </c>
    </row>
    <row r="58" spans="1:3" x14ac:dyDescent="0.25">
      <c r="A58" s="55" t="s">
        <v>227</v>
      </c>
      <c r="B58">
        <f>B$57</f>
        <v>0.01</v>
      </c>
      <c r="C58">
        <f t="shared" ref="C58:C61" si="10">C$57</f>
        <v>0</v>
      </c>
    </row>
    <row r="59" spans="1:3" x14ac:dyDescent="0.25">
      <c r="A59" s="55" t="s">
        <v>228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5" t="s">
        <v>229</v>
      </c>
      <c r="B60">
        <f t="shared" si="11"/>
        <v>0.01</v>
      </c>
      <c r="C60">
        <f t="shared" si="10"/>
        <v>0</v>
      </c>
    </row>
    <row r="61" spans="1:3" s="67" customFormat="1" ht="15.75" thickBot="1" x14ac:dyDescent="0.3">
      <c r="A61" s="68" t="s">
        <v>230</v>
      </c>
      <c r="B61" s="67">
        <f t="shared" si="11"/>
        <v>0.01</v>
      </c>
      <c r="C61" s="67">
        <f t="shared" si="10"/>
        <v>0</v>
      </c>
    </row>
    <row r="62" spans="1:3" s="1" customFormat="1" x14ac:dyDescent="0.25">
      <c r="A62" s="74" t="s">
        <v>231</v>
      </c>
      <c r="B62" s="81">
        <v>0.01</v>
      </c>
      <c r="C62" s="81">
        <v>0</v>
      </c>
    </row>
    <row r="63" spans="1:3" x14ac:dyDescent="0.25">
      <c r="A63" s="55" t="s">
        <v>232</v>
      </c>
      <c r="B63">
        <f>B$62</f>
        <v>0.01</v>
      </c>
      <c r="C63">
        <f t="shared" ref="C63:C66" si="12">C$62</f>
        <v>0</v>
      </c>
    </row>
    <row r="64" spans="1:3" x14ac:dyDescent="0.25">
      <c r="A64" s="55" t="s">
        <v>233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5" t="s">
        <v>234</v>
      </c>
      <c r="B65">
        <f t="shared" si="13"/>
        <v>0.01</v>
      </c>
      <c r="C65">
        <f t="shared" si="12"/>
        <v>0</v>
      </c>
    </row>
    <row r="66" spans="1:3" s="67" customFormat="1" ht="15.75" thickBot="1" x14ac:dyDescent="0.3">
      <c r="A66" s="68" t="s">
        <v>235</v>
      </c>
      <c r="B66" s="67">
        <f t="shared" si="13"/>
        <v>0.01</v>
      </c>
      <c r="C66" s="67">
        <f t="shared" si="12"/>
        <v>0</v>
      </c>
    </row>
    <row r="67" spans="1:3" s="1" customFormat="1" x14ac:dyDescent="0.25">
      <c r="A67" s="74" t="s">
        <v>236</v>
      </c>
      <c r="B67" s="81">
        <v>0.01</v>
      </c>
      <c r="C67" s="81">
        <v>0</v>
      </c>
    </row>
    <row r="68" spans="1:3" x14ac:dyDescent="0.25">
      <c r="A68" s="55" t="s">
        <v>237</v>
      </c>
      <c r="B68">
        <f>B$67</f>
        <v>0.01</v>
      </c>
      <c r="C68">
        <f t="shared" ref="C68:C71" si="14">C$67</f>
        <v>0</v>
      </c>
    </row>
    <row r="69" spans="1:3" x14ac:dyDescent="0.25">
      <c r="A69" s="55" t="s">
        <v>238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5" t="s">
        <v>239</v>
      </c>
      <c r="B70">
        <f t="shared" si="15"/>
        <v>0.01</v>
      </c>
      <c r="C70">
        <f t="shared" si="14"/>
        <v>0</v>
      </c>
    </row>
    <row r="71" spans="1:3" s="67" customFormat="1" ht="15.75" thickBot="1" x14ac:dyDescent="0.3">
      <c r="A71" s="68" t="s">
        <v>240</v>
      </c>
      <c r="B71" s="67">
        <f t="shared" si="15"/>
        <v>0.01</v>
      </c>
      <c r="C71" s="67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55" sqref="D55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41" customFormat="1" x14ac:dyDescent="0.25">
      <c r="A4" s="141" t="s">
        <v>3</v>
      </c>
      <c r="B4" s="142" t="s">
        <v>67</v>
      </c>
      <c r="C4" s="143" t="s">
        <v>23</v>
      </c>
      <c r="D4" s="143" t="s">
        <v>69</v>
      </c>
    </row>
    <row r="5" spans="1:4" hidden="1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hidden="1" x14ac:dyDescent="0.25">
      <c r="A6" t="s">
        <v>107</v>
      </c>
      <c r="B6" s="45" t="s">
        <v>67</v>
      </c>
      <c r="C6" s="23" t="s">
        <v>23</v>
      </c>
      <c r="D6" s="23" t="s">
        <v>69</v>
      </c>
    </row>
    <row r="7" spans="1:4" hidden="1" x14ac:dyDescent="0.25">
      <c r="A7" t="s">
        <v>108</v>
      </c>
      <c r="B7" s="45" t="s">
        <v>67</v>
      </c>
      <c r="C7" s="23" t="s">
        <v>23</v>
      </c>
      <c r="D7" s="23" t="s">
        <v>69</v>
      </c>
    </row>
    <row r="8" spans="1:4" hidden="1" x14ac:dyDescent="0.25">
      <c r="A8" t="s">
        <v>109</v>
      </c>
      <c r="B8" s="45" t="s">
        <v>67</v>
      </c>
      <c r="C8" s="23" t="s">
        <v>23</v>
      </c>
      <c r="D8" s="23" t="s">
        <v>69</v>
      </c>
    </row>
    <row r="9" spans="1:4" hidden="1" x14ac:dyDescent="0.25">
      <c r="A9" t="s">
        <v>110</v>
      </c>
      <c r="B9" s="45" t="s">
        <v>67</v>
      </c>
      <c r="C9" s="23" t="s">
        <v>23</v>
      </c>
      <c r="D9" s="23" t="s">
        <v>69</v>
      </c>
    </row>
    <row r="10" spans="1:4" hidden="1" x14ac:dyDescent="0.25">
      <c r="A10" t="s">
        <v>111</v>
      </c>
      <c r="B10" s="45" t="s">
        <v>67</v>
      </c>
      <c r="C10" s="23" t="s">
        <v>23</v>
      </c>
      <c r="D10" s="23" t="s">
        <v>69</v>
      </c>
    </row>
    <row r="11" spans="1:4" ht="30" hidden="1" x14ac:dyDescent="0.25">
      <c r="A11" t="s">
        <v>131</v>
      </c>
      <c r="B11" s="45" t="s">
        <v>115</v>
      </c>
      <c r="C11" s="23" t="s">
        <v>23</v>
      </c>
      <c r="D11" s="23" t="s">
        <v>69</v>
      </c>
    </row>
    <row r="12" spans="1:4" ht="30" hidden="1" x14ac:dyDescent="0.25">
      <c r="A12" t="s">
        <v>132</v>
      </c>
      <c r="B12" s="45" t="s">
        <v>115</v>
      </c>
      <c r="C12" s="23" t="s">
        <v>23</v>
      </c>
      <c r="D12" s="23" t="s">
        <v>69</v>
      </c>
    </row>
    <row r="13" spans="1:4" ht="30" hidden="1" x14ac:dyDescent="0.25">
      <c r="A13" t="s">
        <v>133</v>
      </c>
      <c r="B13" s="45" t="s">
        <v>115</v>
      </c>
      <c r="C13" s="23" t="s">
        <v>23</v>
      </c>
      <c r="D13" s="23" t="s">
        <v>69</v>
      </c>
    </row>
    <row r="14" spans="1:4" ht="30" hidden="1" x14ac:dyDescent="0.25">
      <c r="A14" t="s">
        <v>134</v>
      </c>
      <c r="B14" s="45" t="s">
        <v>115</v>
      </c>
      <c r="C14" s="23" t="s">
        <v>23</v>
      </c>
      <c r="D14" s="23" t="s">
        <v>69</v>
      </c>
    </row>
    <row r="15" spans="1:4" hidden="1" x14ac:dyDescent="0.25">
      <c r="A15" t="s">
        <v>151</v>
      </c>
      <c r="B15" s="45" t="s">
        <v>67</v>
      </c>
      <c r="C15" s="23" t="s">
        <v>23</v>
      </c>
      <c r="D15" s="23" t="s">
        <v>69</v>
      </c>
    </row>
    <row r="16" spans="1:4" hidden="1" x14ac:dyDescent="0.25">
      <c r="A16" t="s">
        <v>158</v>
      </c>
      <c r="B16" s="45" t="s">
        <v>67</v>
      </c>
      <c r="C16" s="23" t="s">
        <v>23</v>
      </c>
      <c r="D16" s="23" t="s">
        <v>69</v>
      </c>
    </row>
    <row r="17" spans="1:4" hidden="1" x14ac:dyDescent="0.25">
      <c r="A17" t="s">
        <v>152</v>
      </c>
      <c r="B17" s="45" t="s">
        <v>67</v>
      </c>
      <c r="C17" s="23" t="s">
        <v>23</v>
      </c>
      <c r="D17" s="23" t="s">
        <v>69</v>
      </c>
    </row>
    <row r="18" spans="1:4" hidden="1" x14ac:dyDescent="0.25">
      <c r="A18" t="s">
        <v>143</v>
      </c>
      <c r="B18" s="45" t="s">
        <v>67</v>
      </c>
      <c r="C18" s="23" t="s">
        <v>23</v>
      </c>
      <c r="D18" s="23" t="s">
        <v>69</v>
      </c>
    </row>
    <row r="19" spans="1:4" hidden="1" x14ac:dyDescent="0.25">
      <c r="A19" t="s">
        <v>153</v>
      </c>
      <c r="B19" s="45" t="s">
        <v>67</v>
      </c>
      <c r="C19" s="23" t="s">
        <v>23</v>
      </c>
      <c r="D19" s="23" t="s">
        <v>69</v>
      </c>
    </row>
    <row r="20" spans="1:4" hidden="1" x14ac:dyDescent="0.25">
      <c r="A20" t="s">
        <v>156</v>
      </c>
      <c r="B20" s="45" t="s">
        <v>67</v>
      </c>
      <c r="C20" s="23" t="s">
        <v>23</v>
      </c>
      <c r="D20" s="23" t="s">
        <v>69</v>
      </c>
    </row>
    <row r="21" spans="1:4" hidden="1" x14ac:dyDescent="0.25">
      <c r="A21" t="s">
        <v>169</v>
      </c>
      <c r="B21" s="45" t="s">
        <v>67</v>
      </c>
      <c r="C21" s="23" t="s">
        <v>23</v>
      </c>
      <c r="D21" s="23" t="s">
        <v>69</v>
      </c>
    </row>
    <row r="22" spans="1:4" hidden="1" x14ac:dyDescent="0.25">
      <c r="A22" t="s">
        <v>170</v>
      </c>
      <c r="B22" s="45" t="s">
        <v>67</v>
      </c>
      <c r="C22" s="23" t="s">
        <v>23</v>
      </c>
      <c r="D22" s="23" t="s">
        <v>69</v>
      </c>
    </row>
    <row r="23" spans="1:4" s="141" customFormat="1" hidden="1" x14ac:dyDescent="0.25">
      <c r="A23" s="141" t="s">
        <v>166</v>
      </c>
      <c r="B23" s="142" t="s">
        <v>67</v>
      </c>
      <c r="C23" s="143" t="s">
        <v>23</v>
      </c>
      <c r="D23" s="143" t="s">
        <v>69</v>
      </c>
    </row>
    <row r="24" spans="1:4" s="1" customFormat="1" x14ac:dyDescent="0.25">
      <c r="A24" s="74" t="s">
        <v>201</v>
      </c>
      <c r="B24" s="45" t="s">
        <v>67</v>
      </c>
      <c r="C24" s="23" t="s">
        <v>23</v>
      </c>
      <c r="D24" s="23" t="s">
        <v>69</v>
      </c>
    </row>
    <row r="25" spans="1:4" s="1" customFormat="1" x14ac:dyDescent="0.25">
      <c r="A25" s="74" t="s">
        <v>202</v>
      </c>
      <c r="B25" s="45" t="s">
        <v>67</v>
      </c>
      <c r="C25" s="23" t="s">
        <v>23</v>
      </c>
      <c r="D25" s="23" t="s">
        <v>69</v>
      </c>
    </row>
    <row r="26" spans="1:4" s="1" customFormat="1" x14ac:dyDescent="0.25">
      <c r="A26" s="74" t="s">
        <v>203</v>
      </c>
      <c r="B26" s="45" t="s">
        <v>67</v>
      </c>
      <c r="C26" s="23" t="s">
        <v>23</v>
      </c>
      <c r="D26" s="23" t="s">
        <v>69</v>
      </c>
    </row>
    <row r="27" spans="1:4" x14ac:dyDescent="0.25">
      <c r="A27" s="55" t="s">
        <v>204</v>
      </c>
      <c r="B27" s="45" t="s">
        <v>67</v>
      </c>
      <c r="C27" s="23" t="s">
        <v>23</v>
      </c>
      <c r="D27" s="23" t="s">
        <v>69</v>
      </c>
    </row>
    <row r="28" spans="1:4" x14ac:dyDescent="0.25">
      <c r="A28" s="55" t="s">
        <v>205</v>
      </c>
      <c r="B28" s="45" t="s">
        <v>67</v>
      </c>
      <c r="C28" s="23" t="s">
        <v>23</v>
      </c>
      <c r="D28" s="23" t="s">
        <v>69</v>
      </c>
    </row>
    <row r="29" spans="1:4" x14ac:dyDescent="0.25">
      <c r="A29" s="55" t="s">
        <v>206</v>
      </c>
      <c r="B29" s="45" t="s">
        <v>67</v>
      </c>
      <c r="C29" s="23" t="s">
        <v>23</v>
      </c>
      <c r="D29" s="23" t="s">
        <v>69</v>
      </c>
    </row>
    <row r="30" spans="1:4" x14ac:dyDescent="0.25">
      <c r="A30" s="55" t="s">
        <v>207</v>
      </c>
      <c r="B30" s="45" t="s">
        <v>67</v>
      </c>
      <c r="C30" s="23" t="s">
        <v>23</v>
      </c>
      <c r="D30" s="23" t="s">
        <v>69</v>
      </c>
    </row>
    <row r="31" spans="1:4" x14ac:dyDescent="0.25">
      <c r="A31" s="55" t="s">
        <v>208</v>
      </c>
      <c r="B31" s="45" t="s">
        <v>67</v>
      </c>
      <c r="C31" s="23" t="s">
        <v>23</v>
      </c>
      <c r="D31" s="23" t="s">
        <v>69</v>
      </c>
    </row>
    <row r="32" spans="1:4" x14ac:dyDescent="0.25">
      <c r="A32" s="55" t="s">
        <v>209</v>
      </c>
      <c r="B32" s="45" t="s">
        <v>67</v>
      </c>
      <c r="C32" s="23" t="s">
        <v>23</v>
      </c>
      <c r="D32" s="23" t="s">
        <v>69</v>
      </c>
    </row>
    <row r="33" spans="1:4" x14ac:dyDescent="0.25">
      <c r="A33" s="55" t="s">
        <v>210</v>
      </c>
      <c r="B33" s="45" t="s">
        <v>67</v>
      </c>
      <c r="C33" s="23" t="s">
        <v>23</v>
      </c>
      <c r="D33" s="23" t="s">
        <v>69</v>
      </c>
    </row>
    <row r="34" spans="1:4" x14ac:dyDescent="0.25">
      <c r="A34" s="55" t="s">
        <v>174</v>
      </c>
      <c r="B34" s="45" t="s">
        <v>67</v>
      </c>
      <c r="C34" s="23" t="s">
        <v>23</v>
      </c>
      <c r="D34" s="23" t="s">
        <v>69</v>
      </c>
    </row>
    <row r="35" spans="1:4" x14ac:dyDescent="0.25">
      <c r="A35" s="55" t="s">
        <v>175</v>
      </c>
      <c r="B35" s="45" t="s">
        <v>67</v>
      </c>
      <c r="C35" s="23" t="s">
        <v>23</v>
      </c>
      <c r="D35" s="23" t="s">
        <v>69</v>
      </c>
    </row>
    <row r="36" spans="1:4" x14ac:dyDescent="0.25">
      <c r="A36" s="55" t="s">
        <v>176</v>
      </c>
      <c r="B36" s="45" t="s">
        <v>67</v>
      </c>
      <c r="C36" s="23" t="s">
        <v>23</v>
      </c>
      <c r="D36" s="23" t="s">
        <v>69</v>
      </c>
    </row>
    <row r="37" spans="1:4" x14ac:dyDescent="0.25">
      <c r="A37" s="55" t="s">
        <v>177</v>
      </c>
      <c r="B37" s="45" t="s">
        <v>67</v>
      </c>
      <c r="C37" s="23" t="s">
        <v>23</v>
      </c>
      <c r="D37" s="23" t="s">
        <v>69</v>
      </c>
    </row>
    <row r="38" spans="1:4" s="67" customFormat="1" ht="15.75" thickBot="1" x14ac:dyDescent="0.3">
      <c r="A38" s="68" t="s">
        <v>178</v>
      </c>
      <c r="B38" s="144" t="s">
        <v>67</v>
      </c>
      <c r="C38" s="93" t="s">
        <v>23</v>
      </c>
      <c r="D38" s="93" t="s">
        <v>69</v>
      </c>
    </row>
    <row r="39" spans="1:4" s="1" customFormat="1" x14ac:dyDescent="0.25">
      <c r="A39" s="74" t="s">
        <v>211</v>
      </c>
      <c r="B39" s="45" t="s">
        <v>67</v>
      </c>
      <c r="C39" s="23" t="s">
        <v>23</v>
      </c>
      <c r="D39" s="23" t="s">
        <v>69</v>
      </c>
    </row>
    <row r="40" spans="1:4" s="1" customFormat="1" x14ac:dyDescent="0.25">
      <c r="A40" s="74" t="s">
        <v>212</v>
      </c>
      <c r="B40" s="45" t="s">
        <v>67</v>
      </c>
      <c r="C40" s="23" t="s">
        <v>23</v>
      </c>
      <c r="D40" s="23" t="s">
        <v>69</v>
      </c>
    </row>
    <row r="41" spans="1:4" s="1" customFormat="1" x14ac:dyDescent="0.25">
      <c r="A41" s="74" t="s">
        <v>213</v>
      </c>
      <c r="B41" s="45" t="s">
        <v>67</v>
      </c>
      <c r="C41" s="23" t="s">
        <v>23</v>
      </c>
      <c r="D41" s="23" t="s">
        <v>69</v>
      </c>
    </row>
    <row r="42" spans="1:4" x14ac:dyDescent="0.25">
      <c r="A42" s="55" t="s">
        <v>214</v>
      </c>
      <c r="B42" s="45" t="s">
        <v>67</v>
      </c>
      <c r="C42" s="23" t="s">
        <v>23</v>
      </c>
      <c r="D42" s="23" t="s">
        <v>69</v>
      </c>
    </row>
    <row r="43" spans="1:4" x14ac:dyDescent="0.25">
      <c r="A43" s="55" t="s">
        <v>215</v>
      </c>
      <c r="B43" s="45" t="s">
        <v>67</v>
      </c>
      <c r="C43" s="23" t="s">
        <v>23</v>
      </c>
      <c r="D43" s="23" t="s">
        <v>69</v>
      </c>
    </row>
    <row r="44" spans="1:4" x14ac:dyDescent="0.25">
      <c r="A44" s="55" t="s">
        <v>216</v>
      </c>
      <c r="B44" s="45" t="s">
        <v>67</v>
      </c>
      <c r="C44" s="23" t="s">
        <v>23</v>
      </c>
      <c r="D44" s="23" t="s">
        <v>69</v>
      </c>
    </row>
    <row r="45" spans="1:4" x14ac:dyDescent="0.25">
      <c r="A45" s="55" t="s">
        <v>217</v>
      </c>
      <c r="B45" s="45" t="s">
        <v>67</v>
      </c>
      <c r="C45" s="23" t="s">
        <v>23</v>
      </c>
      <c r="D45" s="23" t="s">
        <v>69</v>
      </c>
    </row>
    <row r="46" spans="1:4" x14ac:dyDescent="0.25">
      <c r="A46" s="55" t="s">
        <v>218</v>
      </c>
      <c r="B46" s="45" t="s">
        <v>67</v>
      </c>
      <c r="C46" s="23" t="s">
        <v>23</v>
      </c>
      <c r="D46" s="23" t="s">
        <v>69</v>
      </c>
    </row>
    <row r="47" spans="1:4" x14ac:dyDescent="0.25">
      <c r="A47" s="55" t="s">
        <v>219</v>
      </c>
      <c r="B47" s="45" t="s">
        <v>67</v>
      </c>
      <c r="C47" s="23" t="s">
        <v>23</v>
      </c>
      <c r="D47" s="23" t="s">
        <v>69</v>
      </c>
    </row>
    <row r="48" spans="1:4" x14ac:dyDescent="0.25">
      <c r="A48" s="55" t="s">
        <v>220</v>
      </c>
      <c r="B48" s="45" t="s">
        <v>67</v>
      </c>
      <c r="C48" s="23" t="s">
        <v>23</v>
      </c>
      <c r="D48" s="23" t="s">
        <v>69</v>
      </c>
    </row>
    <row r="49" spans="1:4" x14ac:dyDescent="0.25">
      <c r="A49" s="55" t="s">
        <v>179</v>
      </c>
      <c r="B49" s="45" t="s">
        <v>67</v>
      </c>
      <c r="C49" s="23" t="s">
        <v>23</v>
      </c>
      <c r="D49" s="23" t="s">
        <v>69</v>
      </c>
    </row>
    <row r="50" spans="1:4" x14ac:dyDescent="0.25">
      <c r="A50" s="55" t="s">
        <v>180</v>
      </c>
      <c r="B50" s="45" t="s">
        <v>67</v>
      </c>
      <c r="C50" s="23" t="s">
        <v>23</v>
      </c>
      <c r="D50" s="23" t="s">
        <v>69</v>
      </c>
    </row>
    <row r="51" spans="1:4" x14ac:dyDescent="0.25">
      <c r="A51" s="55" t="s">
        <v>181</v>
      </c>
      <c r="B51" s="45" t="s">
        <v>67</v>
      </c>
      <c r="C51" s="23" t="s">
        <v>23</v>
      </c>
      <c r="D51" s="23" t="s">
        <v>69</v>
      </c>
    </row>
    <row r="52" spans="1:4" x14ac:dyDescent="0.25">
      <c r="A52" s="55" t="s">
        <v>182</v>
      </c>
      <c r="B52" s="45" t="s">
        <v>67</v>
      </c>
      <c r="C52" s="23" t="s">
        <v>23</v>
      </c>
      <c r="D52" s="23" t="s">
        <v>69</v>
      </c>
    </row>
    <row r="53" spans="1:4" s="67" customFormat="1" ht="15.75" thickBot="1" x14ac:dyDescent="0.3">
      <c r="A53" s="68" t="s">
        <v>183</v>
      </c>
      <c r="B53" s="144" t="s">
        <v>67</v>
      </c>
      <c r="C53" s="93" t="s">
        <v>23</v>
      </c>
      <c r="D53" s="93" t="s">
        <v>69</v>
      </c>
    </row>
    <row r="54" spans="1:4" s="1" customFormat="1" x14ac:dyDescent="0.25">
      <c r="A54" s="74" t="s">
        <v>221</v>
      </c>
      <c r="B54" s="45" t="s">
        <v>67</v>
      </c>
      <c r="C54" s="23" t="s">
        <v>23</v>
      </c>
      <c r="D54" s="23" t="s">
        <v>69</v>
      </c>
    </row>
    <row r="55" spans="1:4" x14ac:dyDescent="0.25">
      <c r="A55" s="55" t="s">
        <v>222</v>
      </c>
      <c r="B55" s="45" t="s">
        <v>67</v>
      </c>
      <c r="C55" s="23" t="s">
        <v>23</v>
      </c>
      <c r="D55" s="23" t="s">
        <v>69</v>
      </c>
    </row>
    <row r="56" spans="1:4" x14ac:dyDescent="0.25">
      <c r="A56" s="55" t="s">
        <v>223</v>
      </c>
      <c r="B56" s="45" t="s">
        <v>67</v>
      </c>
      <c r="C56" s="23" t="s">
        <v>23</v>
      </c>
      <c r="D56" s="23" t="s">
        <v>69</v>
      </c>
    </row>
    <row r="57" spans="1:4" x14ac:dyDescent="0.25">
      <c r="A57" s="55" t="s">
        <v>224</v>
      </c>
      <c r="B57" s="45" t="s">
        <v>67</v>
      </c>
      <c r="C57" s="23" t="s">
        <v>23</v>
      </c>
      <c r="D57" s="23" t="s">
        <v>69</v>
      </c>
    </row>
    <row r="58" spans="1:4" s="67" customFormat="1" ht="15.75" thickBot="1" x14ac:dyDescent="0.3">
      <c r="A58" s="68" t="s">
        <v>225</v>
      </c>
      <c r="B58" s="144" t="s">
        <v>67</v>
      </c>
      <c r="C58" s="93" t="s">
        <v>23</v>
      </c>
      <c r="D58" s="93" t="s">
        <v>69</v>
      </c>
    </row>
    <row r="59" spans="1:4" s="1" customFormat="1" x14ac:dyDescent="0.25">
      <c r="A59" s="74" t="s">
        <v>226</v>
      </c>
      <c r="B59" s="45" t="s">
        <v>67</v>
      </c>
      <c r="C59" s="23" t="s">
        <v>23</v>
      </c>
      <c r="D59" s="23" t="s">
        <v>69</v>
      </c>
    </row>
    <row r="60" spans="1:4" x14ac:dyDescent="0.25">
      <c r="A60" s="55" t="s">
        <v>227</v>
      </c>
      <c r="B60" s="45" t="s">
        <v>67</v>
      </c>
      <c r="C60" s="23" t="s">
        <v>23</v>
      </c>
      <c r="D60" s="23" t="s">
        <v>69</v>
      </c>
    </row>
    <row r="61" spans="1:4" x14ac:dyDescent="0.25">
      <c r="A61" s="55" t="s">
        <v>228</v>
      </c>
      <c r="B61" s="45" t="s">
        <v>67</v>
      </c>
      <c r="C61" s="23" t="s">
        <v>23</v>
      </c>
      <c r="D61" s="23" t="s">
        <v>69</v>
      </c>
    </row>
    <row r="62" spans="1:4" x14ac:dyDescent="0.25">
      <c r="A62" s="55" t="s">
        <v>229</v>
      </c>
      <c r="B62" s="45" t="s">
        <v>67</v>
      </c>
      <c r="C62" s="23" t="s">
        <v>23</v>
      </c>
      <c r="D62" s="23" t="s">
        <v>69</v>
      </c>
    </row>
    <row r="63" spans="1:4" s="67" customFormat="1" ht="15.75" thickBot="1" x14ac:dyDescent="0.3">
      <c r="A63" s="68" t="s">
        <v>230</v>
      </c>
      <c r="B63" s="144" t="s">
        <v>67</v>
      </c>
      <c r="C63" s="93" t="s">
        <v>23</v>
      </c>
      <c r="D63" s="93" t="s">
        <v>69</v>
      </c>
    </row>
    <row r="64" spans="1:4" s="1" customFormat="1" x14ac:dyDescent="0.25">
      <c r="A64" s="74" t="s">
        <v>231</v>
      </c>
      <c r="B64" s="45" t="s">
        <v>67</v>
      </c>
      <c r="C64" s="23" t="s">
        <v>23</v>
      </c>
      <c r="D64" s="23" t="s">
        <v>69</v>
      </c>
    </row>
    <row r="65" spans="1:4" x14ac:dyDescent="0.25">
      <c r="A65" s="55" t="s">
        <v>232</v>
      </c>
      <c r="B65" s="45" t="s">
        <v>67</v>
      </c>
      <c r="C65" s="23" t="s">
        <v>23</v>
      </c>
      <c r="D65" s="23" t="s">
        <v>69</v>
      </c>
    </row>
    <row r="66" spans="1:4" x14ac:dyDescent="0.25">
      <c r="A66" s="55" t="s">
        <v>233</v>
      </c>
      <c r="B66" s="45" t="s">
        <v>67</v>
      </c>
      <c r="C66" s="23" t="s">
        <v>23</v>
      </c>
      <c r="D66" s="23" t="s">
        <v>69</v>
      </c>
    </row>
    <row r="67" spans="1:4" x14ac:dyDescent="0.25">
      <c r="A67" s="55" t="s">
        <v>234</v>
      </c>
      <c r="B67" s="45" t="s">
        <v>67</v>
      </c>
      <c r="C67" s="23" t="s">
        <v>23</v>
      </c>
      <c r="D67" s="23" t="s">
        <v>69</v>
      </c>
    </row>
    <row r="68" spans="1:4" s="67" customFormat="1" ht="15.75" thickBot="1" x14ac:dyDescent="0.3">
      <c r="A68" s="68" t="s">
        <v>235</v>
      </c>
      <c r="B68" s="144" t="s">
        <v>67</v>
      </c>
      <c r="C68" s="93" t="s">
        <v>23</v>
      </c>
      <c r="D68" s="93" t="s">
        <v>69</v>
      </c>
    </row>
    <row r="69" spans="1:4" s="1" customFormat="1" x14ac:dyDescent="0.25">
      <c r="A69" s="74" t="s">
        <v>236</v>
      </c>
      <c r="B69" s="45" t="s">
        <v>67</v>
      </c>
      <c r="C69" s="23" t="s">
        <v>23</v>
      </c>
      <c r="D69" s="23" t="s">
        <v>69</v>
      </c>
    </row>
    <row r="70" spans="1:4" x14ac:dyDescent="0.25">
      <c r="A70" s="55" t="s">
        <v>237</v>
      </c>
      <c r="B70" s="45" t="s">
        <v>67</v>
      </c>
      <c r="C70" s="23" t="s">
        <v>23</v>
      </c>
      <c r="D70" s="23" t="s">
        <v>69</v>
      </c>
    </row>
    <row r="71" spans="1:4" x14ac:dyDescent="0.25">
      <c r="A71" s="55" t="s">
        <v>238</v>
      </c>
      <c r="B71" s="45" t="s">
        <v>67</v>
      </c>
      <c r="C71" s="23" t="s">
        <v>23</v>
      </c>
      <c r="D71" s="23" t="s">
        <v>69</v>
      </c>
    </row>
    <row r="72" spans="1:4" x14ac:dyDescent="0.25">
      <c r="A72" s="55" t="s">
        <v>239</v>
      </c>
      <c r="B72" s="45" t="s">
        <v>67</v>
      </c>
      <c r="C72" s="23" t="s">
        <v>23</v>
      </c>
      <c r="D72" s="23" t="s">
        <v>69</v>
      </c>
    </row>
    <row r="73" spans="1:4" s="67" customFormat="1" ht="15.75" thickBot="1" x14ac:dyDescent="0.3">
      <c r="A73" s="68" t="s">
        <v>240</v>
      </c>
      <c r="B73" s="144" t="s">
        <v>67</v>
      </c>
      <c r="C73" s="93" t="s">
        <v>23</v>
      </c>
      <c r="D73" s="93" t="s">
        <v>69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40" sqref="E40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139</v>
      </c>
      <c r="C1" t="s">
        <v>9</v>
      </c>
      <c r="D1" t="s">
        <v>140</v>
      </c>
      <c r="E1" t="s">
        <v>61</v>
      </c>
      <c r="F1" t="s">
        <v>141</v>
      </c>
      <c r="G1" t="s">
        <v>142</v>
      </c>
      <c r="H1" t="s">
        <v>148</v>
      </c>
      <c r="I1" t="s">
        <v>162</v>
      </c>
      <c r="J1" t="s">
        <v>163</v>
      </c>
    </row>
    <row r="2" spans="1:10" x14ac:dyDescent="0.25">
      <c r="A2" s="2" t="s">
        <v>1</v>
      </c>
      <c r="B2" t="s">
        <v>146</v>
      </c>
      <c r="C2" t="s">
        <v>147</v>
      </c>
      <c r="F2" t="s">
        <v>54</v>
      </c>
      <c r="H2" t="s">
        <v>149</v>
      </c>
      <c r="J2" t="s">
        <v>164</v>
      </c>
    </row>
    <row r="3" spans="1:10" x14ac:dyDescent="0.25">
      <c r="A3" s="2" t="s">
        <v>2</v>
      </c>
      <c r="H3" t="s">
        <v>150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112</v>
      </c>
      <c r="F4">
        <v>0.3</v>
      </c>
      <c r="G4" t="s">
        <v>23</v>
      </c>
      <c r="H4">
        <v>0.01</v>
      </c>
    </row>
    <row r="5" spans="1:10" hidden="1" x14ac:dyDescent="0.25">
      <c r="A5" t="s">
        <v>56</v>
      </c>
      <c r="B5">
        <v>0.66700000000000004</v>
      </c>
      <c r="C5">
        <v>0</v>
      </c>
      <c r="D5">
        <v>0</v>
      </c>
      <c r="E5" t="s">
        <v>112</v>
      </c>
      <c r="F5">
        <v>0</v>
      </c>
      <c r="G5" t="s">
        <v>23</v>
      </c>
      <c r="H5">
        <v>0</v>
      </c>
    </row>
    <row r="6" spans="1:10" hidden="1" x14ac:dyDescent="0.25">
      <c r="A6" t="s">
        <v>144</v>
      </c>
      <c r="B6">
        <v>0.45500000000000002</v>
      </c>
      <c r="C6">
        <v>0</v>
      </c>
      <c r="D6">
        <v>0</v>
      </c>
      <c r="E6" t="s">
        <v>112</v>
      </c>
      <c r="F6">
        <v>0</v>
      </c>
      <c r="G6" t="s">
        <v>23</v>
      </c>
      <c r="H6">
        <v>0</v>
      </c>
    </row>
    <row r="7" spans="1:10" hidden="1" x14ac:dyDescent="0.25">
      <c r="A7" t="s">
        <v>145</v>
      </c>
      <c r="B7">
        <v>0.66700000000000004</v>
      </c>
      <c r="C7">
        <v>0</v>
      </c>
      <c r="D7">
        <v>0</v>
      </c>
      <c r="E7" t="s">
        <v>112</v>
      </c>
      <c r="F7">
        <v>0</v>
      </c>
      <c r="G7" t="s">
        <v>23</v>
      </c>
      <c r="H7">
        <v>0</v>
      </c>
    </row>
    <row r="8" spans="1:10" hidden="1" x14ac:dyDescent="0.25">
      <c r="A8" t="s">
        <v>169</v>
      </c>
      <c r="B8">
        <v>0</v>
      </c>
      <c r="C8">
        <v>1.44</v>
      </c>
      <c r="D8">
        <v>0</v>
      </c>
      <c r="E8" t="s">
        <v>112</v>
      </c>
      <c r="F8">
        <v>0</v>
      </c>
      <c r="G8" t="s">
        <v>23</v>
      </c>
      <c r="H8">
        <v>0</v>
      </c>
      <c r="I8">
        <v>0</v>
      </c>
    </row>
    <row r="9" spans="1:10" hidden="1" x14ac:dyDescent="0.25">
      <c r="A9" t="s">
        <v>170</v>
      </c>
      <c r="B9">
        <v>0</v>
      </c>
      <c r="C9">
        <v>1.454</v>
      </c>
      <c r="D9">
        <v>3.0000000000000001E-3</v>
      </c>
      <c r="E9" t="s">
        <v>112</v>
      </c>
      <c r="F9">
        <v>0</v>
      </c>
      <c r="G9" t="s">
        <v>23</v>
      </c>
      <c r="H9">
        <v>0</v>
      </c>
      <c r="I9">
        <v>2.5000000000000001E-2</v>
      </c>
    </row>
    <row r="10" spans="1:10" hidden="1" x14ac:dyDescent="0.25">
      <c r="A10" t="s">
        <v>166</v>
      </c>
      <c r="B10">
        <v>0</v>
      </c>
      <c r="C10">
        <v>1.98</v>
      </c>
      <c r="D10">
        <v>0.01</v>
      </c>
      <c r="E10" t="s">
        <v>112</v>
      </c>
      <c r="F10">
        <v>0</v>
      </c>
      <c r="G10" t="s">
        <v>23</v>
      </c>
      <c r="H10">
        <v>0</v>
      </c>
      <c r="I10">
        <v>0.04</v>
      </c>
    </row>
    <row r="11" spans="1:10" hidden="1" x14ac:dyDescent="0.25">
      <c r="A11" t="s">
        <v>152</v>
      </c>
      <c r="C11">
        <v>2</v>
      </c>
      <c r="D11">
        <v>0.01</v>
      </c>
      <c r="E11" t="s">
        <v>112</v>
      </c>
      <c r="F11">
        <v>0</v>
      </c>
      <c r="G11" t="s">
        <v>23</v>
      </c>
      <c r="H11">
        <v>0</v>
      </c>
      <c r="I11">
        <v>0.65</v>
      </c>
      <c r="J11">
        <f>30*Ref!C$12</f>
        <v>4.2828767734451677E-2</v>
      </c>
    </row>
    <row r="12" spans="1:10" hidden="1" x14ac:dyDescent="0.25">
      <c r="A12" t="s">
        <v>143</v>
      </c>
      <c r="B12">
        <v>0</v>
      </c>
      <c r="C12">
        <v>1.454</v>
      </c>
      <c r="D12">
        <v>3.0000000000000001E-3</v>
      </c>
      <c r="E12" t="s">
        <v>112</v>
      </c>
      <c r="F12">
        <v>0</v>
      </c>
      <c r="G12" t="s">
        <v>23</v>
      </c>
      <c r="H12">
        <v>0</v>
      </c>
      <c r="I12">
        <v>2.5000000000000001E-2</v>
      </c>
      <c r="J12">
        <f>5*Ref!C$12</f>
        <v>7.1381279557419458E-3</v>
      </c>
    </row>
    <row r="13" spans="1:10" hidden="1" x14ac:dyDescent="0.25">
      <c r="A13" t="s">
        <v>153</v>
      </c>
      <c r="B13">
        <v>0</v>
      </c>
      <c r="C13">
        <v>1.33</v>
      </c>
      <c r="D13">
        <v>0</v>
      </c>
      <c r="E13" t="s">
        <v>120</v>
      </c>
      <c r="F13">
        <v>0</v>
      </c>
      <c r="G13" t="s">
        <v>23</v>
      </c>
      <c r="H13">
        <v>0</v>
      </c>
    </row>
    <row r="14" spans="1:10" hidden="1" x14ac:dyDescent="0.25">
      <c r="A14" t="s">
        <v>156</v>
      </c>
      <c r="B14">
        <v>0</v>
      </c>
      <c r="C14">
        <v>1.71</v>
      </c>
      <c r="D14">
        <f>0.18/47.1</f>
        <v>3.8216560509554136E-3</v>
      </c>
      <c r="E14" t="s">
        <v>120</v>
      </c>
      <c r="F14">
        <v>0</v>
      </c>
      <c r="G14" t="s">
        <v>23</v>
      </c>
      <c r="H14">
        <v>0</v>
      </c>
    </row>
    <row r="15" spans="1:10" hidden="1" x14ac:dyDescent="0.25">
      <c r="A15" t="s">
        <v>165</v>
      </c>
      <c r="B15">
        <v>0</v>
      </c>
      <c r="C15">
        <v>1.65</v>
      </c>
      <c r="D15">
        <f>0.51/47.1</f>
        <v>1.0828025477707006E-2</v>
      </c>
      <c r="E15" t="s">
        <v>120</v>
      </c>
      <c r="F15">
        <v>0</v>
      </c>
      <c r="G15" t="s">
        <v>23</v>
      </c>
      <c r="H15">
        <v>0</v>
      </c>
    </row>
    <row r="16" spans="1:10" hidden="1" x14ac:dyDescent="0.25">
      <c r="A16" t="s">
        <v>167</v>
      </c>
      <c r="B16">
        <v>0</v>
      </c>
      <c r="C16">
        <v>1.44</v>
      </c>
      <c r="D16">
        <v>0</v>
      </c>
      <c r="E16" t="s">
        <v>120</v>
      </c>
      <c r="F16">
        <v>0</v>
      </c>
      <c r="G16" t="s">
        <v>23</v>
      </c>
      <c r="H16">
        <v>0</v>
      </c>
    </row>
    <row r="17" spans="1:10" s="67" customFormat="1" ht="15.75" hidden="1" thickBot="1" x14ac:dyDescent="0.3">
      <c r="A17" s="145" t="s">
        <v>244</v>
      </c>
      <c r="D17" s="67">
        <f>0.0008/0.88</f>
        <v>9.0909090909090909E-4</v>
      </c>
      <c r="E17" s="67" t="s">
        <v>252</v>
      </c>
      <c r="I17" s="67">
        <f>0.0038*(56/12)</f>
        <v>1.7733333333333334E-2</v>
      </c>
    </row>
    <row r="18" spans="1:10" s="30" customFormat="1" x14ac:dyDescent="0.25">
      <c r="A18" s="55" t="s">
        <v>174</v>
      </c>
      <c r="B18" s="30">
        <v>0</v>
      </c>
      <c r="C18" s="30">
        <v>2</v>
      </c>
      <c r="D18" s="30">
        <v>0.01</v>
      </c>
      <c r="E18" s="30" t="s">
        <v>112</v>
      </c>
      <c r="F18" s="30">
        <v>0</v>
      </c>
      <c r="G18" s="30" t="s">
        <v>23</v>
      </c>
      <c r="H18" s="30">
        <v>0</v>
      </c>
      <c r="I18" s="30">
        <v>0.65</v>
      </c>
      <c r="J18" s="30">
        <f>30*Ref!C$12</f>
        <v>4.2828767734451677E-2</v>
      </c>
    </row>
    <row r="19" spans="1:10" x14ac:dyDescent="0.25">
      <c r="A19" s="55" t="s">
        <v>175</v>
      </c>
      <c r="B19">
        <v>0</v>
      </c>
      <c r="C19">
        <v>1.454</v>
      </c>
      <c r="D19">
        <v>3.0000000000000001E-3</v>
      </c>
      <c r="E19" t="s">
        <v>112</v>
      </c>
      <c r="F19">
        <v>0</v>
      </c>
      <c r="G19" t="s">
        <v>23</v>
      </c>
      <c r="H19">
        <v>0</v>
      </c>
      <c r="I19">
        <v>2.5000000000000001E-2</v>
      </c>
      <c r="J19">
        <f>5*Ref!C$12</f>
        <v>7.1381279557419458E-3</v>
      </c>
    </row>
    <row r="20" spans="1:10" x14ac:dyDescent="0.25">
      <c r="A20" s="55" t="s">
        <v>176</v>
      </c>
      <c r="B20">
        <v>0</v>
      </c>
      <c r="C20">
        <v>1.454</v>
      </c>
      <c r="D20">
        <v>3.0000000000000001E-3</v>
      </c>
      <c r="E20" t="s">
        <v>112</v>
      </c>
      <c r="F20" s="56">
        <v>1</v>
      </c>
      <c r="G20" t="s">
        <v>23</v>
      </c>
      <c r="H20">
        <v>0</v>
      </c>
      <c r="I20">
        <v>2.5000000000000001E-2</v>
      </c>
      <c r="J20">
        <f>5*Ref!C$12</f>
        <v>7.1381279557419458E-3</v>
      </c>
    </row>
    <row r="21" spans="1:10" x14ac:dyDescent="0.25">
      <c r="A21" s="55" t="s">
        <v>177</v>
      </c>
      <c r="B21">
        <v>0</v>
      </c>
      <c r="C21">
        <v>1.4</v>
      </c>
      <c r="D21">
        <v>3.0000000000000001E-3</v>
      </c>
      <c r="E21" t="s">
        <v>112</v>
      </c>
      <c r="F21" s="56">
        <v>0</v>
      </c>
      <c r="G21" t="s">
        <v>23</v>
      </c>
      <c r="H21">
        <v>0</v>
      </c>
      <c r="I21">
        <v>2.5000000000000001E-2</v>
      </c>
      <c r="J21">
        <f>5*Ref!C$12</f>
        <v>7.1381279557419458E-3</v>
      </c>
    </row>
    <row r="22" spans="1:10" s="67" customFormat="1" ht="15.75" thickBot="1" x14ac:dyDescent="0.3">
      <c r="A22" s="68" t="s">
        <v>178</v>
      </c>
      <c r="B22" s="67">
        <v>0</v>
      </c>
      <c r="C22" s="67">
        <v>1.4</v>
      </c>
      <c r="D22" s="67">
        <v>3.0000000000000001E-3</v>
      </c>
      <c r="E22" s="67" t="s">
        <v>112</v>
      </c>
      <c r="F22" s="69">
        <v>1</v>
      </c>
      <c r="G22" s="67" t="s">
        <v>23</v>
      </c>
      <c r="H22" s="67">
        <v>0</v>
      </c>
      <c r="I22" s="67">
        <v>2.5000000000000001E-2</v>
      </c>
      <c r="J22" s="67">
        <f>5*Ref!C$12</f>
        <v>7.1381279557419458E-3</v>
      </c>
    </row>
    <row r="23" spans="1:10" x14ac:dyDescent="0.25">
      <c r="A23" s="55" t="s">
        <v>179</v>
      </c>
      <c r="B23" s="30">
        <v>0</v>
      </c>
      <c r="C23" s="58">
        <v>2</v>
      </c>
      <c r="D23" s="58">
        <v>0.01</v>
      </c>
      <c r="E23" s="30" t="s">
        <v>112</v>
      </c>
      <c r="F23" s="30">
        <v>0</v>
      </c>
      <c r="G23" s="30" t="s">
        <v>23</v>
      </c>
      <c r="H23" s="30">
        <v>0</v>
      </c>
      <c r="I23" s="58">
        <v>0.65</v>
      </c>
      <c r="J23" s="58">
        <f>30*Ref!C$12</f>
        <v>4.2828767734451677E-2</v>
      </c>
    </row>
    <row r="24" spans="1:10" x14ac:dyDescent="0.25">
      <c r="A24" s="55" t="s">
        <v>180</v>
      </c>
      <c r="B24">
        <v>0</v>
      </c>
      <c r="C24" s="23">
        <v>1.454</v>
      </c>
      <c r="D24" s="23">
        <v>3.0000000000000001E-3</v>
      </c>
      <c r="E24" t="s">
        <v>112</v>
      </c>
      <c r="F24">
        <v>0</v>
      </c>
      <c r="G24" t="s">
        <v>23</v>
      </c>
      <c r="H24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55" t="s">
        <v>181</v>
      </c>
      <c r="B25">
        <v>0</v>
      </c>
      <c r="C25" s="23">
        <v>1.454</v>
      </c>
      <c r="D25" s="23">
        <v>3.0000000000000001E-3</v>
      </c>
      <c r="E25" t="s">
        <v>112</v>
      </c>
      <c r="F25" s="56">
        <v>1</v>
      </c>
      <c r="G25" t="s">
        <v>23</v>
      </c>
      <c r="H25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55" t="s">
        <v>182</v>
      </c>
      <c r="B26">
        <v>0</v>
      </c>
      <c r="C26" s="23">
        <v>1.4</v>
      </c>
      <c r="D26" s="23">
        <v>3.0000000000000001E-3</v>
      </c>
      <c r="E26" t="s">
        <v>112</v>
      </c>
      <c r="F26" s="56">
        <v>0</v>
      </c>
      <c r="G26" t="s">
        <v>23</v>
      </c>
      <c r="H26">
        <v>0</v>
      </c>
      <c r="I26" s="23">
        <v>2.5000000000000001E-2</v>
      </c>
      <c r="J26" s="23">
        <f>5*Ref!C$12</f>
        <v>7.1381279557419458E-3</v>
      </c>
    </row>
    <row r="27" spans="1:10" x14ac:dyDescent="0.25">
      <c r="A27" s="55" t="s">
        <v>183</v>
      </c>
      <c r="B27">
        <v>0</v>
      </c>
      <c r="C27" s="23">
        <v>1.4</v>
      </c>
      <c r="D27" s="23">
        <v>3.0000000000000001E-3</v>
      </c>
      <c r="E27" t="s">
        <v>112</v>
      </c>
      <c r="F27" s="56">
        <v>1</v>
      </c>
      <c r="G27" t="s">
        <v>23</v>
      </c>
      <c r="H27">
        <v>0</v>
      </c>
      <c r="I27" s="23">
        <v>2.5000000000000001E-2</v>
      </c>
      <c r="J27" s="23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80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83" t="s">
        <v>140</v>
      </c>
      <c r="E1" s="83" t="s">
        <v>61</v>
      </c>
      <c r="F1" t="s">
        <v>81</v>
      </c>
    </row>
    <row r="2" spans="1:6" x14ac:dyDescent="0.25">
      <c r="A2" s="2" t="s">
        <v>1</v>
      </c>
      <c r="B2" t="s">
        <v>65</v>
      </c>
      <c r="C2" t="s">
        <v>66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>
        <v>0.1</v>
      </c>
      <c r="C5">
        <v>0.1</v>
      </c>
    </row>
    <row r="6" spans="1:6" hidden="1" x14ac:dyDescent="0.25">
      <c r="A6" t="s">
        <v>107</v>
      </c>
      <c r="B6" s="23">
        <v>7.0000000000000007E-2</v>
      </c>
      <c r="C6" s="23">
        <v>0.108</v>
      </c>
    </row>
    <row r="7" spans="1:6" hidden="1" x14ac:dyDescent="0.25">
      <c r="A7" t="s">
        <v>108</v>
      </c>
      <c r="B7">
        <v>7.0000000000000007E-2</v>
      </c>
      <c r="C7">
        <v>0.108</v>
      </c>
    </row>
    <row r="8" spans="1:6" hidden="1" x14ac:dyDescent="0.25">
      <c r="A8" t="s">
        <v>109</v>
      </c>
      <c r="B8" s="23">
        <v>7.0000000000000007E-2</v>
      </c>
      <c r="C8" s="23">
        <v>0.108</v>
      </c>
    </row>
    <row r="9" spans="1:6" hidden="1" x14ac:dyDescent="0.25">
      <c r="A9" t="s">
        <v>110</v>
      </c>
      <c r="B9" s="23">
        <v>7.0000000000000007E-2</v>
      </c>
      <c r="C9">
        <f>17*Ref!B18</f>
        <v>6.1199999999999997E-2</v>
      </c>
      <c r="F9" s="35" t="s">
        <v>82</v>
      </c>
    </row>
    <row r="10" spans="1:6" hidden="1" x14ac:dyDescent="0.25">
      <c r="A10" t="s">
        <v>111</v>
      </c>
      <c r="B10" s="23">
        <v>7.0000000000000007E-2</v>
      </c>
      <c r="C10" s="23">
        <v>0.108</v>
      </c>
    </row>
    <row r="11" spans="1:6" hidden="1" x14ac:dyDescent="0.25">
      <c r="A11" t="s">
        <v>126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131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132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133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134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136</v>
      </c>
      <c r="B16">
        <f>0.07</f>
        <v>7.0000000000000007E-2</v>
      </c>
      <c r="C16">
        <v>0.108</v>
      </c>
    </row>
    <row r="17" spans="1:6" hidden="1" x14ac:dyDescent="0.25">
      <c r="A17" t="s">
        <v>191</v>
      </c>
      <c r="B17">
        <v>5.0000000000000001E-3</v>
      </c>
      <c r="C17">
        <f>5*Ref!B18</f>
        <v>1.7999999999999999E-2</v>
      </c>
      <c r="D17" s="83" t="s">
        <v>194</v>
      </c>
      <c r="F17" t="s">
        <v>196</v>
      </c>
    </row>
    <row r="18" spans="1:6" hidden="1" x14ac:dyDescent="0.25">
      <c r="A18" t="s">
        <v>192</v>
      </c>
      <c r="B18">
        <v>0.05</v>
      </c>
      <c r="C18">
        <f>25*Ref!B18</f>
        <v>0.09</v>
      </c>
      <c r="D18" s="83" t="s">
        <v>193</v>
      </c>
      <c r="F18" t="s">
        <v>195</v>
      </c>
    </row>
    <row r="19" spans="1:6" hidden="1" x14ac:dyDescent="0.25">
      <c r="A19" t="s">
        <v>197</v>
      </c>
      <c r="B19">
        <v>0.05</v>
      </c>
      <c r="C19">
        <f>40*Ref!B18</f>
        <v>0.14399999999999999</v>
      </c>
      <c r="F19" t="s">
        <v>195</v>
      </c>
    </row>
    <row r="20" spans="1:6" hidden="1" x14ac:dyDescent="0.25">
      <c r="A20" t="s">
        <v>127</v>
      </c>
      <c r="B20">
        <f>0.07</f>
        <v>7.0000000000000007E-2</v>
      </c>
      <c r="C20">
        <v>0.108</v>
      </c>
    </row>
    <row r="21" spans="1:6" hidden="1" x14ac:dyDescent="0.25">
      <c r="A21" t="s">
        <v>151</v>
      </c>
      <c r="B21">
        <v>7.0000000000000007E-2</v>
      </c>
      <c r="C21">
        <v>0.108</v>
      </c>
    </row>
    <row r="22" spans="1:6" hidden="1" x14ac:dyDescent="0.25">
      <c r="A22" t="s">
        <v>169</v>
      </c>
      <c r="B22">
        <v>7.0000000000000007E-2</v>
      </c>
      <c r="C22">
        <v>0.108</v>
      </c>
    </row>
    <row r="23" spans="1:6" hidden="1" x14ac:dyDescent="0.25">
      <c r="A23" t="s">
        <v>170</v>
      </c>
      <c r="B23">
        <v>7.0000000000000007E-2</v>
      </c>
      <c r="C23">
        <v>0.108</v>
      </c>
    </row>
    <row r="24" spans="1:6" hidden="1" x14ac:dyDescent="0.25">
      <c r="A24" t="s">
        <v>166</v>
      </c>
      <c r="B24">
        <v>7.0000000000000007E-2</v>
      </c>
      <c r="C24">
        <v>0.108</v>
      </c>
    </row>
    <row r="25" spans="1:6" s="30" customFormat="1" hidden="1" x14ac:dyDescent="0.25">
      <c r="A25" s="30" t="s">
        <v>158</v>
      </c>
      <c r="B25" s="30">
        <v>7.0000000000000007E-2</v>
      </c>
      <c r="C25" s="30">
        <v>0.108</v>
      </c>
      <c r="D25" s="106"/>
      <c r="E25" s="106"/>
    </row>
    <row r="26" spans="1:6" s="105" customFormat="1" x14ac:dyDescent="0.25">
      <c r="A26" s="101" t="s">
        <v>201</v>
      </c>
      <c r="B26" s="104">
        <v>0.05</v>
      </c>
      <c r="C26" s="104">
        <v>0.09</v>
      </c>
      <c r="D26" s="107"/>
      <c r="E26" s="107"/>
    </row>
    <row r="27" spans="1:6" x14ac:dyDescent="0.25">
      <c r="A27" s="74" t="s">
        <v>202</v>
      </c>
      <c r="B27" s="1">
        <v>0.05</v>
      </c>
      <c r="C27" s="1">
        <v>1.7999999999999999E-2</v>
      </c>
      <c r="D27" s="84"/>
      <c r="E27" s="84"/>
    </row>
    <row r="28" spans="1:6" x14ac:dyDescent="0.25">
      <c r="A28" s="74" t="s">
        <v>203</v>
      </c>
      <c r="B28" s="81">
        <v>0.05</v>
      </c>
      <c r="C28" s="81">
        <v>1.7999999999999999E-2</v>
      </c>
      <c r="D28" s="84"/>
      <c r="E28" s="84"/>
    </row>
    <row r="29" spans="1:6" x14ac:dyDescent="0.25">
      <c r="A29" s="55" t="s">
        <v>204</v>
      </c>
      <c r="B29">
        <f>B$26</f>
        <v>0.05</v>
      </c>
      <c r="C29">
        <f>C$26</f>
        <v>0.09</v>
      </c>
    </row>
    <row r="30" spans="1:6" x14ac:dyDescent="0.25">
      <c r="A30" s="55" t="s">
        <v>205</v>
      </c>
      <c r="B30">
        <f>B$27</f>
        <v>0.05</v>
      </c>
      <c r="C30">
        <f>C$27</f>
        <v>1.7999999999999999E-2</v>
      </c>
    </row>
    <row r="31" spans="1:6" x14ac:dyDescent="0.25">
      <c r="A31" s="55" t="s">
        <v>206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207</v>
      </c>
      <c r="B32">
        <f>B$27</f>
        <v>0.05</v>
      </c>
      <c r="C32">
        <f>C$27</f>
        <v>1.7999999999999999E-2</v>
      </c>
    </row>
    <row r="33" spans="1:6" x14ac:dyDescent="0.25">
      <c r="A33" s="55" t="s">
        <v>208</v>
      </c>
      <c r="B33">
        <f>B$28</f>
        <v>0.05</v>
      </c>
      <c r="C33">
        <f>C$28</f>
        <v>1.7999999999999999E-2</v>
      </c>
    </row>
    <row r="34" spans="1:6" x14ac:dyDescent="0.25">
      <c r="A34" s="55" t="s">
        <v>209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210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174</v>
      </c>
      <c r="B36">
        <f>B$26</f>
        <v>0.05</v>
      </c>
      <c r="C36">
        <f>C$26</f>
        <v>0.09</v>
      </c>
    </row>
    <row r="37" spans="1:6" x14ac:dyDescent="0.25">
      <c r="A37" s="55" t="s">
        <v>175</v>
      </c>
      <c r="B37">
        <f>B$27</f>
        <v>0.05</v>
      </c>
      <c r="C37">
        <f>C$27</f>
        <v>1.7999999999999999E-2</v>
      </c>
    </row>
    <row r="38" spans="1:6" x14ac:dyDescent="0.25">
      <c r="A38" s="55" t="s">
        <v>176</v>
      </c>
      <c r="B38">
        <f>B$27</f>
        <v>0.05</v>
      </c>
      <c r="C38">
        <f>C$27</f>
        <v>1.7999999999999999E-2</v>
      </c>
    </row>
    <row r="39" spans="1:6" x14ac:dyDescent="0.25">
      <c r="A39" s="55" t="s">
        <v>177</v>
      </c>
      <c r="B39">
        <f>B$28</f>
        <v>0.05</v>
      </c>
      <c r="C39">
        <f>C$28</f>
        <v>1.7999999999999999E-2</v>
      </c>
    </row>
    <row r="40" spans="1:6" s="67" customFormat="1" ht="15.75" thickBot="1" x14ac:dyDescent="0.3">
      <c r="A40" s="68" t="s">
        <v>178</v>
      </c>
      <c r="B40" s="67">
        <f>B$28</f>
        <v>0.05</v>
      </c>
      <c r="C40" s="67">
        <f>C$28</f>
        <v>1.7999999999999999E-2</v>
      </c>
      <c r="D40" s="85"/>
      <c r="E40" s="85"/>
    </row>
    <row r="41" spans="1:6" s="1" customFormat="1" x14ac:dyDescent="0.25">
      <c r="A41" s="74" t="s">
        <v>211</v>
      </c>
      <c r="B41" s="1">
        <v>0.05</v>
      </c>
      <c r="C41" s="1">
        <f>45*Ref!B18</f>
        <v>0.16200000000000001</v>
      </c>
      <c r="D41" s="84">
        <v>150</v>
      </c>
      <c r="E41" s="84" t="s">
        <v>67</v>
      </c>
      <c r="F41" s="35" t="s">
        <v>198</v>
      </c>
    </row>
    <row r="42" spans="1:6" x14ac:dyDescent="0.25">
      <c r="A42" s="74" t="s">
        <v>212</v>
      </c>
      <c r="B42" s="1">
        <v>0.05</v>
      </c>
      <c r="C42" s="1">
        <f>18*Ref!B18</f>
        <v>6.4799999999999996E-2</v>
      </c>
      <c r="D42" s="84">
        <v>130</v>
      </c>
      <c r="F42" s="35" t="s">
        <v>198</v>
      </c>
    </row>
    <row r="43" spans="1:6" s="1" customFormat="1" x14ac:dyDescent="0.25">
      <c r="A43" s="74" t="s">
        <v>213</v>
      </c>
      <c r="B43" s="81">
        <v>0.05</v>
      </c>
      <c r="C43" s="81">
        <v>6.4799999999999996E-2</v>
      </c>
      <c r="E43" s="84"/>
    </row>
    <row r="44" spans="1:6" x14ac:dyDescent="0.25">
      <c r="A44" s="55" t="s">
        <v>214</v>
      </c>
      <c r="B44">
        <f>B$41</f>
        <v>0.05</v>
      </c>
      <c r="C44">
        <f>C$41</f>
        <v>0.16200000000000001</v>
      </c>
    </row>
    <row r="45" spans="1:6" x14ac:dyDescent="0.25">
      <c r="A45" s="55" t="s">
        <v>215</v>
      </c>
      <c r="B45">
        <f>B$42</f>
        <v>0.05</v>
      </c>
      <c r="C45">
        <f>C$42</f>
        <v>6.4799999999999996E-2</v>
      </c>
    </row>
    <row r="46" spans="1:6" x14ac:dyDescent="0.25">
      <c r="A46" s="55" t="s">
        <v>216</v>
      </c>
      <c r="B46">
        <f>B$41</f>
        <v>0.05</v>
      </c>
      <c r="C46">
        <f>C$41</f>
        <v>0.16200000000000001</v>
      </c>
    </row>
    <row r="47" spans="1:6" x14ac:dyDescent="0.25">
      <c r="A47" s="55" t="s">
        <v>217</v>
      </c>
      <c r="B47">
        <f>B$42</f>
        <v>0.05</v>
      </c>
      <c r="C47">
        <f>C$42</f>
        <v>6.4799999999999996E-2</v>
      </c>
    </row>
    <row r="48" spans="1:6" x14ac:dyDescent="0.25">
      <c r="A48" s="55" t="s">
        <v>218</v>
      </c>
      <c r="B48">
        <f>B$43</f>
        <v>0.05</v>
      </c>
      <c r="C48">
        <f>C$43</f>
        <v>6.4799999999999996E-2</v>
      </c>
    </row>
    <row r="49" spans="1:6" x14ac:dyDescent="0.25">
      <c r="A49" s="55" t="s">
        <v>219</v>
      </c>
      <c r="B49">
        <f>B$41</f>
        <v>0.05</v>
      </c>
      <c r="C49">
        <f>C$41</f>
        <v>0.16200000000000001</v>
      </c>
    </row>
    <row r="50" spans="1:6" x14ac:dyDescent="0.25">
      <c r="A50" s="55" t="s">
        <v>220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179</v>
      </c>
      <c r="B51">
        <f>B$41</f>
        <v>0.05</v>
      </c>
      <c r="C51">
        <f>C$41</f>
        <v>0.16200000000000001</v>
      </c>
    </row>
    <row r="52" spans="1:6" x14ac:dyDescent="0.25">
      <c r="A52" s="55" t="s">
        <v>180</v>
      </c>
      <c r="B52">
        <f>B$42</f>
        <v>0.05</v>
      </c>
      <c r="C52">
        <f>C$42</f>
        <v>6.4799999999999996E-2</v>
      </c>
    </row>
    <row r="53" spans="1:6" x14ac:dyDescent="0.25">
      <c r="A53" s="55" t="s">
        <v>181</v>
      </c>
      <c r="B53">
        <f>B$42</f>
        <v>0.05</v>
      </c>
      <c r="C53">
        <f>C$42</f>
        <v>6.4799999999999996E-2</v>
      </c>
    </row>
    <row r="54" spans="1:6" x14ac:dyDescent="0.25">
      <c r="A54" s="55" t="s">
        <v>182</v>
      </c>
      <c r="B54">
        <f>B$43</f>
        <v>0.05</v>
      </c>
      <c r="C54">
        <f>C$43</f>
        <v>6.4799999999999996E-2</v>
      </c>
    </row>
    <row r="55" spans="1:6" s="67" customFormat="1" ht="15.75" thickBot="1" x14ac:dyDescent="0.3">
      <c r="A55" s="68" t="s">
        <v>183</v>
      </c>
      <c r="B55" s="67">
        <f>B$43</f>
        <v>0.05</v>
      </c>
      <c r="C55" s="67">
        <f>C$43</f>
        <v>6.4799999999999996E-2</v>
      </c>
      <c r="D55" s="85"/>
      <c r="E55" s="85"/>
    </row>
    <row r="56" spans="1:6" x14ac:dyDescent="0.25">
      <c r="A56" s="75" t="s">
        <v>221</v>
      </c>
      <c r="B56" s="81">
        <v>0.05</v>
      </c>
      <c r="C56" s="81">
        <v>0.09</v>
      </c>
    </row>
    <row r="57" spans="1:6" x14ac:dyDescent="0.25">
      <c r="A57" s="54" t="s">
        <v>222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223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224</v>
      </c>
      <c r="B59">
        <f t="shared" si="6"/>
        <v>0.05</v>
      </c>
      <c r="C59">
        <f t="shared" si="6"/>
        <v>0.09</v>
      </c>
    </row>
    <row r="60" spans="1:6" s="67" customFormat="1" ht="15.75" thickBot="1" x14ac:dyDescent="0.3">
      <c r="A60" s="70" t="s">
        <v>225</v>
      </c>
      <c r="B60" s="67">
        <f t="shared" si="6"/>
        <v>0.05</v>
      </c>
      <c r="C60" s="67">
        <f t="shared" si="6"/>
        <v>0.09</v>
      </c>
      <c r="D60" s="85"/>
      <c r="E60" s="85"/>
    </row>
    <row r="61" spans="1:6" x14ac:dyDescent="0.25">
      <c r="A61" s="75" t="s">
        <v>226</v>
      </c>
      <c r="B61">
        <v>0.05</v>
      </c>
      <c r="C61">
        <f>17*Ref!B18</f>
        <v>6.1199999999999997E-2</v>
      </c>
      <c r="F61" t="s">
        <v>199</v>
      </c>
    </row>
    <row r="62" spans="1:6" x14ac:dyDescent="0.25">
      <c r="A62" s="54" t="s">
        <v>227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228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229</v>
      </c>
      <c r="B64">
        <f t="shared" si="7"/>
        <v>0.05</v>
      </c>
      <c r="C64">
        <f t="shared" si="7"/>
        <v>6.1199999999999997E-2</v>
      </c>
    </row>
    <row r="65" spans="1:5" s="67" customFormat="1" ht="15.75" thickBot="1" x14ac:dyDescent="0.3">
      <c r="A65" s="70" t="s">
        <v>230</v>
      </c>
      <c r="B65" s="67">
        <f t="shared" si="7"/>
        <v>0.05</v>
      </c>
      <c r="C65" s="67">
        <f t="shared" si="7"/>
        <v>6.1199999999999997E-2</v>
      </c>
      <c r="D65" s="85"/>
      <c r="E65" s="85"/>
    </row>
    <row r="66" spans="1:5" s="1" customFormat="1" x14ac:dyDescent="0.25">
      <c r="A66" s="75" t="s">
        <v>231</v>
      </c>
      <c r="B66" s="1">
        <v>0.05</v>
      </c>
      <c r="C66" s="78">
        <f>20*Ref!B18</f>
        <v>7.1999999999999995E-2</v>
      </c>
      <c r="D66" s="84"/>
      <c r="E66" s="84"/>
    </row>
    <row r="67" spans="1:5" x14ac:dyDescent="0.25">
      <c r="A67" s="54" t="s">
        <v>232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233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234</v>
      </c>
      <c r="B69" s="62">
        <f t="shared" si="8"/>
        <v>0.05</v>
      </c>
      <c r="C69" s="62">
        <f t="shared" si="8"/>
        <v>7.1999999999999995E-2</v>
      </c>
    </row>
    <row r="70" spans="1:5" s="67" customFormat="1" ht="15.75" thickBot="1" x14ac:dyDescent="0.3">
      <c r="A70" s="70" t="s">
        <v>235</v>
      </c>
      <c r="B70" s="86">
        <f t="shared" si="8"/>
        <v>0.05</v>
      </c>
      <c r="C70" s="86">
        <f t="shared" si="8"/>
        <v>7.1999999999999995E-2</v>
      </c>
      <c r="D70" s="85"/>
      <c r="E70" s="85"/>
    </row>
    <row r="71" spans="1:5" x14ac:dyDescent="0.25">
      <c r="A71" s="75" t="s">
        <v>236</v>
      </c>
      <c r="B71" s="81">
        <v>0.05</v>
      </c>
      <c r="C71" s="81">
        <v>6.1199999999999997E-2</v>
      </c>
    </row>
    <row r="72" spans="1:5" x14ac:dyDescent="0.25">
      <c r="A72" s="54" t="s">
        <v>237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238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239</v>
      </c>
      <c r="B74" s="62">
        <f t="shared" si="9"/>
        <v>0.05</v>
      </c>
      <c r="C74" s="62">
        <f t="shared" si="9"/>
        <v>6.1199999999999997E-2</v>
      </c>
    </row>
    <row r="75" spans="1:5" s="67" customFormat="1" ht="15.75" thickBot="1" x14ac:dyDescent="0.3">
      <c r="A75" s="70" t="s">
        <v>240</v>
      </c>
      <c r="B75" s="86">
        <f t="shared" si="9"/>
        <v>0.05</v>
      </c>
      <c r="C75" s="86">
        <f t="shared" si="9"/>
        <v>6.1199999999999997E-2</v>
      </c>
      <c r="D75" s="85"/>
      <c r="E75" s="8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2" sqref="B52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200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0.01</v>
      </c>
      <c r="C5" t="s">
        <v>112</v>
      </c>
      <c r="D5">
        <v>0</v>
      </c>
      <c r="E5" t="s">
        <v>23</v>
      </c>
      <c r="F5">
        <v>0</v>
      </c>
      <c r="G5">
        <v>0.1</v>
      </c>
    </row>
    <row r="6" spans="1:8" hidden="1" x14ac:dyDescent="0.25">
      <c r="A6" t="s">
        <v>107</v>
      </c>
      <c r="B6">
        <v>0</v>
      </c>
      <c r="C6" t="s">
        <v>113</v>
      </c>
      <c r="D6">
        <v>0</v>
      </c>
      <c r="E6" t="s">
        <v>23</v>
      </c>
      <c r="F6">
        <v>0</v>
      </c>
      <c r="G6">
        <v>0</v>
      </c>
    </row>
    <row r="7" spans="1:8" hidden="1" x14ac:dyDescent="0.25">
      <c r="A7" t="s">
        <v>108</v>
      </c>
      <c r="B7">
        <f>0.6/28.2</f>
        <v>2.1276595744680851E-2</v>
      </c>
      <c r="C7" t="s">
        <v>112</v>
      </c>
      <c r="D7">
        <v>0</v>
      </c>
      <c r="E7" t="s">
        <v>23</v>
      </c>
      <c r="F7">
        <f>0.018*0.56</f>
        <v>1.008E-2</v>
      </c>
      <c r="G7">
        <v>7.4999999999999997E-2</v>
      </c>
    </row>
    <row r="8" spans="1:8" hidden="1" x14ac:dyDescent="0.25">
      <c r="A8" t="s">
        <v>109</v>
      </c>
      <c r="B8">
        <v>0.01</v>
      </c>
      <c r="C8" t="s">
        <v>116</v>
      </c>
      <c r="D8">
        <v>0</v>
      </c>
      <c r="E8" t="s">
        <v>23</v>
      </c>
      <c r="F8" s="33">
        <v>0.3</v>
      </c>
      <c r="G8">
        <v>0.14000000000000001</v>
      </c>
    </row>
    <row r="9" spans="1:8" hidden="1" x14ac:dyDescent="0.25">
      <c r="A9" t="s">
        <v>110</v>
      </c>
      <c r="B9" s="23">
        <v>0.01</v>
      </c>
      <c r="C9" t="s">
        <v>112</v>
      </c>
      <c r="D9">
        <v>0</v>
      </c>
      <c r="E9" t="s">
        <v>23</v>
      </c>
      <c r="F9" s="23">
        <v>0</v>
      </c>
      <c r="G9" s="23">
        <v>0</v>
      </c>
    </row>
    <row r="10" spans="1:8" hidden="1" x14ac:dyDescent="0.25">
      <c r="A10" t="s">
        <v>111</v>
      </c>
      <c r="B10" s="34">
        <f>0.37/30.23</f>
        <v>1.2239497188223619E-2</v>
      </c>
      <c r="C10" t="s">
        <v>119</v>
      </c>
      <c r="D10">
        <v>0</v>
      </c>
      <c r="E10" t="s">
        <v>23</v>
      </c>
      <c r="F10" s="23">
        <v>0</v>
      </c>
      <c r="G10" s="34">
        <v>0.1</v>
      </c>
      <c r="H10" t="s">
        <v>155</v>
      </c>
    </row>
    <row r="11" spans="1:8" hidden="1" x14ac:dyDescent="0.25">
      <c r="A11" t="s">
        <v>126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131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132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133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134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136</v>
      </c>
      <c r="B16">
        <v>0</v>
      </c>
      <c r="C16" t="s">
        <v>137</v>
      </c>
      <c r="D16">
        <v>0</v>
      </c>
      <c r="E16" t="s">
        <v>23</v>
      </c>
      <c r="F16">
        <v>0</v>
      </c>
      <c r="G16">
        <v>0</v>
      </c>
    </row>
    <row r="17" spans="1:7" hidden="1" x14ac:dyDescent="0.25">
      <c r="A17" t="s">
        <v>127</v>
      </c>
      <c r="B17">
        <v>0.01</v>
      </c>
      <c r="C17" t="s">
        <v>112</v>
      </c>
      <c r="D17">
        <v>0</v>
      </c>
      <c r="E17" t="s">
        <v>23</v>
      </c>
      <c r="F17">
        <v>0</v>
      </c>
      <c r="G17">
        <v>0</v>
      </c>
    </row>
    <row r="18" spans="1:7" hidden="1" x14ac:dyDescent="0.25">
      <c r="A18" t="s">
        <v>158</v>
      </c>
      <c r="B18">
        <f>0.6/28.2</f>
        <v>2.1276595744680851E-2</v>
      </c>
      <c r="C18" t="s">
        <v>112</v>
      </c>
      <c r="D18">
        <v>0</v>
      </c>
      <c r="E18" t="s">
        <v>23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151</v>
      </c>
      <c r="B19">
        <f>0.6/28.2</f>
        <v>2.1276595744680851E-2</v>
      </c>
      <c r="C19" t="s">
        <v>112</v>
      </c>
      <c r="D19">
        <v>0</v>
      </c>
      <c r="E19" t="s">
        <v>23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152</v>
      </c>
      <c r="B20">
        <f>0.563/28.2</f>
        <v>1.9964539007092198E-2</v>
      </c>
      <c r="C20" t="s">
        <v>112</v>
      </c>
      <c r="D20">
        <v>0</v>
      </c>
      <c r="E20" t="s">
        <v>23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143</v>
      </c>
      <c r="B21">
        <f>0.563/28.2</f>
        <v>1.9964539007092198E-2</v>
      </c>
      <c r="C21" t="s">
        <v>112</v>
      </c>
      <c r="D21">
        <v>0</v>
      </c>
      <c r="E21" t="s">
        <v>23</v>
      </c>
      <c r="F21" s="23">
        <v>0.01</v>
      </c>
      <c r="G21">
        <v>5.3999999999999999E-2</v>
      </c>
    </row>
    <row r="22" spans="1:7" hidden="1" x14ac:dyDescent="0.25">
      <c r="A22" t="s">
        <v>153</v>
      </c>
    </row>
    <row r="23" spans="1:7" s="30" customFormat="1" hidden="1" x14ac:dyDescent="0.25">
      <c r="A23" s="30" t="s">
        <v>156</v>
      </c>
    </row>
    <row r="24" spans="1:7" s="30" customFormat="1" x14ac:dyDescent="0.25">
      <c r="A24" s="59" t="s">
        <v>244</v>
      </c>
      <c r="B24" s="30">
        <f>0.0509/0.75</f>
        <v>6.7866666666666672E-2</v>
      </c>
      <c r="C24" s="30" t="s">
        <v>248</v>
      </c>
    </row>
    <row r="25" spans="1:7" s="105" customFormat="1" x14ac:dyDescent="0.25">
      <c r="A25" s="101" t="s">
        <v>201</v>
      </c>
      <c r="B25" s="105">
        <f>0.563/28.2</f>
        <v>1.9964539007092198E-2</v>
      </c>
      <c r="C25" s="105" t="s">
        <v>112</v>
      </c>
      <c r="D25" s="105">
        <v>0</v>
      </c>
      <c r="E25" s="105" t="s">
        <v>23</v>
      </c>
      <c r="F25" s="105">
        <f>0.018*0.56</f>
        <v>1.008E-2</v>
      </c>
      <c r="G25" s="105">
        <f>0.075</f>
        <v>7.4999999999999997E-2</v>
      </c>
    </row>
    <row r="26" spans="1:7" x14ac:dyDescent="0.25">
      <c r="A26" s="74" t="s">
        <v>202</v>
      </c>
      <c r="B26">
        <f>0.563/28.2</f>
        <v>1.9964539007092198E-2</v>
      </c>
      <c r="C26" t="s">
        <v>112</v>
      </c>
      <c r="D26">
        <v>0</v>
      </c>
      <c r="E26" t="s">
        <v>23</v>
      </c>
      <c r="F26" s="23">
        <v>0.01</v>
      </c>
      <c r="G26">
        <v>5.3999999999999999E-2</v>
      </c>
    </row>
    <row r="27" spans="1:7" x14ac:dyDescent="0.25">
      <c r="A27" s="74" t="s">
        <v>203</v>
      </c>
      <c r="B27">
        <f>0.563/28.2</f>
        <v>1.9964539007092198E-2</v>
      </c>
      <c r="C27" t="s">
        <v>112</v>
      </c>
      <c r="D27">
        <v>0</v>
      </c>
      <c r="E27" t="s">
        <v>23</v>
      </c>
      <c r="F27" s="23">
        <v>0.01</v>
      </c>
      <c r="G27">
        <v>5.3999999999999999E-2</v>
      </c>
    </row>
    <row r="28" spans="1:7" x14ac:dyDescent="0.25">
      <c r="A28" s="55" t="s">
        <v>204</v>
      </c>
      <c r="B28">
        <f t="shared" ref="B28:G28" si="3">B$25</f>
        <v>1.9964539007092198E-2</v>
      </c>
      <c r="C28" t="str">
        <f t="shared" si="3"/>
        <v>coke - IPCC</v>
      </c>
      <c r="D28">
        <f t="shared" si="3"/>
        <v>0</v>
      </c>
      <c r="E28" t="str">
        <f t="shared" si="3"/>
        <v>charcoal</v>
      </c>
      <c r="F28">
        <f t="shared" si="3"/>
        <v>1.008E-2</v>
      </c>
      <c r="G28">
        <f t="shared" si="3"/>
        <v>7.4999999999999997E-2</v>
      </c>
    </row>
    <row r="29" spans="1:7" x14ac:dyDescent="0.25">
      <c r="A29" s="55" t="s">
        <v>205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</v>
      </c>
      <c r="F29">
        <f t="shared" si="4"/>
        <v>0.01</v>
      </c>
      <c r="G29">
        <f t="shared" si="4"/>
        <v>5.3999999999999999E-2</v>
      </c>
    </row>
    <row r="30" spans="1:7" x14ac:dyDescent="0.25">
      <c r="A30" s="55" t="s">
        <v>206</v>
      </c>
      <c r="B30">
        <f>B$25</f>
        <v>1.9964539007092198E-2</v>
      </c>
      <c r="C30" t="str">
        <f>C$25</f>
        <v>coke - IPCC</v>
      </c>
      <c r="D30" s="56">
        <v>0.5</v>
      </c>
      <c r="E30" t="str">
        <f>E$25</f>
        <v>charcoal</v>
      </c>
      <c r="F30">
        <f>F$25</f>
        <v>1.008E-2</v>
      </c>
      <c r="G30">
        <f>G$25</f>
        <v>7.4999999999999997E-2</v>
      </c>
    </row>
    <row r="31" spans="1:7" x14ac:dyDescent="0.25">
      <c r="A31" s="55" t="s">
        <v>207</v>
      </c>
      <c r="B31">
        <f>B$26</f>
        <v>1.9964539007092198E-2</v>
      </c>
      <c r="C31" t="str">
        <f t="shared" ref="C31:G32" si="5">C$26</f>
        <v>coke - IPCC</v>
      </c>
      <c r="D31" s="56">
        <v>0.5</v>
      </c>
      <c r="E31" t="str">
        <f t="shared" si="5"/>
        <v>charcoal</v>
      </c>
      <c r="F31">
        <f t="shared" si="5"/>
        <v>0.01</v>
      </c>
      <c r="G31">
        <f t="shared" si="5"/>
        <v>5.3999999999999999E-2</v>
      </c>
    </row>
    <row r="32" spans="1:7" x14ac:dyDescent="0.25">
      <c r="A32" s="55" t="s">
        <v>208</v>
      </c>
      <c r="B32">
        <f>B$26</f>
        <v>1.9964539007092198E-2</v>
      </c>
      <c r="C32" t="str">
        <f t="shared" si="5"/>
        <v>coke - IPCC</v>
      </c>
      <c r="D32" s="56">
        <v>0.5</v>
      </c>
      <c r="E32" t="str">
        <f t="shared" si="5"/>
        <v>charcoal</v>
      </c>
      <c r="F32">
        <f t="shared" si="5"/>
        <v>0.01</v>
      </c>
      <c r="G32">
        <f t="shared" si="5"/>
        <v>5.3999999999999999E-2</v>
      </c>
    </row>
    <row r="33" spans="1:7" x14ac:dyDescent="0.25">
      <c r="A33" s="55" t="s">
        <v>209</v>
      </c>
      <c r="B33">
        <f t="shared" ref="B33:C35" si="6">B$25</f>
        <v>1.9964539007092198E-2</v>
      </c>
      <c r="C33" t="str">
        <f t="shared" si="6"/>
        <v>coke - IPCC</v>
      </c>
      <c r="D33" s="56">
        <v>1</v>
      </c>
      <c r="E33" t="str">
        <f>E$25</f>
        <v>charcoal</v>
      </c>
      <c r="F33">
        <f>F$25</f>
        <v>1.008E-2</v>
      </c>
      <c r="G33">
        <f>G$25</f>
        <v>7.4999999999999997E-2</v>
      </c>
    </row>
    <row r="34" spans="1:7" x14ac:dyDescent="0.25">
      <c r="A34" s="55" t="s">
        <v>210</v>
      </c>
      <c r="B34">
        <f t="shared" si="6"/>
        <v>1.9964539007092198E-2</v>
      </c>
      <c r="C34" t="str">
        <f t="shared" si="6"/>
        <v>coke - IPCC</v>
      </c>
      <c r="D34" s="56">
        <v>0.2</v>
      </c>
      <c r="E34" t="s">
        <v>184</v>
      </c>
      <c r="F34">
        <f>F$25</f>
        <v>1.008E-2</v>
      </c>
      <c r="G34">
        <f>G$25</f>
        <v>7.4999999999999997E-2</v>
      </c>
    </row>
    <row r="35" spans="1:7" x14ac:dyDescent="0.25">
      <c r="A35" s="55" t="s">
        <v>174</v>
      </c>
      <c r="B35">
        <f t="shared" si="6"/>
        <v>1.9964539007092198E-2</v>
      </c>
      <c r="C35" t="str">
        <f t="shared" si="6"/>
        <v>coke - IPCC</v>
      </c>
      <c r="D35" s="56">
        <v>0.2</v>
      </c>
      <c r="E35" t="s">
        <v>184</v>
      </c>
      <c r="F35">
        <f>F$25</f>
        <v>1.008E-2</v>
      </c>
      <c r="G35">
        <f>G$25</f>
        <v>7.4999999999999997E-2</v>
      </c>
    </row>
    <row r="36" spans="1:7" x14ac:dyDescent="0.25">
      <c r="A36" s="55" t="s">
        <v>175</v>
      </c>
      <c r="B36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</v>
      </c>
      <c r="F36">
        <f t="shared" si="7"/>
        <v>0.01</v>
      </c>
      <c r="G36">
        <f t="shared" si="7"/>
        <v>5.3999999999999999E-2</v>
      </c>
    </row>
    <row r="37" spans="1:7" x14ac:dyDescent="0.25">
      <c r="A37" s="55" t="s">
        <v>176</v>
      </c>
      <c r="B37">
        <f>B$26</f>
        <v>1.9964539007092198E-2</v>
      </c>
      <c r="C37" t="str">
        <f t="shared" si="7"/>
        <v>coke - IPCC</v>
      </c>
      <c r="D37" s="56">
        <v>0.5</v>
      </c>
      <c r="E37" t="str">
        <f t="shared" si="7"/>
        <v>charcoal</v>
      </c>
      <c r="F37">
        <f t="shared" si="7"/>
        <v>0.01</v>
      </c>
      <c r="G37">
        <f t="shared" si="7"/>
        <v>5.3999999999999999E-2</v>
      </c>
    </row>
    <row r="38" spans="1:7" x14ac:dyDescent="0.25">
      <c r="A38" s="55" t="s">
        <v>177</v>
      </c>
      <c r="B38">
        <f>B$26</f>
        <v>1.9964539007092198E-2</v>
      </c>
      <c r="C38" t="str">
        <f t="shared" ref="C38:G39" si="8">C$26</f>
        <v>coke - IPCC</v>
      </c>
      <c r="D38" s="56">
        <v>0</v>
      </c>
      <c r="E38" t="str">
        <f t="shared" si="8"/>
        <v>charcoal</v>
      </c>
      <c r="F38">
        <f t="shared" si="8"/>
        <v>0.01</v>
      </c>
      <c r="G38">
        <f t="shared" si="8"/>
        <v>5.3999999999999999E-2</v>
      </c>
    </row>
    <row r="39" spans="1:7" s="67" customFormat="1" ht="15.75" thickBot="1" x14ac:dyDescent="0.3">
      <c r="A39" s="68" t="s">
        <v>178</v>
      </c>
      <c r="B39" s="67">
        <f>B$26</f>
        <v>1.9964539007092198E-2</v>
      </c>
      <c r="C39" s="67" t="str">
        <f t="shared" si="8"/>
        <v>coke - IPCC</v>
      </c>
      <c r="D39" s="69">
        <v>0.5</v>
      </c>
      <c r="E39" s="67" t="str">
        <f t="shared" si="8"/>
        <v>charcoal</v>
      </c>
      <c r="F39" s="67">
        <f t="shared" si="8"/>
        <v>0.01</v>
      </c>
      <c r="G39" s="67">
        <f t="shared" si="8"/>
        <v>5.3999999999999999E-2</v>
      </c>
    </row>
    <row r="40" spans="1:7" s="1" customFormat="1" x14ac:dyDescent="0.25">
      <c r="A40" s="74" t="s">
        <v>211</v>
      </c>
      <c r="B40" s="81">
        <v>2.5000000000000001E-2</v>
      </c>
      <c r="C40" s="1" t="s">
        <v>113</v>
      </c>
      <c r="D40" s="1">
        <v>0</v>
      </c>
      <c r="E40" s="1" t="s">
        <v>23</v>
      </c>
      <c r="F40" s="81">
        <v>0.01</v>
      </c>
      <c r="G40" s="81">
        <v>0.1</v>
      </c>
    </row>
    <row r="41" spans="1:7" s="1" customFormat="1" x14ac:dyDescent="0.25">
      <c r="A41" s="74" t="s">
        <v>212</v>
      </c>
      <c r="B41" s="81">
        <f>0.563/28.2</f>
        <v>1.9964539007092198E-2</v>
      </c>
      <c r="C41" s="1" t="s">
        <v>113</v>
      </c>
      <c r="D41" s="1">
        <v>0</v>
      </c>
      <c r="E41" s="1" t="s">
        <v>23</v>
      </c>
      <c r="F41" s="81">
        <f>0.018*0.56</f>
        <v>1.008E-2</v>
      </c>
      <c r="G41" s="81">
        <f>0.075</f>
        <v>7.4999999999999997E-2</v>
      </c>
    </row>
    <row r="42" spans="1:7" s="1" customFormat="1" x14ac:dyDescent="0.25">
      <c r="A42" s="74" t="s">
        <v>213</v>
      </c>
      <c r="B42" s="81">
        <f>0.563/28.2</f>
        <v>1.9964539007092198E-2</v>
      </c>
      <c r="C42" s="1" t="s">
        <v>113</v>
      </c>
      <c r="D42" s="1">
        <v>0</v>
      </c>
      <c r="E42" s="1" t="s">
        <v>23</v>
      </c>
      <c r="F42" s="81">
        <v>0.01</v>
      </c>
      <c r="G42" s="81">
        <v>5.3999999999999999E-2</v>
      </c>
    </row>
    <row r="43" spans="1:7" x14ac:dyDescent="0.25">
      <c r="A43" s="55" t="s">
        <v>214</v>
      </c>
      <c r="B43">
        <f>B$42</f>
        <v>1.9964539007092198E-2</v>
      </c>
      <c r="C43" t="str">
        <f>C$42</f>
        <v>coke - CN</v>
      </c>
      <c r="D43">
        <f>D$25</f>
        <v>0</v>
      </c>
      <c r="E43" t="str">
        <f>E$25</f>
        <v>charcoal</v>
      </c>
      <c r="F43">
        <f>F$42</f>
        <v>0.01</v>
      </c>
      <c r="G43">
        <f>G$42</f>
        <v>5.3999999999999999E-2</v>
      </c>
    </row>
    <row r="44" spans="1:7" x14ac:dyDescent="0.25">
      <c r="A44" s="55" t="s">
        <v>215</v>
      </c>
      <c r="B44">
        <f>B$41</f>
        <v>1.9964539007092198E-2</v>
      </c>
      <c r="C44" t="str">
        <f>C$41</f>
        <v>coke - CN</v>
      </c>
      <c r="D44">
        <f t="shared" ref="D44:E44" si="9">D$26</f>
        <v>0</v>
      </c>
      <c r="E44" t="str">
        <f t="shared" si="9"/>
        <v>charcoal</v>
      </c>
      <c r="F44">
        <f>F$41</f>
        <v>1.008E-2</v>
      </c>
      <c r="G44">
        <f>G$41</f>
        <v>7.4999999999999997E-2</v>
      </c>
    </row>
    <row r="45" spans="1:7" x14ac:dyDescent="0.25">
      <c r="A45" s="55" t="s">
        <v>216</v>
      </c>
      <c r="B45">
        <f>B$40</f>
        <v>2.5000000000000001E-2</v>
      </c>
      <c r="C45" t="str">
        <f>C$40</f>
        <v>coke - CN</v>
      </c>
      <c r="D45" s="56">
        <v>0.5</v>
      </c>
      <c r="E45" t="str">
        <f>E$25</f>
        <v>charcoal</v>
      </c>
      <c r="F45">
        <f>F$40</f>
        <v>0.01</v>
      </c>
      <c r="G45">
        <f>G$40</f>
        <v>0.1</v>
      </c>
    </row>
    <row r="46" spans="1:7" x14ac:dyDescent="0.25">
      <c r="A46" s="55" t="s">
        <v>217</v>
      </c>
      <c r="B46">
        <f>B$41</f>
        <v>1.9964539007092198E-2</v>
      </c>
      <c r="C46" t="str">
        <f>C$41</f>
        <v>coke - CN</v>
      </c>
      <c r="D46" s="56">
        <v>0.5</v>
      </c>
      <c r="E46" t="str">
        <f t="shared" ref="E46:E47" si="10">E$26</f>
        <v>charcoal</v>
      </c>
      <c r="F46">
        <f>F$41</f>
        <v>1.008E-2</v>
      </c>
      <c r="G46">
        <f>G$41</f>
        <v>7.4999999999999997E-2</v>
      </c>
    </row>
    <row r="47" spans="1:7" x14ac:dyDescent="0.25">
      <c r="A47" s="55" t="s">
        <v>218</v>
      </c>
      <c r="B47">
        <f>B$42</f>
        <v>1.9964539007092198E-2</v>
      </c>
      <c r="C47" t="str">
        <f>C$42</f>
        <v>coke - CN</v>
      </c>
      <c r="D47" s="56">
        <v>0.5</v>
      </c>
      <c r="E47" t="str">
        <f t="shared" si="10"/>
        <v>charcoal</v>
      </c>
      <c r="F47">
        <f>F$42</f>
        <v>0.01</v>
      </c>
      <c r="G47">
        <f>G$42</f>
        <v>5.3999999999999999E-2</v>
      </c>
    </row>
    <row r="48" spans="1:7" x14ac:dyDescent="0.25">
      <c r="A48" s="55" t="s">
        <v>219</v>
      </c>
      <c r="B48">
        <f t="shared" ref="B48:C50" si="11">B$40</f>
        <v>2.5000000000000001E-2</v>
      </c>
      <c r="C48" t="str">
        <f t="shared" si="11"/>
        <v>coke - CN</v>
      </c>
      <c r="D48" s="56">
        <v>1</v>
      </c>
      <c r="E48" t="str">
        <f>E$25</f>
        <v>charcoal</v>
      </c>
      <c r="F48">
        <f t="shared" ref="F48:G50" si="12">F$40</f>
        <v>0.01</v>
      </c>
      <c r="G48">
        <f t="shared" si="12"/>
        <v>0.1</v>
      </c>
    </row>
    <row r="49" spans="1:7" x14ac:dyDescent="0.25">
      <c r="A49" s="55" t="s">
        <v>220</v>
      </c>
      <c r="B49">
        <f t="shared" si="11"/>
        <v>2.5000000000000001E-2</v>
      </c>
      <c r="C49" t="str">
        <f t="shared" si="11"/>
        <v>coke - CN</v>
      </c>
      <c r="D49" s="56">
        <v>0.2</v>
      </c>
      <c r="E49" t="s">
        <v>184</v>
      </c>
      <c r="F49">
        <f t="shared" si="12"/>
        <v>0.01</v>
      </c>
      <c r="G49">
        <f t="shared" si="12"/>
        <v>0.1</v>
      </c>
    </row>
    <row r="50" spans="1:7" x14ac:dyDescent="0.25">
      <c r="A50" s="55" t="s">
        <v>179</v>
      </c>
      <c r="B50">
        <f t="shared" si="11"/>
        <v>2.5000000000000001E-2</v>
      </c>
      <c r="C50" t="str">
        <f t="shared" si="11"/>
        <v>coke - CN</v>
      </c>
      <c r="D50" s="3">
        <v>0</v>
      </c>
      <c r="E50" s="3" t="s">
        <v>23</v>
      </c>
      <c r="F50">
        <f t="shared" si="12"/>
        <v>0.01</v>
      </c>
      <c r="G50">
        <f t="shared" si="12"/>
        <v>0.1</v>
      </c>
    </row>
    <row r="51" spans="1:7" x14ac:dyDescent="0.25">
      <c r="A51" s="55" t="s">
        <v>180</v>
      </c>
      <c r="B51">
        <f>B$41</f>
        <v>1.9964539007092198E-2</v>
      </c>
      <c r="C51" t="str">
        <f>C$41</f>
        <v>coke - CN</v>
      </c>
      <c r="D51">
        <f t="shared" ref="D51:E54" si="13">D$26</f>
        <v>0</v>
      </c>
      <c r="E51" t="str">
        <f t="shared" si="13"/>
        <v>charcoal</v>
      </c>
      <c r="F51">
        <f>F$41</f>
        <v>1.008E-2</v>
      </c>
      <c r="G51">
        <f>G$41</f>
        <v>7.4999999999999997E-2</v>
      </c>
    </row>
    <row r="52" spans="1:7" x14ac:dyDescent="0.25">
      <c r="A52" s="55" t="s">
        <v>181</v>
      </c>
      <c r="B52">
        <f>B$41</f>
        <v>1.9964539007092198E-2</v>
      </c>
      <c r="C52" t="str">
        <f>C$41</f>
        <v>coke - CN</v>
      </c>
      <c r="D52" s="56">
        <v>0.5</v>
      </c>
      <c r="E52" t="str">
        <f t="shared" si="13"/>
        <v>charcoal</v>
      </c>
      <c r="F52">
        <f>F$41</f>
        <v>1.008E-2</v>
      </c>
      <c r="G52">
        <f>G$41</f>
        <v>7.4999999999999997E-2</v>
      </c>
    </row>
    <row r="53" spans="1:7" x14ac:dyDescent="0.25">
      <c r="A53" s="55" t="s">
        <v>182</v>
      </c>
      <c r="B53">
        <f>B$42</f>
        <v>1.9964539007092198E-2</v>
      </c>
      <c r="C53" t="str">
        <f>C$42</f>
        <v>coke - CN</v>
      </c>
      <c r="D53" s="56">
        <v>0</v>
      </c>
      <c r="E53" t="str">
        <f t="shared" si="13"/>
        <v>charcoal</v>
      </c>
      <c r="F53">
        <f t="shared" ref="F53:G54" si="14">F$42</f>
        <v>0.01</v>
      </c>
      <c r="G53">
        <f t="shared" si="14"/>
        <v>5.3999999999999999E-2</v>
      </c>
    </row>
    <row r="54" spans="1:7" s="67" customFormat="1" ht="15.75" thickBot="1" x14ac:dyDescent="0.3">
      <c r="A54" s="68" t="s">
        <v>183</v>
      </c>
      <c r="B54" s="67">
        <f>B$42</f>
        <v>1.9964539007092198E-2</v>
      </c>
      <c r="C54" s="67" t="str">
        <f>C$42</f>
        <v>coke - CN</v>
      </c>
      <c r="D54" s="69">
        <v>0.5</v>
      </c>
      <c r="E54" s="67" t="str">
        <f t="shared" si="13"/>
        <v>charcoal</v>
      </c>
      <c r="F54" s="67">
        <f t="shared" si="14"/>
        <v>0.01</v>
      </c>
      <c r="G54" s="67">
        <f t="shared" si="14"/>
        <v>5.3999999999999999E-2</v>
      </c>
    </row>
    <row r="55" spans="1:7" s="1" customFormat="1" x14ac:dyDescent="0.25">
      <c r="A55" s="75" t="s">
        <v>221</v>
      </c>
      <c r="B55" s="1">
        <v>0.01</v>
      </c>
      <c r="C55" s="1" t="s">
        <v>116</v>
      </c>
      <c r="D55" s="1">
        <v>0</v>
      </c>
      <c r="E55" s="1" t="s">
        <v>23</v>
      </c>
      <c r="F55" s="1">
        <v>0.3</v>
      </c>
      <c r="G55" s="1">
        <v>0.14000000000000001</v>
      </c>
    </row>
    <row r="56" spans="1:7" x14ac:dyDescent="0.25">
      <c r="A56" s="54" t="s">
        <v>222</v>
      </c>
      <c r="B56">
        <f t="shared" ref="B56:C59" si="15">B$55</f>
        <v>0.01</v>
      </c>
      <c r="C56" t="str">
        <f t="shared" si="15"/>
        <v>coke - JP IPCC</v>
      </c>
      <c r="D56">
        <f t="shared" ref="D56:E58" si="16">D$25</f>
        <v>0</v>
      </c>
      <c r="E56" t="str">
        <f t="shared" si="16"/>
        <v>charcoal</v>
      </c>
      <c r="F56">
        <f t="shared" ref="F56:G59" si="17">F$55</f>
        <v>0.3</v>
      </c>
      <c r="G56">
        <f t="shared" si="17"/>
        <v>0.14000000000000001</v>
      </c>
    </row>
    <row r="57" spans="1:7" x14ac:dyDescent="0.25">
      <c r="A57" s="54" t="s">
        <v>223</v>
      </c>
      <c r="B57">
        <f t="shared" si="15"/>
        <v>0.01</v>
      </c>
      <c r="C57" t="str">
        <f t="shared" si="15"/>
        <v>coke - JP IPCC</v>
      </c>
      <c r="D57" s="56">
        <v>0.5</v>
      </c>
      <c r="E57" t="str">
        <f t="shared" si="16"/>
        <v>charcoal</v>
      </c>
      <c r="F57">
        <f t="shared" si="17"/>
        <v>0.3</v>
      </c>
      <c r="G57">
        <f t="shared" si="17"/>
        <v>0.14000000000000001</v>
      </c>
    </row>
    <row r="58" spans="1:7" x14ac:dyDescent="0.25">
      <c r="A58" s="54" t="s">
        <v>224</v>
      </c>
      <c r="B58">
        <f t="shared" si="15"/>
        <v>0.01</v>
      </c>
      <c r="C58" t="str">
        <f t="shared" si="15"/>
        <v>coke - JP IPCC</v>
      </c>
      <c r="D58" s="56">
        <v>1</v>
      </c>
      <c r="E58" t="str">
        <f t="shared" si="16"/>
        <v>charcoal</v>
      </c>
      <c r="F58">
        <f t="shared" si="17"/>
        <v>0.3</v>
      </c>
      <c r="G58">
        <f t="shared" si="17"/>
        <v>0.14000000000000001</v>
      </c>
    </row>
    <row r="59" spans="1:7" s="67" customFormat="1" ht="15.75" thickBot="1" x14ac:dyDescent="0.3">
      <c r="A59" s="70" t="s">
        <v>225</v>
      </c>
      <c r="B59" s="67">
        <f t="shared" si="15"/>
        <v>0.01</v>
      </c>
      <c r="C59" s="67" t="str">
        <f t="shared" si="15"/>
        <v>coke - JP IPCC</v>
      </c>
      <c r="D59" s="69">
        <v>0.2</v>
      </c>
      <c r="E59" s="67" t="s">
        <v>184</v>
      </c>
      <c r="F59" s="67">
        <f t="shared" si="17"/>
        <v>0.3</v>
      </c>
      <c r="G59" s="67">
        <f t="shared" si="17"/>
        <v>0.14000000000000001</v>
      </c>
    </row>
    <row r="60" spans="1:7" s="1" customFormat="1" x14ac:dyDescent="0.25">
      <c r="A60" s="75" t="s">
        <v>226</v>
      </c>
      <c r="B60" s="81">
        <v>0.01</v>
      </c>
      <c r="C60" s="1" t="s">
        <v>112</v>
      </c>
      <c r="D60" s="1">
        <v>0</v>
      </c>
      <c r="E60" s="1" t="s">
        <v>23</v>
      </c>
      <c r="F60" s="81">
        <v>0</v>
      </c>
      <c r="G60" s="81">
        <v>0</v>
      </c>
    </row>
    <row r="61" spans="1:7" x14ac:dyDescent="0.25">
      <c r="A61" s="54" t="s">
        <v>227</v>
      </c>
      <c r="B61" s="62">
        <f t="shared" ref="B61:C64" si="18">B$60</f>
        <v>0.01</v>
      </c>
      <c r="C61" s="62" t="str">
        <f t="shared" si="18"/>
        <v>coke - IPCC</v>
      </c>
      <c r="D61">
        <f t="shared" ref="D61:E63" si="19">D$25</f>
        <v>0</v>
      </c>
      <c r="E61" t="str">
        <f t="shared" si="19"/>
        <v>charcoal</v>
      </c>
      <c r="F61" s="62">
        <f t="shared" ref="F61:G64" si="20">F$60</f>
        <v>0</v>
      </c>
      <c r="G61" s="62">
        <f t="shared" si="20"/>
        <v>0</v>
      </c>
    </row>
    <row r="62" spans="1:7" x14ac:dyDescent="0.25">
      <c r="A62" s="54" t="s">
        <v>228</v>
      </c>
      <c r="B62" s="62">
        <f t="shared" si="18"/>
        <v>0.01</v>
      </c>
      <c r="C62" s="62" t="str">
        <f t="shared" si="18"/>
        <v>coke - IPCC</v>
      </c>
      <c r="D62" s="56">
        <v>0.5</v>
      </c>
      <c r="E62" t="str">
        <f t="shared" si="19"/>
        <v>charcoal</v>
      </c>
      <c r="F62" s="62">
        <f t="shared" si="20"/>
        <v>0</v>
      </c>
      <c r="G62" s="62">
        <f t="shared" si="20"/>
        <v>0</v>
      </c>
    </row>
    <row r="63" spans="1:7" x14ac:dyDescent="0.25">
      <c r="A63" s="54" t="s">
        <v>229</v>
      </c>
      <c r="B63" s="62">
        <f t="shared" si="18"/>
        <v>0.01</v>
      </c>
      <c r="C63" s="62" t="str">
        <f t="shared" si="18"/>
        <v>coke - IPCC</v>
      </c>
      <c r="D63" s="56">
        <v>1</v>
      </c>
      <c r="E63" t="str">
        <f t="shared" si="19"/>
        <v>charcoal</v>
      </c>
      <c r="F63" s="62">
        <f t="shared" si="20"/>
        <v>0</v>
      </c>
      <c r="G63" s="62">
        <f t="shared" si="20"/>
        <v>0</v>
      </c>
    </row>
    <row r="64" spans="1:7" s="67" customFormat="1" ht="15.75" thickBot="1" x14ac:dyDescent="0.3">
      <c r="A64" s="70" t="s">
        <v>230</v>
      </c>
      <c r="B64" s="86">
        <f t="shared" si="18"/>
        <v>0.01</v>
      </c>
      <c r="C64" s="86" t="str">
        <f t="shared" si="18"/>
        <v>coke - IPCC</v>
      </c>
      <c r="D64" s="69">
        <v>0.2</v>
      </c>
      <c r="E64" s="67" t="s">
        <v>184</v>
      </c>
      <c r="F64" s="86">
        <f t="shared" si="20"/>
        <v>0</v>
      </c>
      <c r="G64" s="86">
        <f t="shared" si="20"/>
        <v>0</v>
      </c>
    </row>
    <row r="65" spans="1:8" s="1" customFormat="1" x14ac:dyDescent="0.25">
      <c r="A65" s="75" t="s">
        <v>231</v>
      </c>
      <c r="B65" s="90">
        <f>0.37/30.23</f>
        <v>1.2239497188223619E-2</v>
      </c>
      <c r="C65" s="1" t="s">
        <v>119</v>
      </c>
      <c r="D65" s="1">
        <v>0</v>
      </c>
      <c r="E65" s="1" t="s">
        <v>23</v>
      </c>
      <c r="F65" s="81">
        <v>0</v>
      </c>
      <c r="G65" s="90">
        <v>0.1</v>
      </c>
      <c r="H65" s="1" t="s">
        <v>155</v>
      </c>
    </row>
    <row r="66" spans="1:8" x14ac:dyDescent="0.25">
      <c r="A66" s="54" t="s">
        <v>232</v>
      </c>
      <c r="B66" s="21">
        <f t="shared" ref="B66:C69" si="21">B$65</f>
        <v>1.2239497188223619E-2</v>
      </c>
      <c r="C66" s="21" t="str">
        <f t="shared" si="21"/>
        <v>coke - US</v>
      </c>
      <c r="D66">
        <f t="shared" ref="D66:E68" si="22">D$25</f>
        <v>0</v>
      </c>
      <c r="E66" t="str">
        <f t="shared" si="22"/>
        <v>charcoal</v>
      </c>
      <c r="F66" s="21">
        <f t="shared" ref="F66:G69" si="23">F$65</f>
        <v>0</v>
      </c>
      <c r="G66" s="21">
        <f t="shared" si="23"/>
        <v>0.1</v>
      </c>
    </row>
    <row r="67" spans="1:8" x14ac:dyDescent="0.25">
      <c r="A67" s="54" t="s">
        <v>233</v>
      </c>
      <c r="B67" s="21">
        <f t="shared" si="21"/>
        <v>1.2239497188223619E-2</v>
      </c>
      <c r="C67" s="21" t="str">
        <f t="shared" si="21"/>
        <v>coke - US</v>
      </c>
      <c r="D67" s="56">
        <v>0.5</v>
      </c>
      <c r="E67" t="str">
        <f t="shared" si="22"/>
        <v>charcoal</v>
      </c>
      <c r="F67" s="21">
        <f t="shared" si="23"/>
        <v>0</v>
      </c>
      <c r="G67" s="21">
        <f t="shared" si="23"/>
        <v>0.1</v>
      </c>
    </row>
    <row r="68" spans="1:8" x14ac:dyDescent="0.25">
      <c r="A68" s="54" t="s">
        <v>234</v>
      </c>
      <c r="B68" s="21">
        <f t="shared" si="21"/>
        <v>1.2239497188223619E-2</v>
      </c>
      <c r="C68" s="21" t="str">
        <f t="shared" si="21"/>
        <v>coke - US</v>
      </c>
      <c r="D68" s="56">
        <v>1</v>
      </c>
      <c r="E68" t="str">
        <f t="shared" si="22"/>
        <v>charcoal</v>
      </c>
      <c r="F68" s="21">
        <f t="shared" si="23"/>
        <v>0</v>
      </c>
      <c r="G68" s="21">
        <f t="shared" si="23"/>
        <v>0.1</v>
      </c>
    </row>
    <row r="69" spans="1:8" s="67" customFormat="1" ht="15.75" thickBot="1" x14ac:dyDescent="0.3">
      <c r="A69" s="70" t="s">
        <v>235</v>
      </c>
      <c r="B69" s="66">
        <f t="shared" si="21"/>
        <v>1.2239497188223619E-2</v>
      </c>
      <c r="C69" s="66" t="str">
        <f t="shared" si="21"/>
        <v>coke - US</v>
      </c>
      <c r="D69" s="69">
        <v>0.2</v>
      </c>
      <c r="E69" s="67" t="s">
        <v>184</v>
      </c>
      <c r="F69" s="66">
        <f t="shared" si="23"/>
        <v>0</v>
      </c>
      <c r="G69" s="66">
        <f t="shared" si="23"/>
        <v>0.1</v>
      </c>
    </row>
    <row r="70" spans="1:8" x14ac:dyDescent="0.25">
      <c r="A70" s="75" t="s">
        <v>236</v>
      </c>
      <c r="B70" s="81">
        <v>0.01</v>
      </c>
      <c r="C70" s="1" t="s">
        <v>112</v>
      </c>
      <c r="D70" s="1">
        <v>0</v>
      </c>
      <c r="E70" s="1" t="s">
        <v>23</v>
      </c>
      <c r="F70" s="81">
        <v>0</v>
      </c>
      <c r="G70" s="81">
        <v>0</v>
      </c>
    </row>
    <row r="71" spans="1:8" x14ac:dyDescent="0.25">
      <c r="A71" s="54" t="s">
        <v>237</v>
      </c>
      <c r="B71" s="63">
        <f t="shared" ref="B71:C74" si="24">B$70</f>
        <v>0.01</v>
      </c>
      <c r="C71" s="63" t="str">
        <f t="shared" si="24"/>
        <v>coke - IPCC</v>
      </c>
      <c r="D71">
        <f t="shared" ref="D71:E73" si="25">D$25</f>
        <v>0</v>
      </c>
      <c r="E71" t="str">
        <f t="shared" si="25"/>
        <v>charcoal</v>
      </c>
      <c r="F71" s="63">
        <f t="shared" ref="F71:G74" si="26">F$70</f>
        <v>0</v>
      </c>
      <c r="G71" s="63">
        <f t="shared" si="26"/>
        <v>0</v>
      </c>
    </row>
    <row r="72" spans="1:8" x14ac:dyDescent="0.25">
      <c r="A72" s="54" t="s">
        <v>238</v>
      </c>
      <c r="B72" s="63">
        <f t="shared" si="24"/>
        <v>0.01</v>
      </c>
      <c r="C72" s="63" t="str">
        <f t="shared" si="24"/>
        <v>coke - IPCC</v>
      </c>
      <c r="D72" s="56">
        <v>0.5</v>
      </c>
      <c r="E72" t="str">
        <f t="shared" si="25"/>
        <v>charcoal</v>
      </c>
      <c r="F72" s="63">
        <f t="shared" si="26"/>
        <v>0</v>
      </c>
      <c r="G72" s="63">
        <f t="shared" si="26"/>
        <v>0</v>
      </c>
    </row>
    <row r="73" spans="1:8" x14ac:dyDescent="0.25">
      <c r="A73" s="54" t="s">
        <v>239</v>
      </c>
      <c r="B73" s="63">
        <f t="shared" si="24"/>
        <v>0.01</v>
      </c>
      <c r="C73" s="63" t="str">
        <f t="shared" si="24"/>
        <v>coke - IPCC</v>
      </c>
      <c r="D73" s="56">
        <v>1</v>
      </c>
      <c r="E73" t="str">
        <f t="shared" si="25"/>
        <v>charcoal</v>
      </c>
      <c r="F73" s="63">
        <f t="shared" si="26"/>
        <v>0</v>
      </c>
      <c r="G73" s="63">
        <f t="shared" si="26"/>
        <v>0</v>
      </c>
    </row>
    <row r="74" spans="1:8" s="67" customFormat="1" ht="15.75" thickBot="1" x14ac:dyDescent="0.3">
      <c r="A74" s="70" t="s">
        <v>240</v>
      </c>
      <c r="B74" s="91">
        <f t="shared" si="24"/>
        <v>0.01</v>
      </c>
      <c r="C74" s="91" t="str">
        <f t="shared" si="24"/>
        <v>coke - IPCC</v>
      </c>
      <c r="D74" s="69">
        <v>0.2</v>
      </c>
      <c r="E74" s="67" t="s">
        <v>184</v>
      </c>
      <c r="F74" s="91">
        <f t="shared" si="26"/>
        <v>0</v>
      </c>
      <c r="G74" s="91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hidden="1" x14ac:dyDescent="0.25">
      <c r="A5" t="s">
        <v>56</v>
      </c>
      <c r="B5">
        <v>0.04</v>
      </c>
      <c r="C5" t="s">
        <v>112</v>
      </c>
      <c r="D5">
        <v>0</v>
      </c>
      <c r="E5" t="s">
        <v>23</v>
      </c>
      <c r="F5">
        <v>0.1</v>
      </c>
      <c r="G5">
        <v>0.14000000000000001</v>
      </c>
    </row>
    <row r="6" spans="1:8" hidden="1" x14ac:dyDescent="0.25">
      <c r="A6" t="s">
        <v>107</v>
      </c>
      <c r="B6">
        <v>5.1040000000000002E-2</v>
      </c>
      <c r="C6" t="s">
        <v>113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108</v>
      </c>
      <c r="B7">
        <v>0.05</v>
      </c>
      <c r="C7" t="s">
        <v>112</v>
      </c>
      <c r="D7">
        <v>0</v>
      </c>
      <c r="E7" t="s">
        <v>23</v>
      </c>
      <c r="F7">
        <v>9.4E-2</v>
      </c>
      <c r="G7">
        <v>0.1152</v>
      </c>
    </row>
    <row r="8" spans="1:8" hidden="1" x14ac:dyDescent="0.25">
      <c r="A8" t="s">
        <v>109</v>
      </c>
      <c r="B8">
        <v>0.04</v>
      </c>
      <c r="C8" t="s">
        <v>116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110</v>
      </c>
      <c r="B9" s="23">
        <v>0.05</v>
      </c>
      <c r="C9" t="s">
        <v>112</v>
      </c>
      <c r="D9">
        <v>0</v>
      </c>
      <c r="E9" t="s">
        <v>23</v>
      </c>
      <c r="F9" s="33">
        <v>8.4699999999999998E-2</v>
      </c>
      <c r="G9" s="23">
        <v>0.1</v>
      </c>
    </row>
    <row r="10" spans="1:8" hidden="1" x14ac:dyDescent="0.25">
      <c r="A10" t="s">
        <v>111</v>
      </c>
      <c r="B10" s="51">
        <f>1.44/30.23</f>
        <v>4.7634799867681106E-2</v>
      </c>
      <c r="C10" t="s">
        <v>119</v>
      </c>
      <c r="D10" s="33">
        <v>0</v>
      </c>
      <c r="E10" s="33" t="s">
        <v>23</v>
      </c>
      <c r="F10" s="23">
        <f>0.15*0.56</f>
        <v>8.4000000000000005E-2</v>
      </c>
      <c r="G10" s="34">
        <f>0.1</f>
        <v>0.1</v>
      </c>
      <c r="H10" t="s">
        <v>154</v>
      </c>
    </row>
    <row r="11" spans="1:8" hidden="1" x14ac:dyDescent="0.25">
      <c r="A11" t="s">
        <v>127</v>
      </c>
      <c r="B11">
        <f>B9</f>
        <v>0.05</v>
      </c>
      <c r="C11" t="s">
        <v>112</v>
      </c>
      <c r="D11">
        <v>0</v>
      </c>
      <c r="E11" t="s">
        <v>23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126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131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132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133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134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136</v>
      </c>
      <c r="B17">
        <v>0.05</v>
      </c>
      <c r="C17" t="s">
        <v>137</v>
      </c>
      <c r="D17">
        <v>0</v>
      </c>
      <c r="E17" t="s">
        <v>23</v>
      </c>
      <c r="F17">
        <v>9.4E-2</v>
      </c>
      <c r="G17">
        <v>0.1152</v>
      </c>
    </row>
    <row r="18" spans="1:8" hidden="1" x14ac:dyDescent="0.25">
      <c r="A18" t="s">
        <v>151</v>
      </c>
      <c r="B18" s="48">
        <f>B20</f>
        <v>4.4468085106382983E-2</v>
      </c>
      <c r="C18" t="s">
        <v>112</v>
      </c>
      <c r="D18">
        <v>0</v>
      </c>
      <c r="E18" t="s">
        <v>23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152</v>
      </c>
      <c r="B19" s="27">
        <f>1.2766/28.2</f>
        <v>4.5269503546099293E-2</v>
      </c>
      <c r="C19" t="s">
        <v>112</v>
      </c>
      <c r="D19">
        <v>0</v>
      </c>
      <c r="E19" t="s">
        <v>23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143</v>
      </c>
      <c r="B20" s="52">
        <f>1.254/28.2</f>
        <v>4.4468085106382983E-2</v>
      </c>
      <c r="C20" t="s">
        <v>112</v>
      </c>
      <c r="D20">
        <v>0</v>
      </c>
      <c r="E20" t="s">
        <v>23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153</v>
      </c>
      <c r="B21" s="52">
        <f>1.2/28.2</f>
        <v>4.2553191489361701E-2</v>
      </c>
      <c r="C21" t="s">
        <v>112</v>
      </c>
      <c r="F21">
        <v>0</v>
      </c>
    </row>
    <row r="22" spans="1:8" hidden="1" x14ac:dyDescent="0.25">
      <c r="A22" t="s">
        <v>156</v>
      </c>
      <c r="B22" s="51">
        <f>1.37/30.23</f>
        <v>4.531921931855773E-2</v>
      </c>
      <c r="C22" t="s">
        <v>112</v>
      </c>
      <c r="G22">
        <v>0.1</v>
      </c>
    </row>
    <row r="23" spans="1:8" hidden="1" x14ac:dyDescent="0.25">
      <c r="A23" t="s">
        <v>167</v>
      </c>
      <c r="B23" s="52">
        <f>1.29/28.2</f>
        <v>4.5744680851063833E-2</v>
      </c>
    </row>
    <row r="24" spans="1:8" s="30" customFormat="1" hidden="1" x14ac:dyDescent="0.25">
      <c r="A24" s="30" t="s">
        <v>158</v>
      </c>
      <c r="B24" s="108">
        <f>0.044</f>
        <v>4.3999999999999997E-2</v>
      </c>
      <c r="C24" s="30" t="s">
        <v>112</v>
      </c>
      <c r="D24" s="30">
        <v>0</v>
      </c>
      <c r="E24" s="30" t="s">
        <v>23</v>
      </c>
      <c r="F24" s="58">
        <f>(0.56*131.1+10.2)/1000</f>
        <v>8.3615999999999996E-2</v>
      </c>
      <c r="G24" s="30">
        <f>G28</f>
        <v>9.1999999999999998E-2</v>
      </c>
    </row>
    <row r="25" spans="1:8" s="30" customFormat="1" hidden="1" x14ac:dyDescent="0.25">
      <c r="A25" s="59" t="s">
        <v>243</v>
      </c>
      <c r="B25" s="3">
        <v>5.1040000000000002E-2</v>
      </c>
      <c r="C25" s="3" t="s">
        <v>113</v>
      </c>
      <c r="D25" s="3">
        <v>0</v>
      </c>
      <c r="E25" s="3" t="s">
        <v>23</v>
      </c>
      <c r="F25" s="118">
        <f>0.1407*0.56</f>
        <v>7.8792000000000001E-2</v>
      </c>
      <c r="G25" s="119">
        <f>4.93*Ref!B18</f>
        <v>1.7748E-2</v>
      </c>
    </row>
    <row r="26" spans="1:8" s="30" customFormat="1" hidden="1" x14ac:dyDescent="0.25">
      <c r="A26" s="59" t="s">
        <v>244</v>
      </c>
      <c r="B26" s="108">
        <f>43.2/0.88</f>
        <v>49.090909090909093</v>
      </c>
      <c r="C26" s="30" t="s">
        <v>249</v>
      </c>
      <c r="F26" s="116">
        <f>0.01109*(56/12)</f>
        <v>5.1753333333333332E-2</v>
      </c>
      <c r="H26" s="30" t="s">
        <v>250</v>
      </c>
    </row>
    <row r="27" spans="1:8" s="104" customFormat="1" x14ac:dyDescent="0.25">
      <c r="A27" s="101" t="s">
        <v>201</v>
      </c>
      <c r="B27" s="109">
        <f>1.2766/28.2</f>
        <v>4.5269503546099293E-2</v>
      </c>
      <c r="C27" s="104" t="s">
        <v>112</v>
      </c>
      <c r="D27" s="105">
        <v>0</v>
      </c>
      <c r="E27" s="105" t="s">
        <v>23</v>
      </c>
      <c r="F27" s="104">
        <f>(0.56*131.1+10.2)/1000</f>
        <v>8.3615999999999996E-2</v>
      </c>
      <c r="G27" s="110">
        <f>(0.092+0.155)/2</f>
        <v>0.1235</v>
      </c>
      <c r="H27" s="104">
        <v>2004</v>
      </c>
    </row>
    <row r="28" spans="1:8" s="1" customFormat="1" x14ac:dyDescent="0.25">
      <c r="A28" s="74" t="s">
        <v>202</v>
      </c>
      <c r="B28" s="95">
        <f>1.254/28.2</f>
        <v>4.4468085106382983E-2</v>
      </c>
      <c r="C28" s="1" t="s">
        <v>112</v>
      </c>
      <c r="D28">
        <v>0</v>
      </c>
      <c r="E28" t="s">
        <v>23</v>
      </c>
      <c r="F28" s="81">
        <f>(0.56*131.1+10.2)/1000</f>
        <v>8.3615999999999996E-2</v>
      </c>
      <c r="G28" s="1">
        <v>9.1999999999999998E-2</v>
      </c>
    </row>
    <row r="29" spans="1:8" s="1" customFormat="1" x14ac:dyDescent="0.25">
      <c r="A29" s="74" t="s">
        <v>203</v>
      </c>
      <c r="B29" s="95">
        <f>1.254/28.2</f>
        <v>4.4468085106382983E-2</v>
      </c>
      <c r="C29" s="1" t="s">
        <v>112</v>
      </c>
      <c r="D29">
        <v>0</v>
      </c>
      <c r="E29" t="s">
        <v>23</v>
      </c>
      <c r="F29" s="81">
        <f>(0.56*131.1+10.2)/1000</f>
        <v>8.3615999999999996E-2</v>
      </c>
      <c r="G29" s="81">
        <v>0.08</v>
      </c>
    </row>
    <row r="30" spans="1:8" x14ac:dyDescent="0.25">
      <c r="A30" s="55" t="s">
        <v>204</v>
      </c>
      <c r="B30" s="48">
        <f>B$27</f>
        <v>4.5269503546099293E-2</v>
      </c>
      <c r="C30" s="48" t="str">
        <f>C$27</f>
        <v>coke - IPCC</v>
      </c>
      <c r="D30">
        <f>D$24</f>
        <v>0</v>
      </c>
      <c r="E30" t="str">
        <f>E$24</f>
        <v>charcoal</v>
      </c>
      <c r="F30" s="48">
        <f>F$27</f>
        <v>8.3615999999999996E-2</v>
      </c>
      <c r="G30" s="48">
        <f>G$27</f>
        <v>0.1235</v>
      </c>
    </row>
    <row r="31" spans="1:8" x14ac:dyDescent="0.25">
      <c r="A31" s="55" t="s">
        <v>205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5" t="s">
        <v>206</v>
      </c>
      <c r="B32" s="48">
        <f>B$27</f>
        <v>4.5269503546099293E-2</v>
      </c>
      <c r="C32" s="48" t="str">
        <f>C$27</f>
        <v>coke - IPCC</v>
      </c>
      <c r="D32" s="56">
        <v>0.5</v>
      </c>
      <c r="E32" t="str">
        <f>E$24</f>
        <v>charcoal</v>
      </c>
      <c r="F32" s="48">
        <f>F$27</f>
        <v>8.3615999999999996E-2</v>
      </c>
      <c r="G32" s="48">
        <f>G$27</f>
        <v>0.1235</v>
      </c>
    </row>
    <row r="33" spans="1:7" x14ac:dyDescent="0.25">
      <c r="A33" s="55" t="s">
        <v>207</v>
      </c>
      <c r="B33" s="21">
        <f>B$28</f>
        <v>4.4468085106382983E-2</v>
      </c>
      <c r="C33" s="21" t="str">
        <f>C$28</f>
        <v>coke - IPCC</v>
      </c>
      <c r="D33" s="56">
        <v>0.5</v>
      </c>
      <c r="E33" t="str">
        <f t="shared" ref="E33:E34" si="4">E$27</f>
        <v>charcoal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5" t="s">
        <v>208</v>
      </c>
      <c r="B34" s="21">
        <f t="shared" ref="B34:C34" si="5">B$29</f>
        <v>4.4468085106382983E-2</v>
      </c>
      <c r="C34" s="21" t="str">
        <f t="shared" si="5"/>
        <v>coke - IPCC</v>
      </c>
      <c r="D34" s="56">
        <v>0.5</v>
      </c>
      <c r="E34" t="str">
        <f t="shared" si="4"/>
        <v>charcoal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5" t="s">
        <v>209</v>
      </c>
      <c r="B35" s="48">
        <f t="shared" ref="B35:C37" si="7">B$27</f>
        <v>4.5269503546099293E-2</v>
      </c>
      <c r="C35" s="48" t="str">
        <f t="shared" si="7"/>
        <v>coke - IPCC</v>
      </c>
      <c r="D35" s="56">
        <v>1</v>
      </c>
      <c r="E35" t="str">
        <f>E$24</f>
        <v>charcoal</v>
      </c>
      <c r="F35" s="48">
        <f t="shared" ref="F35:G37" si="8">F$27</f>
        <v>8.3615999999999996E-2</v>
      </c>
      <c r="G35" s="48">
        <f t="shared" si="8"/>
        <v>0.1235</v>
      </c>
    </row>
    <row r="36" spans="1:7" x14ac:dyDescent="0.25">
      <c r="A36" s="55" t="s">
        <v>210</v>
      </c>
      <c r="B36" s="48">
        <f t="shared" si="7"/>
        <v>4.5269503546099293E-2</v>
      </c>
      <c r="C36" s="48" t="str">
        <f t="shared" si="7"/>
        <v>coke - IPCC</v>
      </c>
      <c r="D36" s="56">
        <v>0.2</v>
      </c>
      <c r="E36" t="s">
        <v>184</v>
      </c>
      <c r="F36" s="48">
        <f t="shared" si="8"/>
        <v>8.3615999999999996E-2</v>
      </c>
      <c r="G36" s="48">
        <f t="shared" si="8"/>
        <v>0.1235</v>
      </c>
    </row>
    <row r="37" spans="1:7" x14ac:dyDescent="0.25">
      <c r="A37" s="55" t="s">
        <v>174</v>
      </c>
      <c r="B37" s="48">
        <f t="shared" si="7"/>
        <v>4.5269503546099293E-2</v>
      </c>
      <c r="C37" s="48" t="str">
        <f t="shared" si="7"/>
        <v>coke - IPCC</v>
      </c>
      <c r="D37" s="56">
        <v>0.2</v>
      </c>
      <c r="E37" t="s">
        <v>184</v>
      </c>
      <c r="F37" s="48">
        <f t="shared" si="8"/>
        <v>8.3615999999999996E-2</v>
      </c>
      <c r="G37" s="48">
        <f t="shared" si="8"/>
        <v>0.1235</v>
      </c>
    </row>
    <row r="38" spans="1:7" x14ac:dyDescent="0.25">
      <c r="A38" s="55" t="s">
        <v>175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5" t="s">
        <v>176</v>
      </c>
      <c r="B39" s="21">
        <f>B$28</f>
        <v>4.4468085106382983E-2</v>
      </c>
      <c r="C39" s="21" t="str">
        <f>C$28</f>
        <v>coke - IPCC</v>
      </c>
      <c r="D39" s="56">
        <v>0.5</v>
      </c>
      <c r="E39" t="str">
        <f t="shared" si="9"/>
        <v>charcoal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5" t="s">
        <v>177</v>
      </c>
      <c r="B40" s="21">
        <f t="shared" ref="B40:C41" si="10">B$29</f>
        <v>4.4468085106382983E-2</v>
      </c>
      <c r="C40" s="21" t="str">
        <f t="shared" si="10"/>
        <v>coke - IPCC</v>
      </c>
      <c r="D40" s="56">
        <v>0</v>
      </c>
      <c r="E40" t="str">
        <f t="shared" si="9"/>
        <v>charcoal</v>
      </c>
      <c r="F40" s="21">
        <f t="shared" ref="F40:G41" si="11">F$29</f>
        <v>8.3615999999999996E-2</v>
      </c>
      <c r="G40" s="21">
        <f t="shared" si="11"/>
        <v>0.08</v>
      </c>
    </row>
    <row r="41" spans="1:7" s="67" customFormat="1" ht="15.75" thickBot="1" x14ac:dyDescent="0.3">
      <c r="A41" s="68" t="s">
        <v>178</v>
      </c>
      <c r="B41" s="66">
        <f t="shared" si="10"/>
        <v>4.4468085106382983E-2</v>
      </c>
      <c r="C41" s="66" t="str">
        <f t="shared" si="10"/>
        <v>coke - IPCC</v>
      </c>
      <c r="D41" s="69">
        <v>0.5</v>
      </c>
      <c r="E41" s="67" t="str">
        <f t="shared" si="9"/>
        <v>charcoal</v>
      </c>
      <c r="F41" s="66">
        <f t="shared" si="11"/>
        <v>8.3615999999999996E-2</v>
      </c>
      <c r="G41" s="66">
        <f t="shared" si="11"/>
        <v>0.08</v>
      </c>
    </row>
    <row r="42" spans="1:7" s="1" customFormat="1" x14ac:dyDescent="0.25">
      <c r="A42" s="74" t="s">
        <v>211</v>
      </c>
      <c r="B42" s="1">
        <v>5.1040000000000002E-2</v>
      </c>
      <c r="C42" s="1" t="s">
        <v>113</v>
      </c>
      <c r="D42" s="1">
        <v>0</v>
      </c>
      <c r="E42" s="1" t="s">
        <v>23</v>
      </c>
      <c r="F42" s="117">
        <f>0.1407*0.56</f>
        <v>7.8792000000000001E-2</v>
      </c>
      <c r="G42" s="1">
        <f>4.93*Ref!B$18</f>
        <v>1.7748E-2</v>
      </c>
    </row>
    <row r="43" spans="1:7" x14ac:dyDescent="0.25">
      <c r="A43" s="74" t="s">
        <v>212</v>
      </c>
      <c r="B43" s="94">
        <f>1.2766/28.2</f>
        <v>4.5269503546099293E-2</v>
      </c>
      <c r="C43" s="1" t="s">
        <v>112</v>
      </c>
      <c r="D43">
        <v>0</v>
      </c>
      <c r="E43" t="s">
        <v>23</v>
      </c>
      <c r="F43" s="117">
        <f>0.1407*0.56</f>
        <v>7.8792000000000001E-2</v>
      </c>
      <c r="G43" s="1">
        <f>4.93*Ref!B$18</f>
        <v>1.7748E-2</v>
      </c>
    </row>
    <row r="44" spans="1:7" x14ac:dyDescent="0.25">
      <c r="A44" s="74" t="s">
        <v>213</v>
      </c>
      <c r="B44" s="95">
        <f>1.254/28.2</f>
        <v>4.4468085106382983E-2</v>
      </c>
      <c r="C44" s="1" t="s">
        <v>112</v>
      </c>
      <c r="D44">
        <v>0</v>
      </c>
      <c r="E44" t="s">
        <v>23</v>
      </c>
      <c r="F44" s="117">
        <f>0.1407*0.56</f>
        <v>7.8792000000000001E-2</v>
      </c>
      <c r="G44" s="1">
        <f>4.93*Ref!B$18</f>
        <v>1.7748E-2</v>
      </c>
    </row>
    <row r="45" spans="1:7" x14ac:dyDescent="0.25">
      <c r="A45" s="55" t="s">
        <v>214</v>
      </c>
      <c r="B45">
        <f t="shared" ref="B45:C47" si="12">B$42</f>
        <v>5.1040000000000002E-2</v>
      </c>
      <c r="C45" t="str">
        <f t="shared" si="12"/>
        <v>coke - CN</v>
      </c>
      <c r="D45">
        <f>D$24</f>
        <v>0</v>
      </c>
      <c r="E45" t="str">
        <f>E$24</f>
        <v>charcoal</v>
      </c>
      <c r="F45" s="82">
        <f t="shared" ref="F45:G45" si="13">F$42</f>
        <v>7.8792000000000001E-2</v>
      </c>
      <c r="G45">
        <f t="shared" si="13"/>
        <v>1.7748E-2</v>
      </c>
    </row>
    <row r="46" spans="1:7" x14ac:dyDescent="0.25">
      <c r="A46" s="55" t="s">
        <v>215</v>
      </c>
      <c r="B46" s="48">
        <f>B$43</f>
        <v>4.5269503546099293E-2</v>
      </c>
      <c r="C46" s="48" t="str">
        <f>C$43</f>
        <v>coke - IPCC</v>
      </c>
      <c r="D46">
        <f t="shared" ref="D46:E46" si="14">D$27</f>
        <v>0</v>
      </c>
      <c r="E46" t="str">
        <f t="shared" si="14"/>
        <v>charcoal</v>
      </c>
      <c r="F46" s="48">
        <f>F$43</f>
        <v>7.8792000000000001E-2</v>
      </c>
      <c r="G46" s="48">
        <f>G$43</f>
        <v>1.7748E-2</v>
      </c>
    </row>
    <row r="47" spans="1:7" x14ac:dyDescent="0.25">
      <c r="A47" s="55" t="s">
        <v>216</v>
      </c>
      <c r="B47">
        <f t="shared" si="12"/>
        <v>5.1040000000000002E-2</v>
      </c>
      <c r="C47" t="str">
        <f t="shared" si="12"/>
        <v>coke - CN</v>
      </c>
      <c r="D47" s="56">
        <v>0.5</v>
      </c>
      <c r="E47" t="str">
        <f>E$24</f>
        <v>charcoal</v>
      </c>
      <c r="F47">
        <f t="shared" ref="F47:G47" si="15">F$42</f>
        <v>7.8792000000000001E-2</v>
      </c>
      <c r="G47">
        <f t="shared" si="15"/>
        <v>1.7748E-2</v>
      </c>
    </row>
    <row r="48" spans="1:7" x14ac:dyDescent="0.25">
      <c r="A48" s="55" t="s">
        <v>217</v>
      </c>
      <c r="B48" s="48">
        <f>B$43</f>
        <v>4.5269503546099293E-2</v>
      </c>
      <c r="C48" s="48" t="str">
        <f>C$43</f>
        <v>coke - IPCC</v>
      </c>
      <c r="D48" s="56">
        <v>0.5</v>
      </c>
      <c r="E48" t="str">
        <f t="shared" ref="E48:E49" si="16">E$27</f>
        <v>charcoal</v>
      </c>
      <c r="F48" s="48">
        <f>F$43</f>
        <v>7.8792000000000001E-2</v>
      </c>
      <c r="G48" s="48">
        <f>G$43</f>
        <v>1.7748E-2</v>
      </c>
    </row>
    <row r="49" spans="1:7" x14ac:dyDescent="0.25">
      <c r="A49" s="55" t="s">
        <v>218</v>
      </c>
      <c r="B49" s="21">
        <f>B$44</f>
        <v>4.4468085106382983E-2</v>
      </c>
      <c r="C49" s="21" t="str">
        <f>C$44</f>
        <v>coke - IPCC</v>
      </c>
      <c r="D49" s="56">
        <v>0.5</v>
      </c>
      <c r="E49" t="str">
        <f t="shared" si="16"/>
        <v>charcoal</v>
      </c>
      <c r="F49" s="21">
        <f>F$44</f>
        <v>7.8792000000000001E-2</v>
      </c>
      <c r="G49" s="21">
        <f>G$44</f>
        <v>1.7748E-2</v>
      </c>
    </row>
    <row r="50" spans="1:7" x14ac:dyDescent="0.25">
      <c r="A50" s="55" t="s">
        <v>219</v>
      </c>
      <c r="B50">
        <f t="shared" ref="B50:C50" si="17">B$42</f>
        <v>5.1040000000000002E-2</v>
      </c>
      <c r="C50" t="str">
        <f t="shared" si="17"/>
        <v>coke - CN</v>
      </c>
      <c r="D50" s="56">
        <v>1</v>
      </c>
      <c r="E50" t="str">
        <f>E$24</f>
        <v>charcoal</v>
      </c>
      <c r="F50">
        <f t="shared" ref="F50:G50" si="18">F$42</f>
        <v>7.8792000000000001E-2</v>
      </c>
      <c r="G50">
        <f t="shared" si="18"/>
        <v>1.7748E-2</v>
      </c>
    </row>
    <row r="51" spans="1:7" x14ac:dyDescent="0.25">
      <c r="A51" s="55" t="s">
        <v>220</v>
      </c>
      <c r="B51">
        <f t="shared" ref="B51:C52" si="19">B$42</f>
        <v>5.1040000000000002E-2</v>
      </c>
      <c r="C51" t="str">
        <f t="shared" si="19"/>
        <v>coke - CN</v>
      </c>
      <c r="D51" s="56">
        <v>0.2</v>
      </c>
      <c r="E51" t="s">
        <v>184</v>
      </c>
      <c r="F51">
        <f t="shared" ref="F51:G52" si="20">F$42</f>
        <v>7.8792000000000001E-2</v>
      </c>
      <c r="G51">
        <f t="shared" si="20"/>
        <v>1.7748E-2</v>
      </c>
    </row>
    <row r="52" spans="1:7" x14ac:dyDescent="0.25">
      <c r="A52" s="55" t="s">
        <v>179</v>
      </c>
      <c r="B52">
        <f t="shared" si="19"/>
        <v>5.1040000000000002E-2</v>
      </c>
      <c r="C52" t="str">
        <f t="shared" si="19"/>
        <v>coke - CN</v>
      </c>
      <c r="D52" s="56">
        <v>0.2</v>
      </c>
      <c r="E52" t="s">
        <v>184</v>
      </c>
      <c r="F52">
        <f t="shared" si="20"/>
        <v>7.8792000000000001E-2</v>
      </c>
      <c r="G52">
        <f t="shared" si="20"/>
        <v>1.7748E-2</v>
      </c>
    </row>
    <row r="53" spans="1:7" x14ac:dyDescent="0.25">
      <c r="A53" s="55" t="s">
        <v>180</v>
      </c>
      <c r="B53" s="48">
        <f>B$43</f>
        <v>4.5269503546099293E-2</v>
      </c>
      <c r="C53" s="48" t="str">
        <f>C$43</f>
        <v>coke - IPCC</v>
      </c>
      <c r="D53">
        <f t="shared" ref="D53:E56" si="21">D$27</f>
        <v>0</v>
      </c>
      <c r="E53" t="str">
        <f t="shared" si="21"/>
        <v>charcoal</v>
      </c>
      <c r="F53" s="48">
        <f>F$43</f>
        <v>7.8792000000000001E-2</v>
      </c>
      <c r="G53" s="48">
        <f>G$43</f>
        <v>1.7748E-2</v>
      </c>
    </row>
    <row r="54" spans="1:7" x14ac:dyDescent="0.25">
      <c r="A54" s="55" t="s">
        <v>181</v>
      </c>
      <c r="B54" s="48">
        <f>B$43</f>
        <v>4.5269503546099293E-2</v>
      </c>
      <c r="C54" s="48" t="str">
        <f>C$43</f>
        <v>coke - IPCC</v>
      </c>
      <c r="D54" s="56">
        <v>0.5</v>
      </c>
      <c r="E54" t="str">
        <f t="shared" si="21"/>
        <v>charcoal</v>
      </c>
      <c r="F54" s="48">
        <f>F$43</f>
        <v>7.8792000000000001E-2</v>
      </c>
      <c r="G54" s="48">
        <f>G$43</f>
        <v>1.7748E-2</v>
      </c>
    </row>
    <row r="55" spans="1:7" x14ac:dyDescent="0.25">
      <c r="A55" s="55" t="s">
        <v>182</v>
      </c>
      <c r="B55" s="21">
        <f>B$44</f>
        <v>4.4468085106382983E-2</v>
      </c>
      <c r="C55" s="21" t="str">
        <f>C$44</f>
        <v>coke - IPCC</v>
      </c>
      <c r="D55" s="56">
        <v>0</v>
      </c>
      <c r="E55" t="str">
        <f t="shared" si="21"/>
        <v>charcoal</v>
      </c>
      <c r="F55" s="21">
        <f>F$44</f>
        <v>7.8792000000000001E-2</v>
      </c>
      <c r="G55" s="21">
        <f>G$44</f>
        <v>1.7748E-2</v>
      </c>
    </row>
    <row r="56" spans="1:7" s="67" customFormat="1" ht="16.5" customHeight="1" thickBot="1" x14ac:dyDescent="0.3">
      <c r="A56" s="68" t="s">
        <v>183</v>
      </c>
      <c r="B56" s="66">
        <f>B$44</f>
        <v>4.4468085106382983E-2</v>
      </c>
      <c r="C56" s="66" t="str">
        <f>C$44</f>
        <v>coke - IPCC</v>
      </c>
      <c r="D56" s="69">
        <v>0.5</v>
      </c>
      <c r="E56" s="67" t="str">
        <f t="shared" si="21"/>
        <v>charcoal</v>
      </c>
      <c r="F56" s="66">
        <f>F$44</f>
        <v>7.8792000000000001E-2</v>
      </c>
      <c r="G56" s="66">
        <f>G$44</f>
        <v>1.7748E-2</v>
      </c>
    </row>
    <row r="57" spans="1:7" s="1" customFormat="1" x14ac:dyDescent="0.25">
      <c r="A57" s="75" t="s">
        <v>221</v>
      </c>
      <c r="B57" s="1">
        <v>0.04</v>
      </c>
      <c r="C57" s="1" t="s">
        <v>116</v>
      </c>
      <c r="D57" s="1">
        <v>0</v>
      </c>
      <c r="E57" s="1" t="s">
        <v>23</v>
      </c>
      <c r="F57" s="81">
        <f>0.15*0.56</f>
        <v>8.4000000000000005E-2</v>
      </c>
      <c r="G57" s="1">
        <v>0.14000000000000001</v>
      </c>
    </row>
    <row r="58" spans="1:7" x14ac:dyDescent="0.25">
      <c r="A58" s="54" t="s">
        <v>222</v>
      </c>
      <c r="B58">
        <f t="shared" ref="B58:C61" si="22">B$57</f>
        <v>0.04</v>
      </c>
      <c r="C58" t="str">
        <f t="shared" si="22"/>
        <v>coke - JP IPCC</v>
      </c>
      <c r="D58">
        <f t="shared" ref="D58:E60" si="23">D$24</f>
        <v>0</v>
      </c>
      <c r="E58" t="str">
        <f t="shared" si="23"/>
        <v>charcoal</v>
      </c>
      <c r="F58">
        <f t="shared" ref="F58:G61" si="24">F$57</f>
        <v>8.4000000000000005E-2</v>
      </c>
      <c r="G58">
        <f t="shared" si="24"/>
        <v>0.14000000000000001</v>
      </c>
    </row>
    <row r="59" spans="1:7" x14ac:dyDescent="0.25">
      <c r="A59" s="54" t="s">
        <v>223</v>
      </c>
      <c r="B59">
        <f t="shared" si="22"/>
        <v>0.04</v>
      </c>
      <c r="C59" t="str">
        <f t="shared" si="22"/>
        <v>coke - JP IPCC</v>
      </c>
      <c r="D59" s="56">
        <v>0.5</v>
      </c>
      <c r="E59" t="str">
        <f t="shared" si="23"/>
        <v>charcoal</v>
      </c>
      <c r="F59">
        <f t="shared" si="24"/>
        <v>8.4000000000000005E-2</v>
      </c>
      <c r="G59">
        <f t="shared" si="24"/>
        <v>0.14000000000000001</v>
      </c>
    </row>
    <row r="60" spans="1:7" x14ac:dyDescent="0.25">
      <c r="A60" s="54" t="s">
        <v>224</v>
      </c>
      <c r="B60">
        <f t="shared" si="22"/>
        <v>0.04</v>
      </c>
      <c r="C60" t="str">
        <f t="shared" si="22"/>
        <v>coke - JP IPCC</v>
      </c>
      <c r="D60" s="56">
        <v>1</v>
      </c>
      <c r="E60" t="str">
        <f t="shared" si="23"/>
        <v>charcoal</v>
      </c>
      <c r="F60">
        <f t="shared" si="24"/>
        <v>8.4000000000000005E-2</v>
      </c>
      <c r="G60">
        <f t="shared" si="24"/>
        <v>0.14000000000000001</v>
      </c>
    </row>
    <row r="61" spans="1:7" s="67" customFormat="1" ht="15.75" thickBot="1" x14ac:dyDescent="0.3">
      <c r="A61" s="70" t="s">
        <v>225</v>
      </c>
      <c r="B61" s="67">
        <f t="shared" si="22"/>
        <v>0.04</v>
      </c>
      <c r="C61" s="67" t="str">
        <f t="shared" si="22"/>
        <v>coke - JP IPCC</v>
      </c>
      <c r="D61" s="69">
        <v>0.2</v>
      </c>
      <c r="E61" s="67" t="s">
        <v>184</v>
      </c>
      <c r="F61" s="67">
        <f t="shared" si="24"/>
        <v>8.4000000000000005E-2</v>
      </c>
      <c r="G61" s="67">
        <f t="shared" si="24"/>
        <v>0.14000000000000001</v>
      </c>
    </row>
    <row r="62" spans="1:7" s="1" customFormat="1" x14ac:dyDescent="0.25">
      <c r="A62" s="75" t="s">
        <v>226</v>
      </c>
      <c r="B62" s="81">
        <v>0.05</v>
      </c>
      <c r="C62" s="1" t="s">
        <v>112</v>
      </c>
      <c r="D62" s="1">
        <v>0</v>
      </c>
      <c r="E62" s="1" t="s">
        <v>23</v>
      </c>
      <c r="F62" s="96">
        <v>8.4699999999999998E-2</v>
      </c>
      <c r="G62" s="81">
        <v>0.1</v>
      </c>
    </row>
    <row r="63" spans="1:7" x14ac:dyDescent="0.25">
      <c r="A63" s="54" t="s">
        <v>227</v>
      </c>
      <c r="B63" s="62">
        <f t="shared" ref="B63:C66" si="25">B$62</f>
        <v>0.05</v>
      </c>
      <c r="C63" s="62" t="str">
        <f t="shared" si="25"/>
        <v>coke - IPCC</v>
      </c>
      <c r="D63">
        <f t="shared" ref="D63:E65" si="26">D$24</f>
        <v>0</v>
      </c>
      <c r="E63" t="str">
        <f t="shared" si="26"/>
        <v>charcoal</v>
      </c>
      <c r="F63" s="62">
        <f t="shared" ref="F63:G66" si="27">F$62</f>
        <v>8.4699999999999998E-2</v>
      </c>
      <c r="G63" s="62">
        <f t="shared" si="27"/>
        <v>0.1</v>
      </c>
    </row>
    <row r="64" spans="1:7" x14ac:dyDescent="0.25">
      <c r="A64" s="54" t="s">
        <v>228</v>
      </c>
      <c r="B64" s="62">
        <f t="shared" si="25"/>
        <v>0.05</v>
      </c>
      <c r="C64" s="62" t="str">
        <f t="shared" si="25"/>
        <v>coke - IPCC</v>
      </c>
      <c r="D64" s="56">
        <v>0.5</v>
      </c>
      <c r="E64" t="str">
        <f t="shared" si="26"/>
        <v>charcoal</v>
      </c>
      <c r="F64" s="62">
        <f t="shared" si="27"/>
        <v>8.4699999999999998E-2</v>
      </c>
      <c r="G64" s="62">
        <f t="shared" si="27"/>
        <v>0.1</v>
      </c>
    </row>
    <row r="65" spans="1:8" x14ac:dyDescent="0.25">
      <c r="A65" s="54" t="s">
        <v>229</v>
      </c>
      <c r="B65" s="62">
        <f t="shared" si="25"/>
        <v>0.05</v>
      </c>
      <c r="C65" s="62" t="str">
        <f t="shared" si="25"/>
        <v>coke - IPCC</v>
      </c>
      <c r="D65" s="56">
        <v>1</v>
      </c>
      <c r="E65" t="str">
        <f t="shared" si="26"/>
        <v>charcoal</v>
      </c>
      <c r="F65" s="62">
        <f t="shared" si="27"/>
        <v>8.4699999999999998E-2</v>
      </c>
      <c r="G65" s="62">
        <f t="shared" si="27"/>
        <v>0.1</v>
      </c>
    </row>
    <row r="66" spans="1:8" s="67" customFormat="1" ht="15.75" thickBot="1" x14ac:dyDescent="0.3">
      <c r="A66" s="70" t="s">
        <v>230</v>
      </c>
      <c r="B66" s="86">
        <f t="shared" si="25"/>
        <v>0.05</v>
      </c>
      <c r="C66" s="86" t="str">
        <f t="shared" si="25"/>
        <v>coke - IPCC</v>
      </c>
      <c r="D66" s="69">
        <v>0.2</v>
      </c>
      <c r="E66" s="67" t="s">
        <v>184</v>
      </c>
      <c r="F66" s="86">
        <f t="shared" si="27"/>
        <v>8.4699999999999998E-2</v>
      </c>
      <c r="G66" s="86">
        <f t="shared" si="27"/>
        <v>0.1</v>
      </c>
    </row>
    <row r="67" spans="1:8" x14ac:dyDescent="0.25">
      <c r="A67" s="75" t="s">
        <v>231</v>
      </c>
      <c r="B67" s="51">
        <f>1.44/30.23</f>
        <v>4.7634799867681106E-2</v>
      </c>
      <c r="C67" t="s">
        <v>119</v>
      </c>
      <c r="D67" s="33">
        <v>0</v>
      </c>
      <c r="E67" s="33" t="s">
        <v>23</v>
      </c>
      <c r="F67" s="23">
        <f>0.15*0.56</f>
        <v>8.4000000000000005E-2</v>
      </c>
      <c r="G67" s="34">
        <f>0.1</f>
        <v>0.1</v>
      </c>
      <c r="H67" t="s">
        <v>154</v>
      </c>
    </row>
    <row r="68" spans="1:8" x14ac:dyDescent="0.25">
      <c r="A68" s="54" t="s">
        <v>232</v>
      </c>
      <c r="B68" s="47">
        <f t="shared" ref="B68:C71" si="28">B$67</f>
        <v>4.7634799867681106E-2</v>
      </c>
      <c r="C68" s="47" t="str">
        <f t="shared" si="28"/>
        <v>coke - US</v>
      </c>
      <c r="D68">
        <f t="shared" ref="D68:E70" si="29">D$24</f>
        <v>0</v>
      </c>
      <c r="E68" t="str">
        <f t="shared" si="29"/>
        <v>charcoal</v>
      </c>
      <c r="F68" s="47">
        <f t="shared" ref="F68:G71" si="30">F$67</f>
        <v>8.4000000000000005E-2</v>
      </c>
      <c r="G68" s="47">
        <f t="shared" si="30"/>
        <v>0.1</v>
      </c>
    </row>
    <row r="69" spans="1:8" x14ac:dyDescent="0.25">
      <c r="A69" s="54" t="s">
        <v>233</v>
      </c>
      <c r="B69" s="47">
        <f t="shared" si="28"/>
        <v>4.7634799867681106E-2</v>
      </c>
      <c r="C69" s="47" t="str">
        <f t="shared" si="28"/>
        <v>coke - US</v>
      </c>
      <c r="D69" s="56">
        <v>0.5</v>
      </c>
      <c r="E69" t="str">
        <f t="shared" si="29"/>
        <v>charcoal</v>
      </c>
      <c r="F69" s="47">
        <f t="shared" si="30"/>
        <v>8.4000000000000005E-2</v>
      </c>
      <c r="G69" s="47">
        <f t="shared" si="30"/>
        <v>0.1</v>
      </c>
    </row>
    <row r="70" spans="1:8" x14ac:dyDescent="0.25">
      <c r="A70" s="54" t="s">
        <v>234</v>
      </c>
      <c r="B70" s="47">
        <f t="shared" si="28"/>
        <v>4.7634799867681106E-2</v>
      </c>
      <c r="C70" s="47" t="str">
        <f t="shared" si="28"/>
        <v>coke - US</v>
      </c>
      <c r="D70" s="56">
        <v>1</v>
      </c>
      <c r="E70" t="str">
        <f t="shared" si="29"/>
        <v>charcoal</v>
      </c>
      <c r="F70" s="47">
        <f t="shared" si="30"/>
        <v>8.4000000000000005E-2</v>
      </c>
      <c r="G70" s="47">
        <f t="shared" si="30"/>
        <v>0.1</v>
      </c>
    </row>
    <row r="71" spans="1:8" s="67" customFormat="1" ht="15.75" thickBot="1" x14ac:dyDescent="0.3">
      <c r="A71" s="70" t="s">
        <v>235</v>
      </c>
      <c r="B71" s="89">
        <f t="shared" si="28"/>
        <v>4.7634799867681106E-2</v>
      </c>
      <c r="C71" s="89" t="str">
        <f t="shared" si="28"/>
        <v>coke - US</v>
      </c>
      <c r="D71" s="69">
        <v>0.2</v>
      </c>
      <c r="E71" s="67" t="s">
        <v>184</v>
      </c>
      <c r="F71" s="89">
        <f t="shared" si="30"/>
        <v>8.4000000000000005E-2</v>
      </c>
      <c r="G71" s="89">
        <f t="shared" si="30"/>
        <v>0.1</v>
      </c>
    </row>
    <row r="72" spans="1:8" s="1" customFormat="1" x14ac:dyDescent="0.25">
      <c r="A72" s="75" t="s">
        <v>236</v>
      </c>
      <c r="B72" s="111">
        <f>1.44/30.23</f>
        <v>4.7634799867681106E-2</v>
      </c>
      <c r="C72" s="1" t="s">
        <v>112</v>
      </c>
      <c r="D72" s="1">
        <v>0</v>
      </c>
      <c r="E72" s="1" t="s">
        <v>23</v>
      </c>
      <c r="F72" s="81">
        <f>0.15*0.56</f>
        <v>8.4000000000000005E-2</v>
      </c>
      <c r="G72" s="81">
        <v>0.1</v>
      </c>
    </row>
    <row r="73" spans="1:8" x14ac:dyDescent="0.25">
      <c r="A73" s="54" t="s">
        <v>237</v>
      </c>
      <c r="B73" s="64">
        <f t="shared" ref="B73:C76" si="31">B$72</f>
        <v>4.7634799867681106E-2</v>
      </c>
      <c r="C73" s="64" t="str">
        <f t="shared" si="31"/>
        <v>coke - IPCC</v>
      </c>
      <c r="D73">
        <f t="shared" ref="D73:E75" si="32">D$24</f>
        <v>0</v>
      </c>
      <c r="E73" t="str">
        <f t="shared" si="32"/>
        <v>charcoal</v>
      </c>
      <c r="F73" s="64">
        <f t="shared" ref="F73:G76" si="33">F$72</f>
        <v>8.4000000000000005E-2</v>
      </c>
      <c r="G73" s="64">
        <f t="shared" si="33"/>
        <v>0.1</v>
      </c>
    </row>
    <row r="74" spans="1:8" x14ac:dyDescent="0.25">
      <c r="A74" s="54" t="s">
        <v>238</v>
      </c>
      <c r="B74" s="64">
        <f t="shared" si="31"/>
        <v>4.7634799867681106E-2</v>
      </c>
      <c r="C74" s="64" t="str">
        <f t="shared" si="31"/>
        <v>coke - IPCC</v>
      </c>
      <c r="D74" s="56">
        <v>0.5</v>
      </c>
      <c r="E74" t="str">
        <f t="shared" si="32"/>
        <v>charcoal</v>
      </c>
      <c r="F74" s="64">
        <f t="shared" si="33"/>
        <v>8.4000000000000005E-2</v>
      </c>
      <c r="G74" s="64">
        <f t="shared" si="33"/>
        <v>0.1</v>
      </c>
    </row>
    <row r="75" spans="1:8" x14ac:dyDescent="0.25">
      <c r="A75" s="54" t="s">
        <v>239</v>
      </c>
      <c r="B75" s="64">
        <f t="shared" si="31"/>
        <v>4.7634799867681106E-2</v>
      </c>
      <c r="C75" s="64" t="str">
        <f t="shared" si="31"/>
        <v>coke - IPCC</v>
      </c>
      <c r="D75" s="56">
        <v>1</v>
      </c>
      <c r="E75" t="str">
        <f t="shared" si="32"/>
        <v>charcoal</v>
      </c>
      <c r="F75" s="64">
        <f t="shared" si="33"/>
        <v>8.4000000000000005E-2</v>
      </c>
      <c r="G75" s="64">
        <f t="shared" si="33"/>
        <v>0.1</v>
      </c>
    </row>
    <row r="76" spans="1:8" s="67" customFormat="1" ht="15.75" thickBot="1" x14ac:dyDescent="0.3">
      <c r="A76" s="70" t="s">
        <v>240</v>
      </c>
      <c r="B76" s="97">
        <f t="shared" si="31"/>
        <v>4.7634799867681106E-2</v>
      </c>
      <c r="C76" s="97" t="str">
        <f t="shared" si="31"/>
        <v>coke - IPCC</v>
      </c>
      <c r="D76" s="69">
        <v>0.2</v>
      </c>
      <c r="E76" s="67" t="s">
        <v>184</v>
      </c>
      <c r="F76" s="97">
        <f t="shared" si="33"/>
        <v>8.4000000000000005E-2</v>
      </c>
      <c r="G76" s="97">
        <f t="shared" si="33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defaultColWidth="11.42578125" defaultRowHeight="15" x14ac:dyDescent="0.25"/>
  <cols>
    <col min="1" max="1" width="27" customWidth="1"/>
    <col min="6" max="6" width="11.42578125" style="99"/>
    <col min="7" max="7" width="9.85546875" customWidth="1"/>
  </cols>
  <sheetData>
    <row r="1" spans="1:17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7</v>
      </c>
      <c r="F1" s="99" t="s">
        <v>70</v>
      </c>
      <c r="G1" t="s">
        <v>51</v>
      </c>
      <c r="H1" t="s">
        <v>52</v>
      </c>
      <c r="I1" t="s">
        <v>53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160</v>
      </c>
      <c r="P1" t="s">
        <v>161</v>
      </c>
      <c r="Q1" t="s">
        <v>2</v>
      </c>
    </row>
    <row r="2" spans="1:17" x14ac:dyDescent="0.25">
      <c r="A2" s="2" t="s">
        <v>1</v>
      </c>
      <c r="B2" s="2" t="s">
        <v>47</v>
      </c>
      <c r="C2" s="2" t="s">
        <v>48</v>
      </c>
      <c r="D2" s="2" t="s">
        <v>49</v>
      </c>
      <c r="E2" t="s">
        <v>58</v>
      </c>
      <c r="F2" s="99" t="s">
        <v>157</v>
      </c>
      <c r="G2" s="2" t="s">
        <v>50</v>
      </c>
      <c r="I2" s="2" t="s">
        <v>54</v>
      </c>
      <c r="K2" s="2" t="s">
        <v>55</v>
      </c>
      <c r="M2" t="s">
        <v>54</v>
      </c>
      <c r="O2" s="2" t="s">
        <v>50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f t="shared" ref="B4:K4" si="0">B11</f>
        <v>1.1000000000000001</v>
      </c>
      <c r="C4">
        <f t="shared" si="0"/>
        <v>0.35</v>
      </c>
      <c r="D4">
        <f t="shared" si="0"/>
        <v>7.28E-3</v>
      </c>
      <c r="E4">
        <f>E11</f>
        <v>0.10444000000000001</v>
      </c>
      <c r="G4">
        <f t="shared" si="0"/>
        <v>0.3548</v>
      </c>
      <c r="H4" t="str">
        <f t="shared" si="0"/>
        <v>coke - IPCC</v>
      </c>
      <c r="I4">
        <f t="shared" si="0"/>
        <v>0</v>
      </c>
      <c r="J4" t="str">
        <f t="shared" si="0"/>
        <v>charcoal</v>
      </c>
      <c r="K4">
        <f t="shared" si="0"/>
        <v>0.152</v>
      </c>
      <c r="L4" t="str">
        <f>L17</f>
        <v>coal coking - IPCC</v>
      </c>
      <c r="M4">
        <f>M11</f>
        <v>0</v>
      </c>
      <c r="N4" t="str">
        <f>N11</f>
        <v>charcoal</v>
      </c>
    </row>
    <row r="5" spans="1:17" hidden="1" x14ac:dyDescent="0.25">
      <c r="A5" t="s">
        <v>56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112</v>
      </c>
      <c r="I5">
        <v>0.5</v>
      </c>
      <c r="J5" t="s">
        <v>23</v>
      </c>
      <c r="K5">
        <v>0.2</v>
      </c>
      <c r="L5" t="str">
        <f>L12</f>
        <v>coal PCI - JP IPCC</v>
      </c>
      <c r="M5">
        <v>0.3</v>
      </c>
      <c r="N5" t="s">
        <v>23</v>
      </c>
    </row>
    <row r="6" spans="1:17" hidden="1" x14ac:dyDescent="0.25">
      <c r="A6" t="s">
        <v>107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113</v>
      </c>
      <c r="I6">
        <v>0</v>
      </c>
      <c r="J6" t="s">
        <v>23</v>
      </c>
      <c r="K6">
        <v>0.20499999999999999</v>
      </c>
      <c r="L6" t="s">
        <v>114</v>
      </c>
      <c r="M6">
        <v>0</v>
      </c>
      <c r="N6" t="s">
        <v>23</v>
      </c>
      <c r="Q6" t="s">
        <v>188</v>
      </c>
    </row>
    <row r="7" spans="1:17" hidden="1" x14ac:dyDescent="0.25">
      <c r="A7" s="59" t="s">
        <v>243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>
        <v>0.28799999999999998</v>
      </c>
      <c r="H7" t="s">
        <v>113</v>
      </c>
      <c r="I7">
        <v>0</v>
      </c>
      <c r="J7" t="s">
        <v>23</v>
      </c>
      <c r="K7">
        <v>0.20499999999999999</v>
      </c>
      <c r="L7" t="s">
        <v>114</v>
      </c>
      <c r="M7">
        <v>0</v>
      </c>
      <c r="N7" t="s">
        <v>23</v>
      </c>
      <c r="Q7" t="s">
        <v>188</v>
      </c>
    </row>
    <row r="8" spans="1:17" hidden="1" x14ac:dyDescent="0.25">
      <c r="A8" s="59" t="s">
        <v>244</v>
      </c>
      <c r="B8">
        <v>1.37</v>
      </c>
      <c r="C8">
        <v>0.2</v>
      </c>
      <c r="D8" s="23"/>
      <c r="G8" s="52">
        <f>0.2737/0.88</f>
        <v>0.31102272727272728</v>
      </c>
      <c r="H8" t="s">
        <v>113</v>
      </c>
      <c r="K8" s="21">
        <f>0.1202/0.78</f>
        <v>0.15410256410256409</v>
      </c>
      <c r="L8" t="s">
        <v>114</v>
      </c>
    </row>
    <row r="9" spans="1:17" hidden="1" x14ac:dyDescent="0.25">
      <c r="A9" t="s">
        <v>251</v>
      </c>
      <c r="G9">
        <v>0.36199999999999999</v>
      </c>
      <c r="H9" t="s">
        <v>242</v>
      </c>
      <c r="I9">
        <v>0</v>
      </c>
      <c r="J9" t="s">
        <v>23</v>
      </c>
      <c r="K9">
        <v>149</v>
      </c>
      <c r="L9" t="s">
        <v>114</v>
      </c>
      <c r="M9">
        <v>0</v>
      </c>
      <c r="N9" t="s">
        <v>23</v>
      </c>
      <c r="Q9" t="s">
        <v>241</v>
      </c>
    </row>
    <row r="10" spans="1:17" hidden="1" x14ac:dyDescent="0.25">
      <c r="A10" t="s">
        <v>254</v>
      </c>
      <c r="G10">
        <v>0.44400000000000001</v>
      </c>
      <c r="H10" t="s">
        <v>242</v>
      </c>
      <c r="K10">
        <v>140</v>
      </c>
      <c r="L10" t="s">
        <v>114</v>
      </c>
    </row>
    <row r="11" spans="1:17" hidden="1" x14ac:dyDescent="0.25">
      <c r="A11" t="s">
        <v>108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>
        <v>0.3548</v>
      </c>
      <c r="H11" t="s">
        <v>112</v>
      </c>
      <c r="I11">
        <v>0</v>
      </c>
      <c r="J11" t="s">
        <v>23</v>
      </c>
      <c r="K11">
        <v>0.152</v>
      </c>
      <c r="L11" t="s">
        <v>115</v>
      </c>
      <c r="M11">
        <v>0</v>
      </c>
      <c r="N11" t="s">
        <v>23</v>
      </c>
    </row>
    <row r="12" spans="1:17" hidden="1" x14ac:dyDescent="0.25">
      <c r="A12" t="s">
        <v>109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3">
        <v>0.36499999999999999</v>
      </c>
      <c r="H12" t="s">
        <v>116</v>
      </c>
      <c r="I12">
        <v>0</v>
      </c>
      <c r="J12" t="s">
        <v>23</v>
      </c>
      <c r="K12">
        <v>0.14000000000000001</v>
      </c>
      <c r="L12" t="s">
        <v>117</v>
      </c>
      <c r="M12">
        <v>0</v>
      </c>
      <c r="N12" t="s">
        <v>23</v>
      </c>
    </row>
    <row r="13" spans="1:17" hidden="1" x14ac:dyDescent="0.25">
      <c r="A13" t="s">
        <v>258</v>
      </c>
      <c r="D13" s="23"/>
      <c r="G13" s="3">
        <v>0.38</v>
      </c>
      <c r="H13" t="s">
        <v>116</v>
      </c>
      <c r="K13">
        <v>0.115</v>
      </c>
      <c r="L13" t="s">
        <v>117</v>
      </c>
    </row>
    <row r="14" spans="1:17" hidden="1" x14ac:dyDescent="0.25">
      <c r="A14" t="s">
        <v>110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3">
        <v>0.45300000000000001</v>
      </c>
      <c r="H14" t="s">
        <v>112</v>
      </c>
      <c r="I14" s="3">
        <v>0</v>
      </c>
      <c r="J14" t="s">
        <v>23</v>
      </c>
      <c r="K14" s="3">
        <v>9.1600000000000001E-2</v>
      </c>
      <c r="L14" t="s">
        <v>118</v>
      </c>
      <c r="M14">
        <v>0</v>
      </c>
      <c r="N14" t="s">
        <v>23</v>
      </c>
    </row>
    <row r="15" spans="1:17" hidden="1" x14ac:dyDescent="0.25">
      <c r="A15" t="s">
        <v>257</v>
      </c>
      <c r="B15" s="33"/>
      <c r="C15" s="33"/>
      <c r="D15" s="23"/>
      <c r="E15" s="23"/>
      <c r="G15" s="3">
        <v>0.47499999999999998</v>
      </c>
      <c r="H15" t="s">
        <v>112</v>
      </c>
      <c r="I15" s="3"/>
      <c r="K15" s="3">
        <v>3.5000000000000003E-2</v>
      </c>
      <c r="L15" t="s">
        <v>118</v>
      </c>
      <c r="O15">
        <v>4.4999999999999998E-2</v>
      </c>
      <c r="P15" t="s">
        <v>256</v>
      </c>
    </row>
    <row r="16" spans="1:17" hidden="1" x14ac:dyDescent="0.25">
      <c r="A16" t="s">
        <v>111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3">
        <f>12.26/30.23</f>
        <v>0.40555739331789614</v>
      </c>
      <c r="H16" t="s">
        <v>119</v>
      </c>
      <c r="I16" s="3">
        <v>0</v>
      </c>
      <c r="J16" t="s">
        <v>23</v>
      </c>
      <c r="K16" s="33">
        <f>(1.88+2.13)/47</f>
        <v>8.5319148936170208E-2</v>
      </c>
      <c r="L16" t="s">
        <v>120</v>
      </c>
      <c r="M16">
        <v>0</v>
      </c>
      <c r="N16" t="s">
        <v>23</v>
      </c>
    </row>
    <row r="17" spans="1:17" hidden="1" x14ac:dyDescent="0.25">
      <c r="A17" t="s">
        <v>127</v>
      </c>
      <c r="B17" s="23">
        <v>1.3</v>
      </c>
      <c r="C17" s="23">
        <v>0</v>
      </c>
      <c r="D17" s="23">
        <v>0.01</v>
      </c>
      <c r="E17" s="23">
        <v>0.1</v>
      </c>
      <c r="G17" s="3">
        <v>0.59</v>
      </c>
      <c r="H17" t="s">
        <v>112</v>
      </c>
      <c r="I17" s="3">
        <v>0</v>
      </c>
      <c r="J17" t="s">
        <v>23</v>
      </c>
      <c r="K17" s="3">
        <v>0.11</v>
      </c>
      <c r="L17" t="s">
        <v>115</v>
      </c>
      <c r="M17">
        <v>0</v>
      </c>
      <c r="N17" t="s">
        <v>23</v>
      </c>
      <c r="Q17" t="s">
        <v>255</v>
      </c>
    </row>
    <row r="18" spans="1:17" hidden="1" x14ac:dyDescent="0.25">
      <c r="A18" t="s">
        <v>259</v>
      </c>
      <c r="B18" s="23"/>
      <c r="C18" s="23"/>
      <c r="D18" s="23"/>
      <c r="E18" s="23"/>
      <c r="G18" s="3">
        <v>0.34</v>
      </c>
      <c r="I18" s="3"/>
      <c r="K18" s="3">
        <v>0.14000000000000001</v>
      </c>
      <c r="L18" t="s">
        <v>115</v>
      </c>
    </row>
    <row r="19" spans="1:17" hidden="1" x14ac:dyDescent="0.25">
      <c r="A19" t="s">
        <v>130</v>
      </c>
      <c r="B19" s="48">
        <f>AVERAGE(B6:B17)</f>
        <v>1.06823</v>
      </c>
      <c r="C19" s="48">
        <f>AVERAGE(C6:C17)</f>
        <v>0.26661764705882351</v>
      </c>
      <c r="D19" s="48">
        <f>AVERAGE(D6:D17)</f>
        <v>3.5268571428571434E-2</v>
      </c>
      <c r="E19" s="48">
        <f>AVERAGE(E5:E17)</f>
        <v>0.21050899999999997</v>
      </c>
      <c r="G19" s="48">
        <f>AVERAGE(G6:G17)</f>
        <v>0.39303167671588529</v>
      </c>
      <c r="H19" t="s">
        <v>112</v>
      </c>
      <c r="I19" s="48">
        <f>AVERAGE(I6:I17)</f>
        <v>0</v>
      </c>
      <c r="J19" t="s">
        <v>23</v>
      </c>
      <c r="K19" s="48">
        <f>AVERAGE(K6:K17)</f>
        <v>24.191085142753227</v>
      </c>
      <c r="L19" t="s">
        <v>115</v>
      </c>
      <c r="M19" s="48">
        <f>AVERAGE(M6:M17)</f>
        <v>0</v>
      </c>
      <c r="N19" t="s">
        <v>23</v>
      </c>
    </row>
    <row r="20" spans="1:17" hidden="1" x14ac:dyDescent="0.25">
      <c r="A20" t="s">
        <v>131</v>
      </c>
      <c r="B20">
        <f t="shared" ref="B20:C23" si="1">B$11</f>
        <v>1.1000000000000001</v>
      </c>
      <c r="C20">
        <f t="shared" si="1"/>
        <v>0.35</v>
      </c>
      <c r="D20" s="49">
        <f>D$11*0.7</f>
        <v>5.0959999999999998E-3</v>
      </c>
      <c r="E20">
        <f>E$11</f>
        <v>0.10444000000000001</v>
      </c>
      <c r="G20">
        <f t="shared" ref="G20:H23" si="2">G$11</f>
        <v>0.3548</v>
      </c>
      <c r="H20" t="str">
        <f t="shared" si="2"/>
        <v>coke - IPCC</v>
      </c>
      <c r="I20" s="3">
        <v>0</v>
      </c>
      <c r="J20" t="s">
        <v>23</v>
      </c>
      <c r="K20">
        <f t="shared" ref="K20:L23" si="3">K$11</f>
        <v>0.152</v>
      </c>
      <c r="L20" t="str">
        <f t="shared" si="3"/>
        <v>coal coking - IPCC</v>
      </c>
      <c r="M20">
        <v>1</v>
      </c>
      <c r="N20" t="s">
        <v>23</v>
      </c>
    </row>
    <row r="21" spans="1:17" hidden="1" x14ac:dyDescent="0.25">
      <c r="A21" t="s">
        <v>132</v>
      </c>
      <c r="B21">
        <f t="shared" si="1"/>
        <v>1.1000000000000001</v>
      </c>
      <c r="C21">
        <f t="shared" si="1"/>
        <v>0.35</v>
      </c>
      <c r="D21" s="49">
        <f>D$11*0.7</f>
        <v>5.0959999999999998E-3</v>
      </c>
      <c r="E21">
        <f>E$11</f>
        <v>0.10444000000000001</v>
      </c>
      <c r="G21">
        <f t="shared" si="2"/>
        <v>0.3548</v>
      </c>
      <c r="H21" t="str">
        <f t="shared" si="2"/>
        <v>coke - IPCC</v>
      </c>
      <c r="I21" s="3">
        <v>0</v>
      </c>
      <c r="J21" t="s">
        <v>23</v>
      </c>
      <c r="K21">
        <f t="shared" si="3"/>
        <v>0.152</v>
      </c>
      <c r="L21" t="str">
        <f t="shared" si="3"/>
        <v>coal coking - IPCC</v>
      </c>
      <c r="M21">
        <v>1</v>
      </c>
      <c r="N21" t="s">
        <v>23</v>
      </c>
    </row>
    <row r="22" spans="1:17" hidden="1" x14ac:dyDescent="0.25">
      <c r="A22" t="s">
        <v>133</v>
      </c>
      <c r="B22">
        <f t="shared" si="1"/>
        <v>1.1000000000000001</v>
      </c>
      <c r="C22">
        <f t="shared" si="1"/>
        <v>0.35</v>
      </c>
      <c r="D22" s="49">
        <f>D$11*0.7</f>
        <v>5.0959999999999998E-3</v>
      </c>
      <c r="E22">
        <f>E$11</f>
        <v>0.10444000000000001</v>
      </c>
      <c r="G22">
        <f t="shared" si="2"/>
        <v>0.3548</v>
      </c>
      <c r="H22" t="str">
        <f t="shared" si="2"/>
        <v>coke - IPCC</v>
      </c>
      <c r="I22" s="3">
        <v>0</v>
      </c>
      <c r="J22" t="s">
        <v>23</v>
      </c>
      <c r="K22">
        <f t="shared" si="3"/>
        <v>0.152</v>
      </c>
      <c r="L22" t="str">
        <f t="shared" si="3"/>
        <v>coal coking - IPCC</v>
      </c>
      <c r="M22">
        <v>1</v>
      </c>
      <c r="N22" t="s">
        <v>23</v>
      </c>
    </row>
    <row r="23" spans="1:17" hidden="1" x14ac:dyDescent="0.25">
      <c r="A23" t="s">
        <v>134</v>
      </c>
      <c r="B23">
        <f t="shared" si="1"/>
        <v>1.1000000000000001</v>
      </c>
      <c r="C23">
        <f t="shared" si="1"/>
        <v>0.35</v>
      </c>
      <c r="D23" s="49">
        <f>D$11*0.7</f>
        <v>5.0959999999999998E-3</v>
      </c>
      <c r="E23">
        <f>E$11</f>
        <v>0.10444000000000001</v>
      </c>
      <c r="G23">
        <f t="shared" si="2"/>
        <v>0.3548</v>
      </c>
      <c r="H23" t="str">
        <f t="shared" si="2"/>
        <v>coke - IPCC</v>
      </c>
      <c r="I23" s="3">
        <v>0</v>
      </c>
      <c r="J23" t="s">
        <v>23</v>
      </c>
      <c r="K23">
        <f t="shared" si="3"/>
        <v>0.152</v>
      </c>
      <c r="L23" t="str">
        <f t="shared" si="3"/>
        <v>coal coking - IPCC</v>
      </c>
      <c r="M23">
        <v>0.5</v>
      </c>
      <c r="N23" t="s">
        <v>23</v>
      </c>
    </row>
    <row r="24" spans="1:17" hidden="1" x14ac:dyDescent="0.25">
      <c r="A24" t="s">
        <v>136</v>
      </c>
      <c r="B24">
        <v>1.1200000000000001</v>
      </c>
      <c r="C24">
        <v>0</v>
      </c>
      <c r="D24" s="49">
        <f>0.013*0.56</f>
        <v>7.28E-3</v>
      </c>
      <c r="E24">
        <v>0.37331999999999999</v>
      </c>
      <c r="F24" s="99">
        <v>6.8400000000000002E-2</v>
      </c>
      <c r="G24">
        <v>0.35489999999999999</v>
      </c>
      <c r="H24" t="s">
        <v>137</v>
      </c>
      <c r="I24" s="3">
        <v>0</v>
      </c>
      <c r="J24" t="s">
        <v>23</v>
      </c>
      <c r="K24" s="3">
        <v>0.152</v>
      </c>
      <c r="L24" t="s">
        <v>138</v>
      </c>
      <c r="M24">
        <v>0</v>
      </c>
      <c r="N24" t="s">
        <v>23</v>
      </c>
    </row>
    <row r="25" spans="1:17" hidden="1" x14ac:dyDescent="0.25">
      <c r="A25" t="s">
        <v>151</v>
      </c>
      <c r="B25" s="23">
        <v>1.2</v>
      </c>
      <c r="E25">
        <v>0.09</v>
      </c>
      <c r="G25">
        <v>0.25800000000000001</v>
      </c>
      <c r="H25" t="s">
        <v>112</v>
      </c>
      <c r="I25">
        <v>0</v>
      </c>
      <c r="J25" t="s">
        <v>23</v>
      </c>
      <c r="K25">
        <v>0.14399999999999999</v>
      </c>
      <c r="L25" t="s">
        <v>115</v>
      </c>
      <c r="M25">
        <v>0</v>
      </c>
      <c r="N25" t="s">
        <v>23</v>
      </c>
      <c r="Q25" t="s">
        <v>159</v>
      </c>
    </row>
    <row r="26" spans="1:17" hidden="1" x14ac:dyDescent="0.25">
      <c r="A26" t="s">
        <v>158</v>
      </c>
      <c r="B26" s="23">
        <v>1.3</v>
      </c>
      <c r="C26">
        <v>0</v>
      </c>
      <c r="E26">
        <v>0.107</v>
      </c>
      <c r="G26">
        <v>0.28199999999999997</v>
      </c>
      <c r="H26" t="s">
        <v>112</v>
      </c>
      <c r="I26">
        <v>0</v>
      </c>
      <c r="J26" t="s">
        <v>23</v>
      </c>
      <c r="K26">
        <v>0.16</v>
      </c>
      <c r="L26" t="s">
        <v>115</v>
      </c>
      <c r="M26">
        <v>0</v>
      </c>
      <c r="N26" t="s">
        <v>23</v>
      </c>
    </row>
    <row r="27" spans="1:17" hidden="1" x14ac:dyDescent="0.25">
      <c r="A27" t="s">
        <v>152</v>
      </c>
      <c r="B27">
        <v>1088</v>
      </c>
      <c r="C27">
        <v>358</v>
      </c>
      <c r="D27">
        <v>2.5700000000000001E-2</v>
      </c>
      <c r="E27">
        <v>0.26800000000000002</v>
      </c>
      <c r="F27" s="99">
        <v>5.4399999999999997E-2</v>
      </c>
      <c r="G27">
        <v>0.35899999999999999</v>
      </c>
      <c r="H27" t="s">
        <v>112</v>
      </c>
      <c r="I27">
        <v>0</v>
      </c>
      <c r="J27" t="s">
        <v>23</v>
      </c>
      <c r="K27">
        <v>0.19</v>
      </c>
      <c r="L27" t="s">
        <v>115</v>
      </c>
      <c r="M27">
        <v>0</v>
      </c>
      <c r="N27" t="s">
        <v>23</v>
      </c>
    </row>
    <row r="28" spans="1:17" hidden="1" x14ac:dyDescent="0.25">
      <c r="A28" t="s">
        <v>143</v>
      </c>
      <c r="D28">
        <v>0</v>
      </c>
      <c r="E28">
        <v>0.107</v>
      </c>
      <c r="G28">
        <v>0.28199999999999997</v>
      </c>
      <c r="H28" t="s">
        <v>112</v>
      </c>
    </row>
    <row r="29" spans="1:17" hidden="1" x14ac:dyDescent="0.25">
      <c r="A29" t="s">
        <v>153</v>
      </c>
      <c r="B29">
        <v>1.2</v>
      </c>
      <c r="C29">
        <v>0</v>
      </c>
      <c r="D29" s="23">
        <v>0.01</v>
      </c>
      <c r="G29">
        <f>10.42/30.23</f>
        <v>0.34469070459808138</v>
      </c>
      <c r="H29" t="s">
        <v>119</v>
      </c>
      <c r="K29">
        <v>0</v>
      </c>
      <c r="L29" t="s">
        <v>120</v>
      </c>
      <c r="M29">
        <v>0</v>
      </c>
      <c r="N29" t="s">
        <v>23</v>
      </c>
    </row>
    <row r="30" spans="1:17" hidden="1" x14ac:dyDescent="0.25">
      <c r="A30" t="s">
        <v>156</v>
      </c>
      <c r="E30">
        <v>0.09</v>
      </c>
      <c r="G30">
        <f>11.49/30.23</f>
        <v>0.38008600727753888</v>
      </c>
      <c r="H30" t="s">
        <v>119</v>
      </c>
      <c r="I30">
        <v>0</v>
      </c>
      <c r="J30" t="s">
        <v>23</v>
      </c>
      <c r="K30">
        <f>(2.69+1.41)/31.2</f>
        <v>0.13141025641025642</v>
      </c>
      <c r="L30" t="s">
        <v>123</v>
      </c>
      <c r="M30">
        <v>0</v>
      </c>
      <c r="N30" t="s">
        <v>23</v>
      </c>
    </row>
    <row r="31" spans="1:17" hidden="1" x14ac:dyDescent="0.25">
      <c r="A31" t="s">
        <v>262</v>
      </c>
      <c r="E31">
        <v>0.27</v>
      </c>
      <c r="G31">
        <f>12.26/30.23</f>
        <v>0.40555739331789614</v>
      </c>
      <c r="H31" t="s">
        <v>119</v>
      </c>
      <c r="K31">
        <f>(1.88+2.13)/31.2</f>
        <v>0.12852564102564101</v>
      </c>
      <c r="L31" t="s">
        <v>123</v>
      </c>
    </row>
    <row r="32" spans="1:17" s="30" customFormat="1" hidden="1" x14ac:dyDescent="0.25">
      <c r="A32" s="30" t="s">
        <v>167</v>
      </c>
      <c r="F32" s="126"/>
      <c r="G32" s="30">
        <f>11.04/30.23</f>
        <v>0.36520013231888848</v>
      </c>
    </row>
    <row r="33" spans="1:17" s="104" customFormat="1" x14ac:dyDescent="0.25">
      <c r="A33" s="101" t="s">
        <v>201</v>
      </c>
      <c r="B33" s="104">
        <v>1088</v>
      </c>
      <c r="C33" s="104">
        <v>358</v>
      </c>
      <c r="D33" s="104">
        <v>2.5700000000000001E-2</v>
      </c>
      <c r="E33" s="104">
        <v>0.26800000000000002</v>
      </c>
      <c r="F33" s="127">
        <v>5.4399999999999997E-2</v>
      </c>
      <c r="G33" s="104">
        <v>0.35899999999999999</v>
      </c>
      <c r="H33" s="104" t="s">
        <v>112</v>
      </c>
      <c r="I33" s="104">
        <v>0</v>
      </c>
      <c r="J33" s="104" t="s">
        <v>23</v>
      </c>
      <c r="K33" s="104">
        <v>0.19</v>
      </c>
      <c r="L33" s="104" t="s">
        <v>115</v>
      </c>
      <c r="M33" s="104">
        <v>0</v>
      </c>
      <c r="N33" s="104" t="s">
        <v>23</v>
      </c>
    </row>
    <row r="34" spans="1:17" s="1" customFormat="1" x14ac:dyDescent="0.25">
      <c r="A34" s="74" t="s">
        <v>202</v>
      </c>
      <c r="B34" s="81">
        <v>1.2</v>
      </c>
      <c r="C34" s="1">
        <v>0</v>
      </c>
      <c r="D34" s="1">
        <f>D33</f>
        <v>2.5700000000000001E-2</v>
      </c>
      <c r="E34" s="1">
        <v>0.107</v>
      </c>
      <c r="F34" s="122">
        <v>5.4399999999999997E-2</v>
      </c>
      <c r="G34" s="1">
        <v>0.28199999999999997</v>
      </c>
      <c r="H34" s="1" t="s">
        <v>112</v>
      </c>
      <c r="I34" s="1">
        <v>0</v>
      </c>
      <c r="J34" s="1" t="s">
        <v>23</v>
      </c>
      <c r="K34" s="1">
        <v>0.16</v>
      </c>
      <c r="L34" s="1" t="s">
        <v>115</v>
      </c>
      <c r="M34" s="1">
        <v>0</v>
      </c>
      <c r="N34" s="1" t="s">
        <v>23</v>
      </c>
    </row>
    <row r="35" spans="1:17" s="1" customFormat="1" x14ac:dyDescent="0.25">
      <c r="A35" s="74" t="s">
        <v>203</v>
      </c>
      <c r="B35" s="81">
        <v>1.2</v>
      </c>
      <c r="C35" s="1">
        <v>0</v>
      </c>
      <c r="D35" s="1">
        <f>D33</f>
        <v>2.5700000000000001E-2</v>
      </c>
      <c r="E35" s="1">
        <v>0.107</v>
      </c>
      <c r="F35" s="122">
        <v>5.4399999999999997E-2</v>
      </c>
      <c r="G35" s="1">
        <f>G34*0.75</f>
        <v>0.21149999999999997</v>
      </c>
      <c r="H35" s="1" t="s">
        <v>112</v>
      </c>
      <c r="I35" s="1">
        <v>0</v>
      </c>
      <c r="J35" s="1" t="s">
        <v>23</v>
      </c>
      <c r="K35" s="1">
        <f>K34*0.75</f>
        <v>0.12</v>
      </c>
      <c r="L35" s="1" t="s">
        <v>115</v>
      </c>
      <c r="M35" s="1">
        <v>0</v>
      </c>
      <c r="N35" s="1" t="s">
        <v>23</v>
      </c>
    </row>
    <row r="36" spans="1:17" x14ac:dyDescent="0.25">
      <c r="A36" s="55" t="s">
        <v>204</v>
      </c>
      <c r="B36">
        <f>B$33</f>
        <v>1088</v>
      </c>
      <c r="C36">
        <f>C$33</f>
        <v>358</v>
      </c>
      <c r="D36">
        <f>D$33*0.75</f>
        <v>1.9275E-2</v>
      </c>
      <c r="E36">
        <f>E$33</f>
        <v>0.26800000000000002</v>
      </c>
      <c r="F36" s="99">
        <f>F$33</f>
        <v>5.4399999999999997E-2</v>
      </c>
      <c r="G36">
        <f>G$33</f>
        <v>0.35899999999999999</v>
      </c>
      <c r="H36" t="str">
        <f>H$33</f>
        <v>coke - IPCC</v>
      </c>
      <c r="I36" s="1">
        <v>0</v>
      </c>
      <c r="J36" s="1" t="s">
        <v>23</v>
      </c>
      <c r="K36">
        <f>K$33</f>
        <v>0.19</v>
      </c>
      <c r="L36" s="1" t="s">
        <v>115</v>
      </c>
      <c r="M36" s="112">
        <v>1</v>
      </c>
      <c r="N36" s="1" t="s">
        <v>23</v>
      </c>
    </row>
    <row r="37" spans="1:17" x14ac:dyDescent="0.25">
      <c r="A37" s="55" t="s">
        <v>205</v>
      </c>
      <c r="B37">
        <f>B$34</f>
        <v>1.2</v>
      </c>
      <c r="C37">
        <f>C$34</f>
        <v>0</v>
      </c>
      <c r="D37">
        <f>D$34*0.75</f>
        <v>1.9275E-2</v>
      </c>
      <c r="E37">
        <f t="shared" ref="E37:L37" si="4">E$34</f>
        <v>0.107</v>
      </c>
      <c r="F37" s="99">
        <f t="shared" si="4"/>
        <v>5.4399999999999997E-2</v>
      </c>
      <c r="G37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</v>
      </c>
      <c r="K37">
        <f t="shared" si="4"/>
        <v>0.16</v>
      </c>
      <c r="L37" t="str">
        <f t="shared" si="4"/>
        <v>coal coking - IPCC</v>
      </c>
      <c r="M37" s="56">
        <v>1</v>
      </c>
      <c r="N37" t="str">
        <f>N$34</f>
        <v>charcoal</v>
      </c>
    </row>
    <row r="38" spans="1:17" x14ac:dyDescent="0.25">
      <c r="A38" s="55" t="s">
        <v>206</v>
      </c>
      <c r="B38">
        <f>B$33</f>
        <v>1088</v>
      </c>
      <c r="C38">
        <f>C$33</f>
        <v>358</v>
      </c>
      <c r="D38">
        <f>D$33*0.75</f>
        <v>1.9275E-2</v>
      </c>
      <c r="E38">
        <f>E$33</f>
        <v>0.26800000000000002</v>
      </c>
      <c r="F38" s="99">
        <f>F$33</f>
        <v>5.4399999999999997E-2</v>
      </c>
      <c r="G38">
        <f>G$33</f>
        <v>0.35899999999999999</v>
      </c>
      <c r="H38" s="3" t="str">
        <f>H$33</f>
        <v>coke - IPCC</v>
      </c>
      <c r="I38" s="3">
        <v>0</v>
      </c>
      <c r="J38" s="3" t="s">
        <v>23</v>
      </c>
      <c r="K38" s="3">
        <f>K$33</f>
        <v>0.19</v>
      </c>
      <c r="L38" s="3" t="s">
        <v>115</v>
      </c>
      <c r="M38" s="113">
        <v>1</v>
      </c>
      <c r="N38" s="3" t="s">
        <v>23</v>
      </c>
      <c r="O38" s="3"/>
    </row>
    <row r="39" spans="1:17" x14ac:dyDescent="0.25">
      <c r="A39" s="55" t="s">
        <v>207</v>
      </c>
      <c r="B39">
        <f>B$34</f>
        <v>1.2</v>
      </c>
      <c r="C39">
        <f>C$34</f>
        <v>0</v>
      </c>
      <c r="D39">
        <f>D$34*0.75</f>
        <v>1.9275E-2</v>
      </c>
      <c r="E39">
        <f t="shared" ref="E39:L39" si="5">E$34</f>
        <v>0.107</v>
      </c>
      <c r="F39" s="99">
        <f t="shared" si="5"/>
        <v>5.4399999999999997E-2</v>
      </c>
      <c r="G39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</v>
      </c>
      <c r="K39">
        <f t="shared" si="5"/>
        <v>0.16</v>
      </c>
      <c r="L39" t="str">
        <f t="shared" si="5"/>
        <v>coal coking - IPCC</v>
      </c>
      <c r="M39" s="56">
        <v>1</v>
      </c>
      <c r="N39" t="str">
        <f>N$34</f>
        <v>charcoal</v>
      </c>
    </row>
    <row r="40" spans="1:17" x14ac:dyDescent="0.25">
      <c r="A40" s="55" t="s">
        <v>208</v>
      </c>
      <c r="B40">
        <f>B$35</f>
        <v>1.2</v>
      </c>
      <c r="C40">
        <f>C$35</f>
        <v>0</v>
      </c>
      <c r="D40">
        <f>D$35*0.75</f>
        <v>1.9275E-2</v>
      </c>
      <c r="E40">
        <f t="shared" ref="E40:L40" si="6">E$35</f>
        <v>0.107</v>
      </c>
      <c r="F40" s="99">
        <f t="shared" si="6"/>
        <v>5.4399999999999997E-2</v>
      </c>
      <c r="G40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</v>
      </c>
      <c r="K40">
        <f t="shared" si="6"/>
        <v>0.12</v>
      </c>
      <c r="L40" t="str">
        <f t="shared" si="6"/>
        <v>coal coking - IPCC</v>
      </c>
      <c r="M40" s="56">
        <v>1</v>
      </c>
      <c r="N40" t="str">
        <f>N$35</f>
        <v>charcoal</v>
      </c>
    </row>
    <row r="41" spans="1:17" x14ac:dyDescent="0.25">
      <c r="A41" s="55" t="s">
        <v>209</v>
      </c>
      <c r="B41">
        <f>B$33</f>
        <v>1088</v>
      </c>
      <c r="C41">
        <f>C$33</f>
        <v>358</v>
      </c>
      <c r="D41">
        <f>D$33*0.75</f>
        <v>1.9275E-2</v>
      </c>
      <c r="E41">
        <f t="shared" ref="E41:H42" si="7">E$33</f>
        <v>0.26800000000000002</v>
      </c>
      <c r="F41" s="99">
        <f t="shared" si="7"/>
        <v>5.4399999999999997E-2</v>
      </c>
      <c r="G41">
        <f t="shared" si="7"/>
        <v>0.35899999999999999</v>
      </c>
      <c r="H41" t="str">
        <f t="shared" si="7"/>
        <v>coke - IPCC</v>
      </c>
      <c r="I41" s="1">
        <v>0</v>
      </c>
      <c r="J41" s="1" t="s">
        <v>23</v>
      </c>
      <c r="K41">
        <f>K$33</f>
        <v>0.19</v>
      </c>
      <c r="L41" s="1" t="s">
        <v>115</v>
      </c>
      <c r="M41" s="113">
        <v>1</v>
      </c>
      <c r="N41" s="3" t="s">
        <v>23</v>
      </c>
    </row>
    <row r="42" spans="1:17" s="67" customFormat="1" ht="15.75" thickBot="1" x14ac:dyDescent="0.3">
      <c r="A42" s="68" t="s">
        <v>210</v>
      </c>
      <c r="B42" s="67">
        <f>B$33</f>
        <v>1088</v>
      </c>
      <c r="C42" s="67">
        <f>C$33</f>
        <v>358</v>
      </c>
      <c r="D42" s="67">
        <f>D$33*0.9</f>
        <v>2.3130000000000001E-2</v>
      </c>
      <c r="E42" s="67">
        <f t="shared" si="7"/>
        <v>0.26800000000000002</v>
      </c>
      <c r="F42" s="100">
        <f t="shared" si="7"/>
        <v>5.4399999999999997E-2</v>
      </c>
      <c r="G42" s="67">
        <f t="shared" si="7"/>
        <v>0.35899999999999999</v>
      </c>
      <c r="H42" s="67" t="str">
        <f t="shared" si="7"/>
        <v>coke - IPCC</v>
      </c>
      <c r="I42" s="114">
        <v>0</v>
      </c>
      <c r="J42" s="114" t="s">
        <v>23</v>
      </c>
      <c r="K42" s="67">
        <f>K$33</f>
        <v>0.19</v>
      </c>
      <c r="L42" s="114" t="s">
        <v>115</v>
      </c>
      <c r="M42" s="124">
        <v>0.5</v>
      </c>
      <c r="N42" s="65" t="s">
        <v>184</v>
      </c>
    </row>
    <row r="43" spans="1:17" s="1" customFormat="1" x14ac:dyDescent="0.25">
      <c r="A43" s="74" t="s">
        <v>211</v>
      </c>
      <c r="B43" s="1">
        <v>1.3141700000000001</v>
      </c>
      <c r="C43" s="1">
        <v>0</v>
      </c>
      <c r="D43" s="81">
        <v>0</v>
      </c>
      <c r="E43" s="1">
        <f>(110-36.44)*Ref!B$18</f>
        <v>0.264816</v>
      </c>
      <c r="F43" s="123">
        <f>K43*0.78*(32/12)</f>
        <v>0.30991999999999997</v>
      </c>
      <c r="G43" s="1">
        <v>0.36199999999999999</v>
      </c>
      <c r="H43" s="1" t="s">
        <v>113</v>
      </c>
      <c r="I43" s="1">
        <v>0</v>
      </c>
      <c r="J43" s="1" t="s">
        <v>23</v>
      </c>
      <c r="K43" s="1">
        <v>0.14899999999999999</v>
      </c>
      <c r="L43" s="1" t="s">
        <v>114</v>
      </c>
      <c r="M43" s="1">
        <v>0</v>
      </c>
      <c r="N43" s="1" t="s">
        <v>23</v>
      </c>
      <c r="Q43" s="1" t="s">
        <v>253</v>
      </c>
    </row>
    <row r="44" spans="1:17" s="1" customFormat="1" x14ac:dyDescent="0.25">
      <c r="A44" s="74" t="s">
        <v>212</v>
      </c>
      <c r="B44" s="1">
        <v>1.3141700000000001</v>
      </c>
      <c r="C44" s="1">
        <v>0</v>
      </c>
      <c r="D44" s="81">
        <v>0</v>
      </c>
      <c r="E44" s="120">
        <f>E43*0.8</f>
        <v>0.21185280000000001</v>
      </c>
      <c r="F44" s="121"/>
      <c r="G44" s="1">
        <v>0.28799999999999998</v>
      </c>
      <c r="H44" s="1" t="s">
        <v>113</v>
      </c>
      <c r="I44" s="1">
        <v>0</v>
      </c>
      <c r="J44" s="1" t="s">
        <v>23</v>
      </c>
      <c r="K44" s="1">
        <v>0.20499999999999999</v>
      </c>
      <c r="L44" s="1" t="s">
        <v>114</v>
      </c>
      <c r="M44" s="1">
        <v>0</v>
      </c>
      <c r="N44" s="1" t="s">
        <v>23</v>
      </c>
    </row>
    <row r="45" spans="1:17" s="1" customFormat="1" x14ac:dyDescent="0.25">
      <c r="A45" s="74" t="s">
        <v>213</v>
      </c>
      <c r="B45" s="1">
        <v>1.3141700000000001</v>
      </c>
      <c r="C45" s="1">
        <v>0</v>
      </c>
      <c r="D45" s="81">
        <v>0</v>
      </c>
      <c r="E45" s="120">
        <f>E43*0.6</f>
        <v>0.15888959999999999</v>
      </c>
      <c r="F45" s="121"/>
      <c r="G45" s="1">
        <f>G44*0.8</f>
        <v>0.23039999999999999</v>
      </c>
      <c r="H45" s="1" t="s">
        <v>113</v>
      </c>
      <c r="I45" s="1">
        <v>0</v>
      </c>
      <c r="J45" s="1" t="s">
        <v>23</v>
      </c>
      <c r="K45" s="1">
        <f>K44*0.8</f>
        <v>0.16400000000000001</v>
      </c>
      <c r="L45" s="1" t="s">
        <v>114</v>
      </c>
      <c r="M45" s="1">
        <v>0</v>
      </c>
      <c r="N45" s="1" t="s">
        <v>23</v>
      </c>
    </row>
    <row r="46" spans="1:17" x14ac:dyDescent="0.25">
      <c r="A46" s="55" t="s">
        <v>214</v>
      </c>
      <c r="B46">
        <f>B$43</f>
        <v>1.3141700000000001</v>
      </c>
      <c r="C46">
        <f>C$43</f>
        <v>0</v>
      </c>
      <c r="D46">
        <f>D$43*0.75</f>
        <v>0</v>
      </c>
      <c r="E46">
        <f>E$43</f>
        <v>0.264816</v>
      </c>
      <c r="G46">
        <f>G$43</f>
        <v>0.36199999999999999</v>
      </c>
      <c r="H46" t="str">
        <f>H$43</f>
        <v>coke - CN</v>
      </c>
      <c r="I46">
        <f>I$43</f>
        <v>0</v>
      </c>
      <c r="J46" t="str">
        <f>J$43</f>
        <v>charcoal</v>
      </c>
      <c r="K46">
        <f>K$43</f>
        <v>0.14899999999999999</v>
      </c>
      <c r="L46" s="3" t="s">
        <v>114</v>
      </c>
      <c r="M46" s="56">
        <v>1</v>
      </c>
      <c r="N46" s="1" t="s">
        <v>23</v>
      </c>
    </row>
    <row r="47" spans="1:17" x14ac:dyDescent="0.25">
      <c r="A47" s="55" t="s">
        <v>215</v>
      </c>
      <c r="B47">
        <f>B$44</f>
        <v>1.3141700000000001</v>
      </c>
      <c r="C47">
        <f>C$44</f>
        <v>0</v>
      </c>
      <c r="D47">
        <f>D$44*0.75</f>
        <v>0</v>
      </c>
      <c r="E47">
        <f>E$44</f>
        <v>0.21185280000000001</v>
      </c>
      <c r="G47">
        <f t="shared" ref="G47:L47" si="8">G$44</f>
        <v>0.28799999999999998</v>
      </c>
      <c r="H47" t="str">
        <f t="shared" si="8"/>
        <v>coke - CN</v>
      </c>
      <c r="I47">
        <f t="shared" si="8"/>
        <v>0</v>
      </c>
      <c r="J47" t="str">
        <f t="shared" si="8"/>
        <v>charcoal</v>
      </c>
      <c r="K47">
        <f t="shared" si="8"/>
        <v>0.20499999999999999</v>
      </c>
      <c r="L47" t="str">
        <f t="shared" si="8"/>
        <v>coal coking - CN</v>
      </c>
      <c r="M47" s="56">
        <v>1</v>
      </c>
      <c r="N47" s="1" t="s">
        <v>23</v>
      </c>
    </row>
    <row r="48" spans="1:17" x14ac:dyDescent="0.25">
      <c r="A48" s="55" t="s">
        <v>216</v>
      </c>
      <c r="B48">
        <f>B$43</f>
        <v>1.3141700000000001</v>
      </c>
      <c r="C48">
        <f>C$43</f>
        <v>0</v>
      </c>
      <c r="D48">
        <f>D$43*0.75</f>
        <v>0</v>
      </c>
      <c r="E48">
        <f>E$43</f>
        <v>0.264816</v>
      </c>
      <c r="G48">
        <f>G$43</f>
        <v>0.36199999999999999</v>
      </c>
      <c r="H48" t="str">
        <f>H$43</f>
        <v>coke - CN</v>
      </c>
      <c r="I48">
        <f>I$43</f>
        <v>0</v>
      </c>
      <c r="J48" t="str">
        <f>J$43</f>
        <v>charcoal</v>
      </c>
      <c r="K48">
        <f>K$43</f>
        <v>0.14899999999999999</v>
      </c>
      <c r="L48" s="3" t="s">
        <v>114</v>
      </c>
      <c r="M48" s="56">
        <v>1</v>
      </c>
      <c r="N48" s="1" t="s">
        <v>23</v>
      </c>
    </row>
    <row r="49" spans="1:17" x14ac:dyDescent="0.25">
      <c r="A49" s="55" t="s">
        <v>217</v>
      </c>
      <c r="B49">
        <f>B$44</f>
        <v>1.3141700000000001</v>
      </c>
      <c r="C49">
        <f>C$44</f>
        <v>0</v>
      </c>
      <c r="D49">
        <f>D$44*0.75</f>
        <v>0</v>
      </c>
      <c r="E49">
        <f>E$44</f>
        <v>0.21185280000000001</v>
      </c>
      <c r="G49">
        <f t="shared" ref="G49:L49" si="9">G$44</f>
        <v>0.28799999999999998</v>
      </c>
      <c r="H49" t="str">
        <f t="shared" si="9"/>
        <v>coke - CN</v>
      </c>
      <c r="I49">
        <f t="shared" si="9"/>
        <v>0</v>
      </c>
      <c r="J49" t="str">
        <f t="shared" si="9"/>
        <v>charcoal</v>
      </c>
      <c r="K49">
        <f t="shared" si="9"/>
        <v>0.20499999999999999</v>
      </c>
      <c r="L49" t="str">
        <f t="shared" si="9"/>
        <v>coal coking - CN</v>
      </c>
      <c r="M49" s="56">
        <v>1</v>
      </c>
      <c r="N49" s="1" t="s">
        <v>23</v>
      </c>
    </row>
    <row r="50" spans="1:17" x14ac:dyDescent="0.25">
      <c r="A50" s="55" t="s">
        <v>218</v>
      </c>
      <c r="B50">
        <f>B$45</f>
        <v>1.3141700000000001</v>
      </c>
      <c r="C50">
        <f>C$45</f>
        <v>0</v>
      </c>
      <c r="D50">
        <f>D$45*0.75</f>
        <v>0</v>
      </c>
      <c r="E50">
        <f>E$45</f>
        <v>0.15888959999999999</v>
      </c>
      <c r="G50">
        <f t="shared" ref="G50:L50" si="10">G$45</f>
        <v>0.23039999999999999</v>
      </c>
      <c r="H50" t="str">
        <f t="shared" si="10"/>
        <v>coke - CN</v>
      </c>
      <c r="I50">
        <f t="shared" si="10"/>
        <v>0</v>
      </c>
      <c r="J50" t="str">
        <f t="shared" si="10"/>
        <v>charcoal</v>
      </c>
      <c r="K50">
        <f t="shared" si="10"/>
        <v>0.16400000000000001</v>
      </c>
      <c r="L50" t="str">
        <f t="shared" si="10"/>
        <v>coal coking - CN</v>
      </c>
      <c r="M50" s="56">
        <v>1</v>
      </c>
      <c r="N50" s="1" t="s">
        <v>23</v>
      </c>
    </row>
    <row r="51" spans="1:17" x14ac:dyDescent="0.25">
      <c r="A51" s="55" t="s">
        <v>219</v>
      </c>
      <c r="B51">
        <f>B$43</f>
        <v>1.3141700000000001</v>
      </c>
      <c r="C51">
        <f>C$43</f>
        <v>0</v>
      </c>
      <c r="D51">
        <f>D$43*0.75</f>
        <v>0</v>
      </c>
      <c r="E51">
        <f>E$43</f>
        <v>0.264816</v>
      </c>
      <c r="G51">
        <f t="shared" ref="G51:K52" si="11">G$43</f>
        <v>0.36199999999999999</v>
      </c>
      <c r="H51" t="str">
        <f t="shared" si="11"/>
        <v>coke - CN</v>
      </c>
      <c r="I51">
        <f t="shared" si="11"/>
        <v>0</v>
      </c>
      <c r="J51" t="str">
        <f t="shared" si="11"/>
        <v>charcoal</v>
      </c>
      <c r="K51">
        <f t="shared" si="11"/>
        <v>0.14899999999999999</v>
      </c>
      <c r="L51" s="3" t="s">
        <v>114</v>
      </c>
      <c r="M51" s="112">
        <v>1</v>
      </c>
      <c r="N51" s="1" t="s">
        <v>23</v>
      </c>
    </row>
    <row r="52" spans="1:17" s="67" customFormat="1" ht="15.75" thickBot="1" x14ac:dyDescent="0.3">
      <c r="A52" s="68" t="s">
        <v>220</v>
      </c>
      <c r="B52" s="67">
        <f>B$43</f>
        <v>1.3141700000000001</v>
      </c>
      <c r="C52" s="67">
        <f>C$43</f>
        <v>0</v>
      </c>
      <c r="D52" s="67">
        <f>D$43*0.9</f>
        <v>0</v>
      </c>
      <c r="E52" s="67">
        <f>E$43</f>
        <v>0.264816</v>
      </c>
      <c r="F52" s="100"/>
      <c r="G52" s="67">
        <f t="shared" si="11"/>
        <v>0.36199999999999999</v>
      </c>
      <c r="H52" s="67" t="str">
        <f t="shared" si="11"/>
        <v>coke - CN</v>
      </c>
      <c r="I52" s="67">
        <f t="shared" si="11"/>
        <v>0</v>
      </c>
      <c r="J52" s="67" t="str">
        <f t="shared" si="11"/>
        <v>charcoal</v>
      </c>
      <c r="K52" s="67">
        <f t="shared" si="11"/>
        <v>0.14899999999999999</v>
      </c>
      <c r="L52" s="65" t="s">
        <v>114</v>
      </c>
      <c r="M52" s="69">
        <v>0.5</v>
      </c>
      <c r="N52" s="67" t="s">
        <v>184</v>
      </c>
    </row>
    <row r="53" spans="1:17" s="1" customFormat="1" x14ac:dyDescent="0.25">
      <c r="A53" s="74" t="s">
        <v>221</v>
      </c>
      <c r="B53" s="1">
        <v>1.17</v>
      </c>
      <c r="C53" s="1">
        <v>0.12</v>
      </c>
      <c r="D53" s="81">
        <f>0.04*(0.56)</f>
        <v>2.2400000000000003E-2</v>
      </c>
      <c r="E53" s="1">
        <v>0.24</v>
      </c>
      <c r="F53" s="121"/>
      <c r="G53" s="1">
        <v>0.36499999999999999</v>
      </c>
      <c r="H53" s="1" t="s">
        <v>116</v>
      </c>
      <c r="I53" s="1">
        <v>0</v>
      </c>
      <c r="J53" s="1" t="s">
        <v>23</v>
      </c>
      <c r="K53" s="1">
        <v>0.14000000000000001</v>
      </c>
      <c r="L53" s="1" t="s">
        <v>117</v>
      </c>
      <c r="M53" s="1">
        <v>0</v>
      </c>
      <c r="N53" s="1" t="s">
        <v>23</v>
      </c>
    </row>
    <row r="54" spans="1:17" x14ac:dyDescent="0.25">
      <c r="A54" s="55" t="s">
        <v>222</v>
      </c>
      <c r="B54">
        <f>B$53</f>
        <v>1.17</v>
      </c>
      <c r="C54">
        <f>C$53</f>
        <v>0.12</v>
      </c>
      <c r="D54">
        <f>D$53*0.75</f>
        <v>1.6800000000000002E-2</v>
      </c>
      <c r="E54">
        <f>E$53</f>
        <v>0.24</v>
      </c>
      <c r="G54">
        <f t="shared" ref="G54:L57" si="12">G$53</f>
        <v>0.36499999999999999</v>
      </c>
      <c r="H54" t="str">
        <f t="shared" si="12"/>
        <v>coke - JP IPCC</v>
      </c>
      <c r="I54">
        <f t="shared" si="12"/>
        <v>0</v>
      </c>
      <c r="J54" t="str">
        <f t="shared" si="12"/>
        <v>charcoal</v>
      </c>
      <c r="K54">
        <f t="shared" si="12"/>
        <v>0.14000000000000001</v>
      </c>
      <c r="L54" t="str">
        <f t="shared" si="12"/>
        <v>coal PCI - JP IPCC</v>
      </c>
      <c r="M54" s="113">
        <v>1</v>
      </c>
      <c r="N54" s="3" t="s">
        <v>23</v>
      </c>
    </row>
    <row r="55" spans="1:17" x14ac:dyDescent="0.25">
      <c r="A55" s="55" t="s">
        <v>223</v>
      </c>
      <c r="B55">
        <f t="shared" ref="B55:B57" si="13">B$53</f>
        <v>1.17</v>
      </c>
      <c r="C55">
        <f>C$53</f>
        <v>0.12</v>
      </c>
      <c r="D55">
        <f>D$53*0.75</f>
        <v>1.6800000000000002E-2</v>
      </c>
      <c r="E55">
        <f>E$53</f>
        <v>0.24</v>
      </c>
      <c r="G55">
        <f t="shared" si="12"/>
        <v>0.36499999999999999</v>
      </c>
      <c r="H55" t="str">
        <f t="shared" si="12"/>
        <v>coke - JP IPCC</v>
      </c>
      <c r="I55">
        <f t="shared" si="12"/>
        <v>0</v>
      </c>
      <c r="J55" t="str">
        <f t="shared" si="12"/>
        <v>charcoal</v>
      </c>
      <c r="K55">
        <f t="shared" si="12"/>
        <v>0.14000000000000001</v>
      </c>
      <c r="L55" t="str">
        <f t="shared" si="12"/>
        <v>coal PCI - JP IPCC</v>
      </c>
      <c r="M55" s="113">
        <v>1</v>
      </c>
      <c r="N55" s="3" t="s">
        <v>23</v>
      </c>
    </row>
    <row r="56" spans="1:17" x14ac:dyDescent="0.25">
      <c r="A56" s="55" t="s">
        <v>224</v>
      </c>
      <c r="B56">
        <f t="shared" si="13"/>
        <v>1.17</v>
      </c>
      <c r="C56">
        <f>C$53</f>
        <v>0.12</v>
      </c>
      <c r="D56">
        <f>D$53*0.75</f>
        <v>1.6800000000000002E-2</v>
      </c>
      <c r="E56">
        <f>E$53</f>
        <v>0.24</v>
      </c>
      <c r="G56">
        <f t="shared" si="12"/>
        <v>0.36499999999999999</v>
      </c>
      <c r="H56" t="str">
        <f t="shared" si="12"/>
        <v>coke - JP IPCC</v>
      </c>
      <c r="I56">
        <f t="shared" si="12"/>
        <v>0</v>
      </c>
      <c r="J56" t="str">
        <f t="shared" si="12"/>
        <v>charcoal</v>
      </c>
      <c r="K56">
        <f t="shared" si="12"/>
        <v>0.14000000000000001</v>
      </c>
      <c r="L56" t="str">
        <f t="shared" si="12"/>
        <v>coal PCI - JP IPCC</v>
      </c>
      <c r="M56" s="113">
        <v>1</v>
      </c>
      <c r="N56" s="3" t="s">
        <v>23</v>
      </c>
    </row>
    <row r="57" spans="1:17" s="67" customFormat="1" ht="15.75" thickBot="1" x14ac:dyDescent="0.3">
      <c r="A57" s="68" t="s">
        <v>225</v>
      </c>
      <c r="B57" s="67">
        <f t="shared" si="13"/>
        <v>1.17</v>
      </c>
      <c r="C57" s="67">
        <f>C$53</f>
        <v>0.12</v>
      </c>
      <c r="D57" s="67">
        <f>D$53*0.9</f>
        <v>2.0160000000000004E-2</v>
      </c>
      <c r="E57" s="67">
        <f>E$53</f>
        <v>0.24</v>
      </c>
      <c r="F57" s="100"/>
      <c r="G57" s="67">
        <f t="shared" si="12"/>
        <v>0.36499999999999999</v>
      </c>
      <c r="H57" s="67" t="str">
        <f t="shared" si="12"/>
        <v>coke - JP IPCC</v>
      </c>
      <c r="I57" s="67">
        <f t="shared" si="12"/>
        <v>0</v>
      </c>
      <c r="J57" s="67" t="str">
        <f t="shared" si="12"/>
        <v>charcoal</v>
      </c>
      <c r="K57" s="67">
        <f t="shared" si="12"/>
        <v>0.14000000000000001</v>
      </c>
      <c r="L57" s="67" t="str">
        <f t="shared" si="12"/>
        <v>coal PCI - JP IPCC</v>
      </c>
      <c r="M57" s="124">
        <v>0.5</v>
      </c>
      <c r="N57" s="65" t="s">
        <v>184</v>
      </c>
    </row>
    <row r="58" spans="1:17" s="1" customFormat="1" x14ac:dyDescent="0.25">
      <c r="A58" s="74" t="s">
        <v>226</v>
      </c>
      <c r="B58" s="96">
        <f>0.85*1.15</f>
        <v>0.97749999999999992</v>
      </c>
      <c r="C58" s="96">
        <f>0.15*1.15</f>
        <v>0.17249999999999999</v>
      </c>
      <c r="D58" s="81">
        <f>0.04*(0.56)</f>
        <v>2.2400000000000003E-2</v>
      </c>
      <c r="E58" s="81">
        <v>0.2</v>
      </c>
      <c r="F58" s="121"/>
      <c r="G58" s="1">
        <v>0.45300000000000001</v>
      </c>
      <c r="H58" s="1" t="s">
        <v>112</v>
      </c>
      <c r="I58" s="1">
        <v>0</v>
      </c>
      <c r="J58" s="1" t="s">
        <v>23</v>
      </c>
      <c r="K58" s="1">
        <v>9.1600000000000001E-2</v>
      </c>
      <c r="L58" s="1" t="s">
        <v>118</v>
      </c>
      <c r="M58" s="1">
        <v>0</v>
      </c>
      <c r="N58" s="1" t="s">
        <v>23</v>
      </c>
    </row>
    <row r="59" spans="1:17" x14ac:dyDescent="0.25">
      <c r="A59" s="55" t="s">
        <v>227</v>
      </c>
      <c r="B59" s="62">
        <f>B$58</f>
        <v>0.97749999999999992</v>
      </c>
      <c r="C59" s="62">
        <f t="shared" ref="C59:E62" si="14">C$58</f>
        <v>0.17249999999999999</v>
      </c>
      <c r="D59" s="62">
        <f t="shared" si="14"/>
        <v>2.2400000000000003E-2</v>
      </c>
      <c r="E59" s="62">
        <f t="shared" si="14"/>
        <v>0.2</v>
      </c>
      <c r="G59" s="62">
        <f t="shared" ref="G59:L62" si="15">G$58</f>
        <v>0.45300000000000001</v>
      </c>
      <c r="H59" s="62" t="str">
        <f t="shared" si="15"/>
        <v>coke - IPCC</v>
      </c>
      <c r="I59" s="62">
        <f t="shared" si="15"/>
        <v>0</v>
      </c>
      <c r="J59" s="62" t="str">
        <f t="shared" si="15"/>
        <v>charcoal</v>
      </c>
      <c r="K59" s="62">
        <f t="shared" si="15"/>
        <v>9.1600000000000001E-2</v>
      </c>
      <c r="L59" s="62" t="str">
        <f t="shared" si="15"/>
        <v>natural gas - RU</v>
      </c>
      <c r="M59" s="113">
        <v>1</v>
      </c>
      <c r="N59" s="3" t="s">
        <v>23</v>
      </c>
    </row>
    <row r="60" spans="1:17" x14ac:dyDescent="0.25">
      <c r="A60" s="55" t="s">
        <v>228</v>
      </c>
      <c r="B60" s="62">
        <f t="shared" ref="B60:B62" si="16">B$58</f>
        <v>0.97749999999999992</v>
      </c>
      <c r="C60" s="62">
        <f t="shared" si="14"/>
        <v>0.17249999999999999</v>
      </c>
      <c r="D60" s="62">
        <f t="shared" si="14"/>
        <v>2.2400000000000003E-2</v>
      </c>
      <c r="E60" s="62">
        <f t="shared" si="14"/>
        <v>0.2</v>
      </c>
      <c r="G60" s="62">
        <f t="shared" si="15"/>
        <v>0.45300000000000001</v>
      </c>
      <c r="H60" s="62" t="str">
        <f t="shared" si="15"/>
        <v>coke - IPCC</v>
      </c>
      <c r="I60" s="62">
        <f t="shared" si="15"/>
        <v>0</v>
      </c>
      <c r="J60" s="62" t="str">
        <f t="shared" si="15"/>
        <v>charcoal</v>
      </c>
      <c r="K60" s="62">
        <f t="shared" si="15"/>
        <v>9.1600000000000001E-2</v>
      </c>
      <c r="L60" s="62" t="str">
        <f t="shared" si="15"/>
        <v>natural gas - RU</v>
      </c>
      <c r="M60" s="113">
        <v>1</v>
      </c>
      <c r="N60" s="3" t="s">
        <v>23</v>
      </c>
    </row>
    <row r="61" spans="1:17" x14ac:dyDescent="0.25">
      <c r="A61" s="55" t="s">
        <v>229</v>
      </c>
      <c r="B61" s="62">
        <f t="shared" si="16"/>
        <v>0.97749999999999992</v>
      </c>
      <c r="C61" s="62">
        <f t="shared" si="14"/>
        <v>0.17249999999999999</v>
      </c>
      <c r="D61" s="62">
        <f t="shared" si="14"/>
        <v>2.2400000000000003E-2</v>
      </c>
      <c r="E61" s="62">
        <f t="shared" si="14"/>
        <v>0.2</v>
      </c>
      <c r="G61" s="62">
        <f t="shared" si="15"/>
        <v>0.45300000000000001</v>
      </c>
      <c r="H61" s="62" t="str">
        <f t="shared" si="15"/>
        <v>coke - IPCC</v>
      </c>
      <c r="I61" s="62">
        <f t="shared" si="15"/>
        <v>0</v>
      </c>
      <c r="J61" s="62" t="str">
        <f t="shared" si="15"/>
        <v>charcoal</v>
      </c>
      <c r="K61" s="62">
        <f t="shared" si="15"/>
        <v>9.1600000000000001E-2</v>
      </c>
      <c r="L61" s="62" t="str">
        <f t="shared" si="15"/>
        <v>natural gas - RU</v>
      </c>
      <c r="M61" s="113">
        <v>1</v>
      </c>
      <c r="N61" s="3" t="s">
        <v>23</v>
      </c>
    </row>
    <row r="62" spans="1:17" s="67" customFormat="1" ht="15.75" thickBot="1" x14ac:dyDescent="0.3">
      <c r="A62" s="68" t="s">
        <v>230</v>
      </c>
      <c r="B62" s="86">
        <f t="shared" si="16"/>
        <v>0.97749999999999992</v>
      </c>
      <c r="C62" s="86">
        <f t="shared" si="14"/>
        <v>0.17249999999999999</v>
      </c>
      <c r="D62" s="86">
        <f t="shared" si="14"/>
        <v>2.2400000000000003E-2</v>
      </c>
      <c r="E62" s="86">
        <f t="shared" si="14"/>
        <v>0.2</v>
      </c>
      <c r="F62" s="100"/>
      <c r="G62" s="86">
        <f t="shared" si="15"/>
        <v>0.45300000000000001</v>
      </c>
      <c r="H62" s="86" t="str">
        <f t="shared" si="15"/>
        <v>coke - IPCC</v>
      </c>
      <c r="I62" s="86">
        <f t="shared" si="15"/>
        <v>0</v>
      </c>
      <c r="J62" s="86" t="str">
        <f t="shared" si="15"/>
        <v>charcoal</v>
      </c>
      <c r="K62" s="86">
        <f t="shared" si="15"/>
        <v>9.1600000000000001E-2</v>
      </c>
      <c r="L62" s="86" t="str">
        <f t="shared" si="15"/>
        <v>natural gas - RU</v>
      </c>
      <c r="M62" s="124">
        <v>0.5</v>
      </c>
      <c r="N62" s="65" t="s">
        <v>184</v>
      </c>
    </row>
    <row r="63" spans="1:17" s="1" customFormat="1" x14ac:dyDescent="0.25">
      <c r="A63" s="74" t="s">
        <v>231</v>
      </c>
      <c r="B63" s="1">
        <v>0</v>
      </c>
      <c r="C63" s="125">
        <f>70.2/54.4</f>
        <v>1.2904411764705883</v>
      </c>
      <c r="D63" s="96">
        <f>0.25*0.56</f>
        <v>0.14000000000000001</v>
      </c>
      <c r="E63" s="1">
        <v>0.27</v>
      </c>
      <c r="F63" s="121"/>
      <c r="G63" s="96">
        <f>12.26/30.23</f>
        <v>0.40555739331789614</v>
      </c>
      <c r="H63" s="1" t="s">
        <v>119</v>
      </c>
      <c r="I63" s="1">
        <v>0</v>
      </c>
      <c r="J63" s="1" t="s">
        <v>23</v>
      </c>
      <c r="K63" s="96">
        <f>(1.88+2.13)/47</f>
        <v>8.5319148936170208E-2</v>
      </c>
      <c r="L63" s="1" t="s">
        <v>120</v>
      </c>
      <c r="M63" s="1">
        <v>0</v>
      </c>
      <c r="N63" s="1" t="s">
        <v>23</v>
      </c>
      <c r="Q63" s="1" t="s">
        <v>261</v>
      </c>
    </row>
    <row r="64" spans="1:17" x14ac:dyDescent="0.25">
      <c r="A64" s="55" t="s">
        <v>232</v>
      </c>
      <c r="B64">
        <f>B$63</f>
        <v>0</v>
      </c>
      <c r="C64">
        <f t="shared" ref="C64:E67" si="17">C$63</f>
        <v>1.2904411764705883</v>
      </c>
      <c r="D64">
        <f t="shared" si="17"/>
        <v>0.14000000000000001</v>
      </c>
      <c r="E64">
        <f t="shared" si="17"/>
        <v>0.27</v>
      </c>
      <c r="G64">
        <f t="shared" ref="G64:L67" si="18">G$63</f>
        <v>0.40555739331789614</v>
      </c>
      <c r="H64" t="str">
        <f t="shared" si="18"/>
        <v>coke - US</v>
      </c>
      <c r="I64">
        <f t="shared" si="18"/>
        <v>0</v>
      </c>
      <c r="J64" t="str">
        <f t="shared" si="18"/>
        <v>charcoal</v>
      </c>
      <c r="K64">
        <f t="shared" si="18"/>
        <v>8.5319148936170208E-2</v>
      </c>
      <c r="L64" t="str">
        <f t="shared" si="18"/>
        <v>natural gas - US</v>
      </c>
      <c r="M64" s="113">
        <v>1</v>
      </c>
      <c r="N64" s="3" t="s">
        <v>23</v>
      </c>
    </row>
    <row r="65" spans="1:17" x14ac:dyDescent="0.25">
      <c r="A65" s="55" t="s">
        <v>233</v>
      </c>
      <c r="B65">
        <f t="shared" ref="B65:B67" si="19">B$63</f>
        <v>0</v>
      </c>
      <c r="C65">
        <f t="shared" si="17"/>
        <v>1.2904411764705883</v>
      </c>
      <c r="D65">
        <f t="shared" si="17"/>
        <v>0.14000000000000001</v>
      </c>
      <c r="E65">
        <f t="shared" si="17"/>
        <v>0.27</v>
      </c>
      <c r="G65">
        <f t="shared" si="18"/>
        <v>0.40555739331789614</v>
      </c>
      <c r="H65" t="str">
        <f t="shared" si="18"/>
        <v>coke - US</v>
      </c>
      <c r="I65">
        <f t="shared" si="18"/>
        <v>0</v>
      </c>
      <c r="J65" t="str">
        <f t="shared" si="18"/>
        <v>charcoal</v>
      </c>
      <c r="K65">
        <f t="shared" si="18"/>
        <v>8.5319148936170208E-2</v>
      </c>
      <c r="L65" t="str">
        <f t="shared" si="18"/>
        <v>natural gas - US</v>
      </c>
      <c r="M65" s="113">
        <v>1</v>
      </c>
      <c r="N65" s="3" t="s">
        <v>23</v>
      </c>
    </row>
    <row r="66" spans="1:17" x14ac:dyDescent="0.25">
      <c r="A66" s="55" t="s">
        <v>234</v>
      </c>
      <c r="B66">
        <f t="shared" si="19"/>
        <v>0</v>
      </c>
      <c r="C66">
        <f t="shared" si="17"/>
        <v>1.2904411764705883</v>
      </c>
      <c r="D66">
        <f t="shared" si="17"/>
        <v>0.14000000000000001</v>
      </c>
      <c r="E66">
        <f t="shared" si="17"/>
        <v>0.27</v>
      </c>
      <c r="G66">
        <f t="shared" si="18"/>
        <v>0.40555739331789614</v>
      </c>
      <c r="H66" t="str">
        <f t="shared" si="18"/>
        <v>coke - US</v>
      </c>
      <c r="I66">
        <f t="shared" si="18"/>
        <v>0</v>
      </c>
      <c r="J66" t="str">
        <f t="shared" si="18"/>
        <v>charcoal</v>
      </c>
      <c r="K66">
        <f t="shared" si="18"/>
        <v>8.5319148936170208E-2</v>
      </c>
      <c r="L66" t="str">
        <f t="shared" si="18"/>
        <v>natural gas - US</v>
      </c>
      <c r="M66" s="113">
        <v>1</v>
      </c>
      <c r="N66" s="3" t="s">
        <v>23</v>
      </c>
    </row>
    <row r="67" spans="1:17" s="67" customFormat="1" ht="15.75" thickBot="1" x14ac:dyDescent="0.3">
      <c r="A67" s="68" t="s">
        <v>235</v>
      </c>
      <c r="B67" s="67">
        <f t="shared" si="19"/>
        <v>0</v>
      </c>
      <c r="C67" s="67">
        <f t="shared" si="17"/>
        <v>1.2904411764705883</v>
      </c>
      <c r="D67" s="67">
        <f t="shared" si="17"/>
        <v>0.14000000000000001</v>
      </c>
      <c r="E67" s="67">
        <f t="shared" si="17"/>
        <v>0.27</v>
      </c>
      <c r="F67" s="100"/>
      <c r="G67" s="67">
        <f t="shared" si="18"/>
        <v>0.40555739331789614</v>
      </c>
      <c r="H67" s="67" t="str">
        <f t="shared" si="18"/>
        <v>coke - US</v>
      </c>
      <c r="I67" s="67">
        <f t="shared" si="18"/>
        <v>0</v>
      </c>
      <c r="J67" s="67" t="str">
        <f t="shared" si="18"/>
        <v>charcoal</v>
      </c>
      <c r="K67" s="67">
        <f t="shared" si="18"/>
        <v>8.5319148936170208E-2</v>
      </c>
      <c r="L67" s="67" t="str">
        <f t="shared" si="18"/>
        <v>natural gas - US</v>
      </c>
      <c r="M67" s="124">
        <v>0.5</v>
      </c>
      <c r="N67" s="65" t="s">
        <v>184</v>
      </c>
    </row>
    <row r="68" spans="1:17" s="1" customFormat="1" x14ac:dyDescent="0.25">
      <c r="A68" s="74" t="s">
        <v>236</v>
      </c>
      <c r="B68" s="81">
        <v>1.3</v>
      </c>
      <c r="C68" s="81">
        <v>0</v>
      </c>
      <c r="D68" s="81">
        <v>0.01</v>
      </c>
      <c r="E68" s="81">
        <v>0.1</v>
      </c>
      <c r="F68" s="121"/>
      <c r="G68" s="1">
        <v>0.59</v>
      </c>
      <c r="H68" s="1" t="s">
        <v>112</v>
      </c>
      <c r="I68" s="1">
        <v>0</v>
      </c>
      <c r="J68" s="1" t="s">
        <v>23</v>
      </c>
      <c r="K68" s="1">
        <v>0.11</v>
      </c>
      <c r="L68" s="1" t="s">
        <v>115</v>
      </c>
      <c r="M68" s="1">
        <v>0</v>
      </c>
      <c r="N68" s="1" t="s">
        <v>23</v>
      </c>
      <c r="Q68" s="1" t="s">
        <v>260</v>
      </c>
    </row>
    <row r="69" spans="1:17" x14ac:dyDescent="0.25">
      <c r="A69" s="55" t="s">
        <v>237</v>
      </c>
      <c r="B69" s="62">
        <f>B$68</f>
        <v>1.3</v>
      </c>
      <c r="C69" s="62">
        <f t="shared" ref="C69:E72" si="20">C$68</f>
        <v>0</v>
      </c>
      <c r="D69" s="62">
        <f t="shared" si="20"/>
        <v>0.01</v>
      </c>
      <c r="E69" s="62">
        <f t="shared" si="20"/>
        <v>0.1</v>
      </c>
      <c r="G69" s="62">
        <f t="shared" ref="G69:L72" si="21">G$68</f>
        <v>0.59</v>
      </c>
      <c r="H69" s="62" t="str">
        <f t="shared" si="21"/>
        <v>coke - IPCC</v>
      </c>
      <c r="I69" s="62">
        <f t="shared" si="21"/>
        <v>0</v>
      </c>
      <c r="J69" s="62" t="str">
        <f t="shared" si="21"/>
        <v>charcoal</v>
      </c>
      <c r="K69" s="62">
        <f t="shared" si="21"/>
        <v>0.11</v>
      </c>
      <c r="L69" s="62" t="str">
        <f t="shared" si="21"/>
        <v>coal coking - IPCC</v>
      </c>
      <c r="M69" s="113">
        <v>1</v>
      </c>
      <c r="N69" s="3" t="s">
        <v>23</v>
      </c>
    </row>
    <row r="70" spans="1:17" x14ac:dyDescent="0.25">
      <c r="A70" s="55" t="s">
        <v>238</v>
      </c>
      <c r="B70" s="62">
        <f t="shared" ref="B70:B72" si="22">B$68</f>
        <v>1.3</v>
      </c>
      <c r="C70" s="62">
        <f t="shared" si="20"/>
        <v>0</v>
      </c>
      <c r="D70" s="62">
        <f t="shared" si="20"/>
        <v>0.01</v>
      </c>
      <c r="E70" s="62">
        <f t="shared" si="20"/>
        <v>0.1</v>
      </c>
      <c r="G70" s="62">
        <f t="shared" si="21"/>
        <v>0.59</v>
      </c>
      <c r="H70" s="62" t="str">
        <f t="shared" si="21"/>
        <v>coke - IPCC</v>
      </c>
      <c r="I70" s="62">
        <f t="shared" si="21"/>
        <v>0</v>
      </c>
      <c r="J70" s="62" t="str">
        <f t="shared" si="21"/>
        <v>charcoal</v>
      </c>
      <c r="K70" s="62">
        <f t="shared" si="21"/>
        <v>0.11</v>
      </c>
      <c r="L70" s="62" t="str">
        <f t="shared" si="21"/>
        <v>coal coking - IPCC</v>
      </c>
      <c r="M70" s="113">
        <v>1</v>
      </c>
      <c r="N70" s="3" t="s">
        <v>23</v>
      </c>
    </row>
    <row r="71" spans="1:17" x14ac:dyDescent="0.25">
      <c r="A71" s="55" t="s">
        <v>239</v>
      </c>
      <c r="B71" s="62">
        <f t="shared" si="22"/>
        <v>1.3</v>
      </c>
      <c r="C71" s="62">
        <f t="shared" si="20"/>
        <v>0</v>
      </c>
      <c r="D71" s="62">
        <f t="shared" si="20"/>
        <v>0.01</v>
      </c>
      <c r="E71" s="62">
        <f t="shared" si="20"/>
        <v>0.1</v>
      </c>
      <c r="G71" s="62">
        <f t="shared" si="21"/>
        <v>0.59</v>
      </c>
      <c r="H71" s="62" t="str">
        <f t="shared" si="21"/>
        <v>coke - IPCC</v>
      </c>
      <c r="I71" s="62">
        <f t="shared" si="21"/>
        <v>0</v>
      </c>
      <c r="J71" s="62" t="str">
        <f t="shared" si="21"/>
        <v>charcoal</v>
      </c>
      <c r="K71" s="62">
        <f t="shared" si="21"/>
        <v>0.11</v>
      </c>
      <c r="L71" s="62" t="str">
        <f t="shared" si="21"/>
        <v>coal coking - IPCC</v>
      </c>
      <c r="M71" s="113">
        <v>1</v>
      </c>
      <c r="N71" s="3" t="s">
        <v>23</v>
      </c>
    </row>
    <row r="72" spans="1:17" s="67" customFormat="1" ht="15.75" thickBot="1" x14ac:dyDescent="0.3">
      <c r="A72" s="68" t="s">
        <v>240</v>
      </c>
      <c r="B72" s="86">
        <f t="shared" si="22"/>
        <v>1.3</v>
      </c>
      <c r="C72" s="86">
        <f t="shared" si="20"/>
        <v>0</v>
      </c>
      <c r="D72" s="86">
        <f t="shared" si="20"/>
        <v>0.01</v>
      </c>
      <c r="E72" s="86">
        <f t="shared" si="20"/>
        <v>0.1</v>
      </c>
      <c r="F72" s="100"/>
      <c r="G72" s="86">
        <f t="shared" si="21"/>
        <v>0.59</v>
      </c>
      <c r="H72" s="86" t="str">
        <f t="shared" si="21"/>
        <v>coke - IPCC</v>
      </c>
      <c r="I72" s="86">
        <f t="shared" si="21"/>
        <v>0</v>
      </c>
      <c r="J72" s="86" t="str">
        <f t="shared" si="21"/>
        <v>charcoal</v>
      </c>
      <c r="K72" s="86">
        <f t="shared" si="21"/>
        <v>0.11</v>
      </c>
      <c r="L72" s="86" t="str">
        <f t="shared" si="21"/>
        <v>coal coking - IPCC</v>
      </c>
      <c r="M72" s="124">
        <v>0.5</v>
      </c>
      <c r="N72" s="65" t="s">
        <v>184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D75" sqref="D75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  <c r="K1" t="s">
        <v>2</v>
      </c>
    </row>
    <row r="2" spans="1:11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1" x14ac:dyDescent="0.25">
      <c r="A3" s="2" t="s">
        <v>2</v>
      </c>
      <c r="B3" s="2"/>
    </row>
    <row r="4" spans="1:11" x14ac:dyDescent="0.25">
      <c r="A4" t="s">
        <v>3</v>
      </c>
    </row>
    <row r="5" spans="1:11" hidden="1" x14ac:dyDescent="0.25">
      <c r="A5" t="s">
        <v>56</v>
      </c>
      <c r="B5">
        <f>0.95</f>
        <v>0.95</v>
      </c>
      <c r="C5">
        <v>0.155</v>
      </c>
      <c r="D5">
        <v>0.01</v>
      </c>
      <c r="E5" t="s">
        <v>112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107</v>
      </c>
      <c r="B6">
        <f>0.95</f>
        <v>0.95</v>
      </c>
      <c r="C6">
        <v>0.14000000000000001</v>
      </c>
      <c r="D6">
        <v>0</v>
      </c>
      <c r="E6" t="s">
        <v>113</v>
      </c>
      <c r="F6">
        <v>0</v>
      </c>
      <c r="G6" t="s">
        <v>23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9" t="s">
        <v>243</v>
      </c>
      <c r="B7">
        <v>0.95</v>
      </c>
      <c r="C7">
        <v>0.14000000000000001</v>
      </c>
      <c r="D7">
        <v>0</v>
      </c>
      <c r="E7" t="s">
        <v>113</v>
      </c>
      <c r="H7" s="24"/>
      <c r="I7">
        <v>0.1278</v>
      </c>
      <c r="J7">
        <v>7.2923115195859714E-2</v>
      </c>
    </row>
    <row r="8" spans="1:11" hidden="1" x14ac:dyDescent="0.25">
      <c r="A8" s="59" t="s">
        <v>244</v>
      </c>
      <c r="B8">
        <f>40.2/40</f>
        <v>1.0050000000000001</v>
      </c>
      <c r="C8">
        <f>0.1/10</f>
        <v>0.01</v>
      </c>
      <c r="D8">
        <v>0</v>
      </c>
      <c r="E8" t="s">
        <v>113</v>
      </c>
      <c r="H8" s="98">
        <f>0.0023*(56/12)</f>
        <v>1.0733333333333334E-2</v>
      </c>
    </row>
    <row r="9" spans="1:11" hidden="1" x14ac:dyDescent="0.25">
      <c r="A9" t="s">
        <v>108</v>
      </c>
      <c r="B9">
        <f>0.9058</f>
        <v>0.90580000000000005</v>
      </c>
      <c r="C9">
        <f>0.1169+0.0731</f>
        <v>0.19</v>
      </c>
      <c r="D9">
        <v>0</v>
      </c>
      <c r="E9" t="s">
        <v>112</v>
      </c>
      <c r="F9">
        <v>0</v>
      </c>
      <c r="G9" t="s">
        <v>23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109</v>
      </c>
      <c r="B10">
        <v>0.95</v>
      </c>
      <c r="C10">
        <v>0.155</v>
      </c>
      <c r="D10">
        <v>0.01</v>
      </c>
      <c r="E10" t="s">
        <v>116</v>
      </c>
      <c r="F10">
        <v>0</v>
      </c>
      <c r="G10" t="s">
        <v>23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110</v>
      </c>
      <c r="B11" s="23">
        <v>0.95</v>
      </c>
      <c r="C11" s="23">
        <v>0.155</v>
      </c>
      <c r="D11">
        <v>0</v>
      </c>
      <c r="E11" t="s">
        <v>112</v>
      </c>
      <c r="F11">
        <v>0</v>
      </c>
      <c r="G11" t="s">
        <v>23</v>
      </c>
      <c r="H11" s="23">
        <v>6.9000000000000006E-2</v>
      </c>
      <c r="J11" s="23">
        <v>7.0000000000000007E-2</v>
      </c>
    </row>
    <row r="12" spans="1:11" hidden="1" x14ac:dyDescent="0.25">
      <c r="A12" t="s">
        <v>111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120</v>
      </c>
      <c r="F12">
        <v>0</v>
      </c>
      <c r="G12" t="s">
        <v>23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127</v>
      </c>
      <c r="B13" s="23">
        <v>0.95</v>
      </c>
      <c r="C13" s="23">
        <v>0.15</v>
      </c>
      <c r="D13" s="23">
        <v>0</v>
      </c>
      <c r="E13" s="23" t="s">
        <v>112</v>
      </c>
      <c r="F13" s="23">
        <v>0</v>
      </c>
      <c r="G13" s="23" t="s">
        <v>23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131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132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133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134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136</v>
      </c>
      <c r="B18">
        <v>0.90580000000000005</v>
      </c>
      <c r="C18">
        <f>0.1169+0.0731</f>
        <v>0.19</v>
      </c>
      <c r="D18">
        <v>0</v>
      </c>
      <c r="E18" t="s">
        <v>137</v>
      </c>
      <c r="F18">
        <v>0</v>
      </c>
      <c r="G18" t="s">
        <v>23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151</v>
      </c>
      <c r="B19">
        <f>0.9058</f>
        <v>0.90580000000000005</v>
      </c>
      <c r="C19">
        <f>0.1169+0.0731</f>
        <v>0.19</v>
      </c>
      <c r="D19">
        <v>0</v>
      </c>
      <c r="E19" t="s">
        <v>112</v>
      </c>
      <c r="F19">
        <v>0</v>
      </c>
      <c r="G19" t="s">
        <v>23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158</v>
      </c>
      <c r="B20">
        <f>0.9058</f>
        <v>0.90580000000000005</v>
      </c>
      <c r="C20">
        <f>0.1169+0.0731</f>
        <v>0.19</v>
      </c>
      <c r="D20">
        <v>0</v>
      </c>
      <c r="E20" t="s">
        <v>112</v>
      </c>
      <c r="F20">
        <v>0</v>
      </c>
      <c r="G20" t="s">
        <v>23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152</v>
      </c>
      <c r="B21">
        <v>0.9</v>
      </c>
      <c r="C21">
        <v>0.2</v>
      </c>
      <c r="D21" s="21">
        <f>0.4/47</f>
        <v>8.5106382978723406E-3</v>
      </c>
      <c r="E21" t="s">
        <v>124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143</v>
      </c>
      <c r="B22">
        <f>0.788</f>
        <v>0.78800000000000003</v>
      </c>
      <c r="C22">
        <v>0.34</v>
      </c>
      <c r="D22">
        <v>1E-3</v>
      </c>
      <c r="E22" t="s">
        <v>124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153</v>
      </c>
      <c r="D23">
        <v>0</v>
      </c>
      <c r="E23" t="s">
        <v>124</v>
      </c>
    </row>
    <row r="24" spans="1:10" hidden="1" x14ac:dyDescent="0.25">
      <c r="A24" t="s">
        <v>156</v>
      </c>
      <c r="D24" s="21">
        <f>0.4/47.1</f>
        <v>8.4925690021231421E-3</v>
      </c>
      <c r="E24" t="s">
        <v>124</v>
      </c>
      <c r="I24">
        <v>0.09</v>
      </c>
    </row>
    <row r="25" spans="1:10" s="104" customFormat="1" x14ac:dyDescent="0.25">
      <c r="A25" s="101" t="s">
        <v>201</v>
      </c>
      <c r="B25" s="104">
        <v>0.9</v>
      </c>
      <c r="C25" s="104">
        <v>0.2</v>
      </c>
      <c r="D25" s="128">
        <f>0.4/47</f>
        <v>8.5106382978723406E-3</v>
      </c>
      <c r="E25" s="104" t="s">
        <v>124</v>
      </c>
      <c r="F25" s="104">
        <v>0</v>
      </c>
      <c r="G25" s="104" t="s">
        <v>23</v>
      </c>
      <c r="H25" s="104">
        <v>0.05</v>
      </c>
      <c r="I25" s="104">
        <v>0.1</v>
      </c>
      <c r="J25" s="104">
        <f>60*Ref!$C$12</f>
        <v>8.5657535468903354E-2</v>
      </c>
    </row>
    <row r="26" spans="1:10" s="1" customFormat="1" x14ac:dyDescent="0.25">
      <c r="A26" s="74" t="s">
        <v>202</v>
      </c>
      <c r="B26" s="1">
        <f>0.788</f>
        <v>0.78800000000000003</v>
      </c>
      <c r="C26" s="1">
        <v>0.34</v>
      </c>
      <c r="D26" s="1">
        <v>1E-3</v>
      </c>
      <c r="E26" s="1" t="s">
        <v>124</v>
      </c>
      <c r="F26" s="129">
        <v>0</v>
      </c>
      <c r="G26" s="129" t="s">
        <v>23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74" t="s">
        <v>203</v>
      </c>
      <c r="B27" s="1" t="s">
        <v>263</v>
      </c>
      <c r="C27" s="1">
        <v>0.34</v>
      </c>
      <c r="D27" s="1">
        <v>0</v>
      </c>
      <c r="E27" s="1" t="s">
        <v>124</v>
      </c>
      <c r="F27" s="1">
        <v>0</v>
      </c>
      <c r="G27" s="129" t="s">
        <v>23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5" t="s">
        <v>204</v>
      </c>
      <c r="B28">
        <f t="shared" ref="B28:J28" si="1">B$25</f>
        <v>0.9</v>
      </c>
      <c r="C28">
        <f t="shared" si="1"/>
        <v>0.2</v>
      </c>
      <c r="D28">
        <f t="shared" si="1"/>
        <v>8.5106382978723406E-3</v>
      </c>
      <c r="E28" t="str">
        <f t="shared" si="1"/>
        <v>natural gas - IPCC</v>
      </c>
      <c r="F28">
        <f t="shared" si="1"/>
        <v>0</v>
      </c>
      <c r="G28" t="str">
        <f t="shared" si="1"/>
        <v>charcoal</v>
      </c>
      <c r="H28">
        <f t="shared" si="1"/>
        <v>0.05</v>
      </c>
      <c r="I28">
        <f t="shared" si="1"/>
        <v>0.1</v>
      </c>
      <c r="J28">
        <f t="shared" si="1"/>
        <v>8.5657535468903354E-2</v>
      </c>
    </row>
    <row r="29" spans="1:10" x14ac:dyDescent="0.25">
      <c r="A29" s="55" t="s">
        <v>205</v>
      </c>
      <c r="B29">
        <f>B$26</f>
        <v>0.78800000000000003</v>
      </c>
      <c r="C29">
        <f t="shared" ref="C29:J29" si="2">C$26</f>
        <v>0.34</v>
      </c>
      <c r="D29">
        <f t="shared" si="2"/>
        <v>1E-3</v>
      </c>
      <c r="E29" t="str">
        <f t="shared" si="2"/>
        <v>natural gas - IPCC</v>
      </c>
      <c r="F29">
        <f t="shared" si="2"/>
        <v>0</v>
      </c>
      <c r="G29" t="str">
        <f t="shared" si="2"/>
        <v>charcoal</v>
      </c>
      <c r="H29">
        <f t="shared" si="2"/>
        <v>0.03</v>
      </c>
      <c r="I29">
        <f t="shared" si="2"/>
        <v>3.5000000000000003E-2</v>
      </c>
      <c r="J29">
        <f t="shared" si="2"/>
        <v>7.0667466761845266E-2</v>
      </c>
    </row>
    <row r="30" spans="1:10" x14ac:dyDescent="0.25">
      <c r="A30" s="55" t="s">
        <v>206</v>
      </c>
      <c r="B30">
        <f t="shared" ref="B30:J30" si="3">B$25</f>
        <v>0.9</v>
      </c>
      <c r="C30">
        <f t="shared" si="3"/>
        <v>0.2</v>
      </c>
      <c r="D30">
        <f t="shared" si="3"/>
        <v>8.5106382978723406E-3</v>
      </c>
      <c r="E30" t="str">
        <f t="shared" si="3"/>
        <v>natural gas - IPCC</v>
      </c>
      <c r="F30">
        <f t="shared" si="3"/>
        <v>0</v>
      </c>
      <c r="G30" t="str">
        <f t="shared" si="3"/>
        <v>charcoal</v>
      </c>
      <c r="H30">
        <f t="shared" si="3"/>
        <v>0.05</v>
      </c>
      <c r="I30">
        <f t="shared" si="3"/>
        <v>0.1</v>
      </c>
      <c r="J30">
        <f t="shared" si="3"/>
        <v>8.5657535468903354E-2</v>
      </c>
    </row>
    <row r="31" spans="1:10" x14ac:dyDescent="0.25">
      <c r="A31" s="55" t="s">
        <v>207</v>
      </c>
      <c r="B31">
        <f t="shared" ref="B31:J31" si="4">B$26</f>
        <v>0.78800000000000003</v>
      </c>
      <c r="C31">
        <f t="shared" si="4"/>
        <v>0.34</v>
      </c>
      <c r="D31">
        <f t="shared" si="4"/>
        <v>1E-3</v>
      </c>
      <c r="E31" t="str">
        <f t="shared" si="4"/>
        <v>natural gas - IPCC</v>
      </c>
      <c r="F31">
        <f t="shared" si="4"/>
        <v>0</v>
      </c>
      <c r="G31" t="str">
        <f t="shared" si="4"/>
        <v>charcoal</v>
      </c>
      <c r="H31">
        <f t="shared" si="4"/>
        <v>0.03</v>
      </c>
      <c r="I31">
        <f t="shared" si="4"/>
        <v>3.5000000000000003E-2</v>
      </c>
      <c r="J31">
        <f t="shared" si="4"/>
        <v>7.0667466761845266E-2</v>
      </c>
    </row>
    <row r="32" spans="1:10" x14ac:dyDescent="0.25">
      <c r="A32" s="55" t="s">
        <v>208</v>
      </c>
      <c r="B32" t="str">
        <f>B$27</f>
        <v xml:space="preserve">                             </v>
      </c>
      <c r="C32">
        <f t="shared" ref="C32:J32" si="5">C$27</f>
        <v>0.34</v>
      </c>
      <c r="D32">
        <f t="shared" si="5"/>
        <v>0</v>
      </c>
      <c r="E32" t="str">
        <f t="shared" si="5"/>
        <v>natural gas - IPCC</v>
      </c>
      <c r="F32">
        <f t="shared" si="5"/>
        <v>0</v>
      </c>
      <c r="G32" t="str">
        <f t="shared" si="5"/>
        <v>charcoal</v>
      </c>
      <c r="H32">
        <f t="shared" si="5"/>
        <v>0.03</v>
      </c>
      <c r="I32">
        <f t="shared" si="5"/>
        <v>0.03</v>
      </c>
      <c r="J32">
        <f t="shared" si="5"/>
        <v>7.0667466761845266E-2</v>
      </c>
    </row>
    <row r="33" spans="1:10" x14ac:dyDescent="0.25">
      <c r="A33" s="55" t="s">
        <v>209</v>
      </c>
      <c r="B33">
        <f t="shared" ref="B33:J35" si="6">B$25</f>
        <v>0.9</v>
      </c>
      <c r="C33">
        <f t="shared" si="6"/>
        <v>0.2</v>
      </c>
      <c r="D33">
        <f t="shared" si="6"/>
        <v>8.5106382978723406E-3</v>
      </c>
      <c r="E33" t="str">
        <f t="shared" si="6"/>
        <v>natural gas - IPCC</v>
      </c>
      <c r="F33">
        <f t="shared" si="6"/>
        <v>0</v>
      </c>
      <c r="G33" t="str">
        <f t="shared" si="6"/>
        <v>charcoal</v>
      </c>
      <c r="H33">
        <f t="shared" si="6"/>
        <v>0.05</v>
      </c>
      <c r="I33">
        <f t="shared" si="6"/>
        <v>0.1</v>
      </c>
      <c r="J33">
        <f t="shared" si="6"/>
        <v>8.5657535468903354E-2</v>
      </c>
    </row>
    <row r="34" spans="1:10" x14ac:dyDescent="0.25">
      <c r="A34" s="55" t="s">
        <v>210</v>
      </c>
      <c r="B34">
        <f t="shared" si="6"/>
        <v>0.9</v>
      </c>
      <c r="C34">
        <f t="shared" si="6"/>
        <v>0.2</v>
      </c>
      <c r="D34">
        <f t="shared" si="6"/>
        <v>8.5106382978723406E-3</v>
      </c>
      <c r="E34" t="str">
        <f t="shared" si="6"/>
        <v>natural gas - IPCC</v>
      </c>
      <c r="F34">
        <f t="shared" si="6"/>
        <v>0</v>
      </c>
      <c r="G34" t="str">
        <f t="shared" si="6"/>
        <v>charcoal</v>
      </c>
      <c r="H34">
        <f t="shared" si="6"/>
        <v>0.05</v>
      </c>
      <c r="I34">
        <f t="shared" si="6"/>
        <v>0.1</v>
      </c>
      <c r="J34">
        <f t="shared" si="6"/>
        <v>8.5657535468903354E-2</v>
      </c>
    </row>
    <row r="35" spans="1:10" x14ac:dyDescent="0.25">
      <c r="A35" s="55" t="s">
        <v>174</v>
      </c>
      <c r="B35">
        <f t="shared" si="6"/>
        <v>0.9</v>
      </c>
      <c r="C35">
        <f t="shared" si="6"/>
        <v>0.2</v>
      </c>
      <c r="D35">
        <f t="shared" si="6"/>
        <v>8.5106382978723406E-3</v>
      </c>
      <c r="E35" t="str">
        <f t="shared" si="6"/>
        <v>natural gas - IPCC</v>
      </c>
      <c r="F35">
        <f t="shared" si="6"/>
        <v>0</v>
      </c>
      <c r="G35" t="str">
        <f t="shared" si="6"/>
        <v>charcoal</v>
      </c>
      <c r="H35">
        <f t="shared" si="6"/>
        <v>0.05</v>
      </c>
      <c r="I35">
        <f t="shared" si="6"/>
        <v>0.1</v>
      </c>
      <c r="J35">
        <f t="shared" si="6"/>
        <v>8.5657535468903354E-2</v>
      </c>
    </row>
    <row r="36" spans="1:10" x14ac:dyDescent="0.25">
      <c r="A36" s="55" t="s">
        <v>175</v>
      </c>
      <c r="B36">
        <f t="shared" ref="B36:J37" si="7">B$26</f>
        <v>0.78800000000000003</v>
      </c>
      <c r="C36">
        <f t="shared" si="7"/>
        <v>0.34</v>
      </c>
      <c r="D36">
        <f t="shared" si="7"/>
        <v>1E-3</v>
      </c>
      <c r="E36" t="str">
        <f t="shared" si="7"/>
        <v>natural gas - IPCC</v>
      </c>
      <c r="F36">
        <f t="shared" si="7"/>
        <v>0</v>
      </c>
      <c r="G36" t="str">
        <f t="shared" si="7"/>
        <v>charcoal</v>
      </c>
      <c r="H36">
        <f t="shared" si="7"/>
        <v>0.03</v>
      </c>
      <c r="I36">
        <f t="shared" si="7"/>
        <v>3.5000000000000003E-2</v>
      </c>
      <c r="J36">
        <f t="shared" si="7"/>
        <v>7.0667466761845266E-2</v>
      </c>
    </row>
    <row r="37" spans="1:10" x14ac:dyDescent="0.25">
      <c r="A37" s="55" t="s">
        <v>176</v>
      </c>
      <c r="B37">
        <f t="shared" si="7"/>
        <v>0.78800000000000003</v>
      </c>
      <c r="C37">
        <f t="shared" si="7"/>
        <v>0.34</v>
      </c>
      <c r="D37">
        <f t="shared" si="7"/>
        <v>1E-3</v>
      </c>
      <c r="E37" t="str">
        <f t="shared" si="7"/>
        <v>natural gas - IPCC</v>
      </c>
      <c r="F37">
        <f t="shared" si="7"/>
        <v>0</v>
      </c>
      <c r="G37" t="str">
        <f t="shared" si="7"/>
        <v>charcoal</v>
      </c>
      <c r="H37">
        <f t="shared" si="7"/>
        <v>0.03</v>
      </c>
      <c r="I37">
        <f t="shared" si="7"/>
        <v>3.5000000000000003E-2</v>
      </c>
      <c r="J37">
        <f t="shared" si="7"/>
        <v>7.0667466761845266E-2</v>
      </c>
    </row>
    <row r="38" spans="1:10" x14ac:dyDescent="0.25">
      <c r="A38" s="55" t="s">
        <v>177</v>
      </c>
      <c r="B38" t="str">
        <f t="shared" ref="B38:J42" si="8">B$27</f>
        <v xml:space="preserve">                             </v>
      </c>
      <c r="C38">
        <f t="shared" si="8"/>
        <v>0.34</v>
      </c>
      <c r="D38">
        <f t="shared" si="8"/>
        <v>0</v>
      </c>
      <c r="E38" t="str">
        <f t="shared" si="8"/>
        <v>natural gas - IPCC</v>
      </c>
      <c r="F38">
        <f t="shared" si="8"/>
        <v>0</v>
      </c>
      <c r="G38" t="str">
        <f t="shared" si="8"/>
        <v>charcoal</v>
      </c>
      <c r="H38">
        <f t="shared" si="8"/>
        <v>0.03</v>
      </c>
      <c r="I38">
        <f t="shared" si="8"/>
        <v>0.03</v>
      </c>
      <c r="J38">
        <f t="shared" si="8"/>
        <v>7.0667466761845266E-2</v>
      </c>
    </row>
    <row r="39" spans="1:10" s="67" customFormat="1" ht="15.75" thickBot="1" x14ac:dyDescent="0.3">
      <c r="A39" s="68" t="s">
        <v>178</v>
      </c>
      <c r="B39" s="67" t="str">
        <f t="shared" si="8"/>
        <v xml:space="preserve">                             </v>
      </c>
      <c r="C39" s="67">
        <f t="shared" si="8"/>
        <v>0.34</v>
      </c>
      <c r="D39" s="67">
        <f t="shared" si="8"/>
        <v>0</v>
      </c>
      <c r="E39" s="67" t="str">
        <f t="shared" si="8"/>
        <v>natural gas - IPCC</v>
      </c>
      <c r="F39" s="67">
        <f t="shared" si="8"/>
        <v>0</v>
      </c>
      <c r="G39" s="67" t="str">
        <f t="shared" si="8"/>
        <v>charcoal</v>
      </c>
      <c r="H39" s="67">
        <f t="shared" si="8"/>
        <v>0.03</v>
      </c>
      <c r="I39" s="67">
        <f t="shared" si="8"/>
        <v>0.03</v>
      </c>
      <c r="J39" s="67">
        <f t="shared" si="8"/>
        <v>7.0667466761845266E-2</v>
      </c>
    </row>
    <row r="40" spans="1:10" s="1" customFormat="1" x14ac:dyDescent="0.25">
      <c r="A40" s="74" t="s">
        <v>211</v>
      </c>
      <c r="B40" s="1">
        <f>40.2/40</f>
        <v>1.0050000000000001</v>
      </c>
      <c r="C40" s="1">
        <f>0.1/10</f>
        <v>0.01</v>
      </c>
      <c r="D40" s="1">
        <v>0</v>
      </c>
      <c r="E40" s="1" t="s">
        <v>113</v>
      </c>
      <c r="F40" s="1">
        <v>0</v>
      </c>
      <c r="G40" s="1" t="s">
        <v>23</v>
      </c>
      <c r="H40" s="130">
        <f>0.0023*(56/12)</f>
        <v>1.0733333333333334E-2</v>
      </c>
      <c r="I40" s="1">
        <v>0.13</v>
      </c>
      <c r="J40" s="81">
        <v>7.2923115195859714E-2</v>
      </c>
    </row>
    <row r="41" spans="1:10" s="1" customFormat="1" x14ac:dyDescent="0.25">
      <c r="A41" s="74" t="s">
        <v>212</v>
      </c>
      <c r="B41" s="1">
        <v>0.95</v>
      </c>
      <c r="C41" s="1">
        <v>0.14000000000000001</v>
      </c>
      <c r="D41" s="1">
        <v>0</v>
      </c>
      <c r="E41" s="1" t="s">
        <v>113</v>
      </c>
      <c r="F41" s="1">
        <v>0</v>
      </c>
      <c r="G41" s="1" t="str">
        <f t="shared" si="8"/>
        <v>charcoal</v>
      </c>
      <c r="H41" s="131">
        <f>0.0023*(56/12)</f>
        <v>1.0733333333333334E-2</v>
      </c>
      <c r="I41" s="1">
        <v>0.1278</v>
      </c>
      <c r="J41" s="1">
        <v>7.2923115195859714E-2</v>
      </c>
    </row>
    <row r="42" spans="1:10" s="1" customFormat="1" x14ac:dyDescent="0.25">
      <c r="A42" s="74" t="s">
        <v>213</v>
      </c>
      <c r="B42" s="81">
        <v>0.8</v>
      </c>
      <c r="C42" s="81">
        <v>0.3</v>
      </c>
      <c r="D42" s="1">
        <v>0</v>
      </c>
      <c r="E42" s="1" t="s">
        <v>113</v>
      </c>
      <c r="F42" s="1">
        <v>0</v>
      </c>
      <c r="G42" s="1" t="str">
        <f t="shared" si="8"/>
        <v>charcoal</v>
      </c>
      <c r="H42" s="131">
        <f>0.0023*(56/12)</f>
        <v>1.0733333333333334E-2</v>
      </c>
      <c r="I42" s="1">
        <v>7.0000000000000007E-2</v>
      </c>
      <c r="J42" s="81">
        <v>7.2923115195859714E-2</v>
      </c>
    </row>
    <row r="43" spans="1:10" x14ac:dyDescent="0.25">
      <c r="A43" s="55" t="s">
        <v>214</v>
      </c>
      <c r="B43">
        <f>B$40</f>
        <v>1.0050000000000001</v>
      </c>
      <c r="C43">
        <f t="shared" ref="C43:J43" si="9">C$40</f>
        <v>0.01</v>
      </c>
      <c r="D43">
        <f t="shared" si="9"/>
        <v>0</v>
      </c>
      <c r="E43" t="str">
        <f t="shared" si="9"/>
        <v>coke - CN</v>
      </c>
      <c r="F43">
        <f t="shared" si="9"/>
        <v>0</v>
      </c>
      <c r="G43" t="str">
        <f t="shared" si="9"/>
        <v>charcoal</v>
      </c>
      <c r="H43">
        <f t="shared" si="9"/>
        <v>1.0733333333333334E-2</v>
      </c>
      <c r="I43">
        <f t="shared" si="9"/>
        <v>0.13</v>
      </c>
      <c r="J43">
        <f t="shared" si="9"/>
        <v>7.2923115195859714E-2</v>
      </c>
    </row>
    <row r="44" spans="1:10" x14ac:dyDescent="0.25">
      <c r="A44" s="55" t="s">
        <v>215</v>
      </c>
      <c r="B44">
        <f>B$41</f>
        <v>0.95</v>
      </c>
      <c r="C44">
        <f t="shared" ref="C44:J44" si="10">C$41</f>
        <v>0.14000000000000001</v>
      </c>
      <c r="D44">
        <f t="shared" si="10"/>
        <v>0</v>
      </c>
      <c r="E44" t="str">
        <f t="shared" si="10"/>
        <v>coke - CN</v>
      </c>
      <c r="F44">
        <f t="shared" si="10"/>
        <v>0</v>
      </c>
      <c r="G44" t="str">
        <f t="shared" si="10"/>
        <v>charcoal</v>
      </c>
      <c r="H44">
        <f t="shared" si="10"/>
        <v>1.0733333333333334E-2</v>
      </c>
      <c r="I44">
        <f t="shared" si="10"/>
        <v>0.1278</v>
      </c>
      <c r="J44">
        <f t="shared" si="10"/>
        <v>7.2923115195859714E-2</v>
      </c>
    </row>
    <row r="45" spans="1:10" x14ac:dyDescent="0.25">
      <c r="A45" s="55" t="s">
        <v>216</v>
      </c>
      <c r="B45">
        <f t="shared" ref="B45:J45" si="11">B$40</f>
        <v>1.0050000000000001</v>
      </c>
      <c r="C45">
        <f t="shared" si="11"/>
        <v>0.01</v>
      </c>
      <c r="D45">
        <f t="shared" si="11"/>
        <v>0</v>
      </c>
      <c r="E45" t="str">
        <f t="shared" si="11"/>
        <v>coke - CN</v>
      </c>
      <c r="F45">
        <f t="shared" si="11"/>
        <v>0</v>
      </c>
      <c r="G45" t="str">
        <f t="shared" si="11"/>
        <v>charcoal</v>
      </c>
      <c r="H45">
        <f t="shared" si="11"/>
        <v>1.0733333333333334E-2</v>
      </c>
      <c r="I45">
        <f t="shared" si="11"/>
        <v>0.13</v>
      </c>
      <c r="J45">
        <f t="shared" si="11"/>
        <v>7.2923115195859714E-2</v>
      </c>
    </row>
    <row r="46" spans="1:10" x14ac:dyDescent="0.25">
      <c r="A46" s="55" t="s">
        <v>217</v>
      </c>
      <c r="B46">
        <f t="shared" ref="B46:J46" si="12">B$41</f>
        <v>0.95</v>
      </c>
      <c r="C46">
        <f t="shared" si="12"/>
        <v>0.14000000000000001</v>
      </c>
      <c r="D46">
        <f t="shared" si="12"/>
        <v>0</v>
      </c>
      <c r="E46" t="str">
        <f t="shared" si="12"/>
        <v>coke - CN</v>
      </c>
      <c r="F46">
        <f t="shared" si="12"/>
        <v>0</v>
      </c>
      <c r="G46" t="str">
        <f t="shared" si="12"/>
        <v>charcoal</v>
      </c>
      <c r="H46">
        <f t="shared" si="12"/>
        <v>1.0733333333333334E-2</v>
      </c>
      <c r="I46">
        <f t="shared" si="12"/>
        <v>0.1278</v>
      </c>
      <c r="J46">
        <f t="shared" si="12"/>
        <v>7.2923115195859714E-2</v>
      </c>
    </row>
    <row r="47" spans="1:10" x14ac:dyDescent="0.25">
      <c r="A47" s="55" t="s">
        <v>218</v>
      </c>
      <c r="B47">
        <f>B$42</f>
        <v>0.8</v>
      </c>
      <c r="C47">
        <f t="shared" ref="C47:J47" si="13">C$42</f>
        <v>0.3</v>
      </c>
      <c r="D47">
        <f t="shared" si="13"/>
        <v>0</v>
      </c>
      <c r="E47" t="str">
        <f t="shared" si="13"/>
        <v>coke - CN</v>
      </c>
      <c r="F47">
        <f t="shared" si="13"/>
        <v>0</v>
      </c>
      <c r="G47" t="str">
        <f t="shared" si="13"/>
        <v>charcoal</v>
      </c>
      <c r="H47">
        <f t="shared" si="13"/>
        <v>1.0733333333333334E-2</v>
      </c>
      <c r="I47">
        <f t="shared" si="13"/>
        <v>7.0000000000000007E-2</v>
      </c>
      <c r="J47">
        <f t="shared" si="13"/>
        <v>7.2923115195859714E-2</v>
      </c>
    </row>
    <row r="48" spans="1:10" x14ac:dyDescent="0.25">
      <c r="A48" s="55" t="s">
        <v>219</v>
      </c>
      <c r="B48">
        <f t="shared" ref="B48:J50" si="14">B$40</f>
        <v>1.0050000000000001</v>
      </c>
      <c r="C48">
        <f t="shared" si="14"/>
        <v>0.01</v>
      </c>
      <c r="D48">
        <f t="shared" si="14"/>
        <v>0</v>
      </c>
      <c r="E48" t="str">
        <f t="shared" si="14"/>
        <v>coke - CN</v>
      </c>
      <c r="F48">
        <f t="shared" si="14"/>
        <v>0</v>
      </c>
      <c r="G48" t="str">
        <f t="shared" si="14"/>
        <v>charcoal</v>
      </c>
      <c r="H48">
        <f t="shared" si="14"/>
        <v>1.0733333333333334E-2</v>
      </c>
      <c r="I48">
        <f t="shared" si="14"/>
        <v>0.13</v>
      </c>
      <c r="J48">
        <f t="shared" si="14"/>
        <v>7.2923115195859714E-2</v>
      </c>
    </row>
    <row r="49" spans="1:10" x14ac:dyDescent="0.25">
      <c r="A49" s="55" t="s">
        <v>220</v>
      </c>
      <c r="B49">
        <f t="shared" si="14"/>
        <v>1.0050000000000001</v>
      </c>
      <c r="C49">
        <f t="shared" si="14"/>
        <v>0.01</v>
      </c>
      <c r="D49">
        <f t="shared" si="14"/>
        <v>0</v>
      </c>
      <c r="E49" t="str">
        <f t="shared" si="14"/>
        <v>coke - CN</v>
      </c>
      <c r="F49">
        <f t="shared" si="14"/>
        <v>0</v>
      </c>
      <c r="G49" t="str">
        <f t="shared" si="14"/>
        <v>charcoal</v>
      </c>
      <c r="H49">
        <f t="shared" si="14"/>
        <v>1.0733333333333334E-2</v>
      </c>
      <c r="I49">
        <f t="shared" si="14"/>
        <v>0.13</v>
      </c>
      <c r="J49">
        <f t="shared" si="14"/>
        <v>7.2923115195859714E-2</v>
      </c>
    </row>
    <row r="50" spans="1:10" x14ac:dyDescent="0.25">
      <c r="A50" s="55" t="s">
        <v>179</v>
      </c>
      <c r="B50">
        <f t="shared" si="14"/>
        <v>1.0050000000000001</v>
      </c>
      <c r="C50">
        <f t="shared" si="14"/>
        <v>0.01</v>
      </c>
      <c r="D50">
        <f t="shared" si="14"/>
        <v>0</v>
      </c>
      <c r="E50" t="str">
        <f t="shared" si="14"/>
        <v>coke - CN</v>
      </c>
      <c r="F50">
        <f t="shared" si="14"/>
        <v>0</v>
      </c>
      <c r="G50" t="str">
        <f t="shared" si="14"/>
        <v>charcoal</v>
      </c>
      <c r="H50">
        <f t="shared" si="14"/>
        <v>1.0733333333333334E-2</v>
      </c>
      <c r="I50">
        <f t="shared" si="14"/>
        <v>0.13</v>
      </c>
      <c r="J50">
        <f t="shared" si="14"/>
        <v>7.2923115195859714E-2</v>
      </c>
    </row>
    <row r="51" spans="1:10" x14ac:dyDescent="0.25">
      <c r="A51" s="55" t="s">
        <v>180</v>
      </c>
      <c r="B51">
        <f t="shared" ref="B51:J52" si="15">B$41</f>
        <v>0.95</v>
      </c>
      <c r="C51">
        <f t="shared" si="15"/>
        <v>0.14000000000000001</v>
      </c>
      <c r="D51">
        <f t="shared" si="15"/>
        <v>0</v>
      </c>
      <c r="E51" t="str">
        <f t="shared" si="15"/>
        <v>coke - CN</v>
      </c>
      <c r="F51">
        <f t="shared" si="15"/>
        <v>0</v>
      </c>
      <c r="G51" t="str">
        <f t="shared" si="15"/>
        <v>charcoal</v>
      </c>
      <c r="H51">
        <f t="shared" si="15"/>
        <v>1.0733333333333334E-2</v>
      </c>
      <c r="I51">
        <f t="shared" si="15"/>
        <v>0.1278</v>
      </c>
      <c r="J51">
        <f t="shared" si="15"/>
        <v>7.2923115195859714E-2</v>
      </c>
    </row>
    <row r="52" spans="1:10" x14ac:dyDescent="0.25">
      <c r="A52" s="55" t="s">
        <v>181</v>
      </c>
      <c r="B52">
        <f t="shared" si="15"/>
        <v>0.95</v>
      </c>
      <c r="C52">
        <f t="shared" si="15"/>
        <v>0.14000000000000001</v>
      </c>
      <c r="D52">
        <f t="shared" si="15"/>
        <v>0</v>
      </c>
      <c r="E52" t="str">
        <f t="shared" si="15"/>
        <v>coke - CN</v>
      </c>
      <c r="F52">
        <f t="shared" si="15"/>
        <v>0</v>
      </c>
      <c r="G52" t="str">
        <f t="shared" si="15"/>
        <v>charcoal</v>
      </c>
      <c r="H52">
        <f t="shared" si="15"/>
        <v>1.0733333333333334E-2</v>
      </c>
      <c r="I52">
        <f t="shared" si="15"/>
        <v>0.1278</v>
      </c>
      <c r="J52">
        <f t="shared" si="15"/>
        <v>7.2923115195859714E-2</v>
      </c>
    </row>
    <row r="53" spans="1:10" x14ac:dyDescent="0.25">
      <c r="A53" s="55" t="s">
        <v>182</v>
      </c>
      <c r="B53">
        <f t="shared" ref="B53:J54" si="16">B$42</f>
        <v>0.8</v>
      </c>
      <c r="C53">
        <f t="shared" si="16"/>
        <v>0.3</v>
      </c>
      <c r="D53">
        <f t="shared" si="16"/>
        <v>0</v>
      </c>
      <c r="E53" t="str">
        <f t="shared" si="16"/>
        <v>coke - CN</v>
      </c>
      <c r="F53">
        <f t="shared" si="16"/>
        <v>0</v>
      </c>
      <c r="G53" t="str">
        <f t="shared" si="16"/>
        <v>charcoal</v>
      </c>
      <c r="H53">
        <f t="shared" si="16"/>
        <v>1.0733333333333334E-2</v>
      </c>
      <c r="I53">
        <f t="shared" si="16"/>
        <v>7.0000000000000007E-2</v>
      </c>
      <c r="J53">
        <f t="shared" si="16"/>
        <v>7.2923115195859714E-2</v>
      </c>
    </row>
    <row r="54" spans="1:10" s="67" customFormat="1" ht="15.75" thickBot="1" x14ac:dyDescent="0.3">
      <c r="A54" s="68" t="s">
        <v>183</v>
      </c>
      <c r="B54" s="67">
        <f t="shared" si="16"/>
        <v>0.8</v>
      </c>
      <c r="C54" s="67">
        <f t="shared" si="16"/>
        <v>0.3</v>
      </c>
      <c r="D54" s="67">
        <f t="shared" si="16"/>
        <v>0</v>
      </c>
      <c r="E54" s="67" t="str">
        <f t="shared" si="16"/>
        <v>coke - CN</v>
      </c>
      <c r="F54" s="67">
        <f t="shared" si="16"/>
        <v>0</v>
      </c>
      <c r="G54" s="67" t="str">
        <f t="shared" si="16"/>
        <v>charcoal</v>
      </c>
      <c r="H54" s="67">
        <f t="shared" si="16"/>
        <v>1.0733333333333334E-2</v>
      </c>
      <c r="I54" s="67">
        <f t="shared" si="16"/>
        <v>7.0000000000000007E-2</v>
      </c>
      <c r="J54" s="67">
        <f t="shared" si="16"/>
        <v>7.2923115195859714E-2</v>
      </c>
    </row>
    <row r="55" spans="1:10" s="1" customFormat="1" x14ac:dyDescent="0.25">
      <c r="A55" s="74" t="s">
        <v>221</v>
      </c>
      <c r="B55" s="1">
        <v>0.95</v>
      </c>
      <c r="C55" s="1">
        <v>0.155</v>
      </c>
      <c r="D55" s="1">
        <v>0.01</v>
      </c>
      <c r="E55" s="1" t="s">
        <v>116</v>
      </c>
      <c r="F55" s="1">
        <v>0</v>
      </c>
      <c r="G55" s="1" t="s">
        <v>23</v>
      </c>
      <c r="H55" s="81">
        <v>6.9000000000000006E-2</v>
      </c>
      <c r="I55" s="1">
        <v>0.2</v>
      </c>
      <c r="J55" s="81">
        <v>7.0000000000000007E-2</v>
      </c>
    </row>
    <row r="56" spans="1:10" x14ac:dyDescent="0.25">
      <c r="A56" s="55" t="s">
        <v>222</v>
      </c>
      <c r="B56">
        <f>B$55</f>
        <v>0.95</v>
      </c>
      <c r="C56">
        <f t="shared" ref="C56:J59" si="17">C$55</f>
        <v>0.155</v>
      </c>
      <c r="D56">
        <f t="shared" si="17"/>
        <v>0.01</v>
      </c>
      <c r="E56" t="str">
        <f t="shared" si="17"/>
        <v>coke - JP IPCC</v>
      </c>
      <c r="F56">
        <f t="shared" si="17"/>
        <v>0</v>
      </c>
      <c r="G56" t="str">
        <f t="shared" si="17"/>
        <v>charcoal</v>
      </c>
      <c r="H56">
        <f t="shared" si="17"/>
        <v>6.9000000000000006E-2</v>
      </c>
      <c r="I56">
        <f t="shared" si="17"/>
        <v>0.2</v>
      </c>
      <c r="J56">
        <f t="shared" si="17"/>
        <v>7.0000000000000007E-2</v>
      </c>
    </row>
    <row r="57" spans="1:10" x14ac:dyDescent="0.25">
      <c r="A57" s="55" t="s">
        <v>223</v>
      </c>
      <c r="B57">
        <f t="shared" ref="B57:B59" si="18">B$55</f>
        <v>0.95</v>
      </c>
      <c r="C57">
        <f t="shared" si="17"/>
        <v>0.155</v>
      </c>
      <c r="D57">
        <f t="shared" si="17"/>
        <v>0.01</v>
      </c>
      <c r="E57" t="str">
        <f t="shared" si="17"/>
        <v>coke - JP IPCC</v>
      </c>
      <c r="F57">
        <f t="shared" si="17"/>
        <v>0</v>
      </c>
      <c r="G57" t="str">
        <f t="shared" si="17"/>
        <v>charcoal</v>
      </c>
      <c r="H57">
        <f t="shared" si="17"/>
        <v>6.9000000000000006E-2</v>
      </c>
      <c r="I57">
        <f t="shared" si="17"/>
        <v>0.2</v>
      </c>
      <c r="J57">
        <f t="shared" si="17"/>
        <v>7.0000000000000007E-2</v>
      </c>
    </row>
    <row r="58" spans="1:10" x14ac:dyDescent="0.25">
      <c r="A58" s="55" t="s">
        <v>224</v>
      </c>
      <c r="B58">
        <f t="shared" si="18"/>
        <v>0.95</v>
      </c>
      <c r="C58">
        <f t="shared" si="17"/>
        <v>0.155</v>
      </c>
      <c r="D58">
        <f t="shared" si="17"/>
        <v>0.01</v>
      </c>
      <c r="E58" t="str">
        <f t="shared" si="17"/>
        <v>coke - JP IPCC</v>
      </c>
      <c r="F58">
        <f t="shared" si="17"/>
        <v>0</v>
      </c>
      <c r="G58" t="str">
        <f t="shared" si="17"/>
        <v>charcoal</v>
      </c>
      <c r="H58">
        <f t="shared" si="17"/>
        <v>6.9000000000000006E-2</v>
      </c>
      <c r="I58">
        <f t="shared" si="17"/>
        <v>0.2</v>
      </c>
      <c r="J58">
        <f t="shared" si="17"/>
        <v>7.0000000000000007E-2</v>
      </c>
    </row>
    <row r="59" spans="1:10" s="67" customFormat="1" ht="15.75" thickBot="1" x14ac:dyDescent="0.3">
      <c r="A59" s="68" t="s">
        <v>225</v>
      </c>
      <c r="B59" s="67">
        <f t="shared" si="18"/>
        <v>0.95</v>
      </c>
      <c r="C59" s="67">
        <f t="shared" si="17"/>
        <v>0.155</v>
      </c>
      <c r="D59" s="67">
        <f t="shared" si="17"/>
        <v>0.01</v>
      </c>
      <c r="E59" s="67" t="str">
        <f t="shared" si="17"/>
        <v>coke - JP IPCC</v>
      </c>
      <c r="F59" s="67">
        <f t="shared" si="17"/>
        <v>0</v>
      </c>
      <c r="G59" s="67" t="str">
        <f t="shared" si="17"/>
        <v>charcoal</v>
      </c>
      <c r="H59" s="67">
        <f t="shared" si="17"/>
        <v>6.9000000000000006E-2</v>
      </c>
      <c r="I59" s="67">
        <f t="shared" si="17"/>
        <v>0.2</v>
      </c>
      <c r="J59" s="67">
        <f t="shared" si="17"/>
        <v>7.0000000000000007E-2</v>
      </c>
    </row>
    <row r="60" spans="1:10" s="1" customFormat="1" x14ac:dyDescent="0.25">
      <c r="A60" s="74" t="s">
        <v>226</v>
      </c>
      <c r="B60" s="81">
        <v>0.95</v>
      </c>
      <c r="C60" s="81">
        <v>0.155</v>
      </c>
      <c r="D60" s="1">
        <v>0</v>
      </c>
      <c r="E60" s="1" t="s">
        <v>112</v>
      </c>
      <c r="F60" s="1">
        <v>0</v>
      </c>
      <c r="G60" s="1" t="s">
        <v>23</v>
      </c>
      <c r="H60" s="81">
        <v>6.9000000000000006E-2</v>
      </c>
      <c r="I60" s="81">
        <v>0.13</v>
      </c>
      <c r="J60" s="81">
        <v>7.0000000000000007E-2</v>
      </c>
    </row>
    <row r="61" spans="1:10" x14ac:dyDescent="0.25">
      <c r="A61" s="55" t="s">
        <v>227</v>
      </c>
      <c r="B61">
        <f>B$60</f>
        <v>0.95</v>
      </c>
      <c r="C61">
        <f t="shared" ref="C61:J64" si="19">C$60</f>
        <v>0.155</v>
      </c>
      <c r="D61">
        <f t="shared" si="19"/>
        <v>0</v>
      </c>
      <c r="E61" t="str">
        <f t="shared" si="19"/>
        <v>coke - IPCC</v>
      </c>
      <c r="F61">
        <f t="shared" si="19"/>
        <v>0</v>
      </c>
      <c r="G61" t="str">
        <f t="shared" si="19"/>
        <v>charcoal</v>
      </c>
      <c r="H61">
        <f t="shared" si="19"/>
        <v>6.9000000000000006E-2</v>
      </c>
      <c r="I61">
        <f t="shared" si="19"/>
        <v>0.13</v>
      </c>
      <c r="J61">
        <f t="shared" si="19"/>
        <v>7.0000000000000007E-2</v>
      </c>
    </row>
    <row r="62" spans="1:10" x14ac:dyDescent="0.25">
      <c r="A62" s="55" t="s">
        <v>228</v>
      </c>
      <c r="B62">
        <f t="shared" ref="B62:B64" si="20">B$60</f>
        <v>0.95</v>
      </c>
      <c r="C62">
        <f t="shared" si="19"/>
        <v>0.155</v>
      </c>
      <c r="D62">
        <f t="shared" si="19"/>
        <v>0</v>
      </c>
      <c r="E62" t="str">
        <f t="shared" si="19"/>
        <v>coke - IPCC</v>
      </c>
      <c r="F62">
        <f t="shared" si="19"/>
        <v>0</v>
      </c>
      <c r="G62" t="str">
        <f t="shared" si="19"/>
        <v>charcoal</v>
      </c>
      <c r="H62">
        <f t="shared" si="19"/>
        <v>6.9000000000000006E-2</v>
      </c>
      <c r="I62">
        <f t="shared" si="19"/>
        <v>0.13</v>
      </c>
      <c r="J62">
        <f t="shared" si="19"/>
        <v>7.0000000000000007E-2</v>
      </c>
    </row>
    <row r="63" spans="1:10" x14ac:dyDescent="0.25">
      <c r="A63" s="55" t="s">
        <v>229</v>
      </c>
      <c r="B63">
        <f t="shared" si="20"/>
        <v>0.95</v>
      </c>
      <c r="C63">
        <f t="shared" si="19"/>
        <v>0.155</v>
      </c>
      <c r="D63">
        <f t="shared" si="19"/>
        <v>0</v>
      </c>
      <c r="E63" t="str">
        <f t="shared" si="19"/>
        <v>coke - IPCC</v>
      </c>
      <c r="F63">
        <f t="shared" si="19"/>
        <v>0</v>
      </c>
      <c r="G63" t="str">
        <f t="shared" si="19"/>
        <v>charcoal</v>
      </c>
      <c r="H63">
        <f t="shared" si="19"/>
        <v>6.9000000000000006E-2</v>
      </c>
      <c r="I63">
        <f t="shared" si="19"/>
        <v>0.13</v>
      </c>
      <c r="J63">
        <f t="shared" si="19"/>
        <v>7.0000000000000007E-2</v>
      </c>
    </row>
    <row r="64" spans="1:10" s="67" customFormat="1" ht="15.75" thickBot="1" x14ac:dyDescent="0.3">
      <c r="A64" s="68" t="s">
        <v>230</v>
      </c>
      <c r="B64" s="67">
        <f t="shared" si="20"/>
        <v>0.95</v>
      </c>
      <c r="C64" s="67">
        <f t="shared" si="19"/>
        <v>0.155</v>
      </c>
      <c r="D64" s="67">
        <f t="shared" si="19"/>
        <v>0</v>
      </c>
      <c r="E64" s="67" t="str">
        <f t="shared" si="19"/>
        <v>coke - IPCC</v>
      </c>
      <c r="F64" s="67">
        <f t="shared" si="19"/>
        <v>0</v>
      </c>
      <c r="G64" s="67" t="str">
        <f t="shared" si="19"/>
        <v>charcoal</v>
      </c>
      <c r="H64" s="67">
        <f t="shared" si="19"/>
        <v>6.9000000000000006E-2</v>
      </c>
      <c r="I64" s="67">
        <f t="shared" si="19"/>
        <v>0.13</v>
      </c>
      <c r="J64" s="67">
        <f t="shared" si="19"/>
        <v>7.0000000000000007E-2</v>
      </c>
    </row>
    <row r="65" spans="1:11" s="1" customFormat="1" x14ac:dyDescent="0.25">
      <c r="A65" s="74" t="s">
        <v>231</v>
      </c>
      <c r="B65" s="94">
        <f>53.4/62.7</f>
        <v>0.85167464114832525</v>
      </c>
      <c r="C65" s="94">
        <f>17/62.7</f>
        <v>0.27113237639553428</v>
      </c>
      <c r="D65" s="76">
        <f>0.43/47.1</f>
        <v>9.1295116772823776E-3</v>
      </c>
      <c r="E65" s="1" t="s">
        <v>120</v>
      </c>
      <c r="F65" s="1">
        <v>0</v>
      </c>
      <c r="G65" s="1" t="s">
        <v>23</v>
      </c>
      <c r="H65" s="81">
        <v>0.04</v>
      </c>
      <c r="I65" s="1">
        <v>0.13</v>
      </c>
      <c r="J65" s="81">
        <v>7.0000000000000007E-2</v>
      </c>
      <c r="K65" s="1" t="s">
        <v>264</v>
      </c>
    </row>
    <row r="66" spans="1:11" x14ac:dyDescent="0.25">
      <c r="A66" s="55" t="s">
        <v>232</v>
      </c>
      <c r="B66" s="48">
        <f>B$65</f>
        <v>0.85167464114832525</v>
      </c>
      <c r="C66" s="48">
        <f t="shared" ref="C66:J69" si="21">C$65</f>
        <v>0.27113237639553428</v>
      </c>
      <c r="D66" s="48">
        <f t="shared" si="21"/>
        <v>9.1295116772823776E-3</v>
      </c>
      <c r="E66" s="48" t="str">
        <f t="shared" si="21"/>
        <v>natural gas - US</v>
      </c>
      <c r="F66" s="48">
        <f t="shared" si="21"/>
        <v>0</v>
      </c>
      <c r="G66" s="48" t="str">
        <f t="shared" si="21"/>
        <v>charcoal</v>
      </c>
      <c r="H66" s="48">
        <f t="shared" si="21"/>
        <v>0.04</v>
      </c>
      <c r="I66" s="48">
        <f t="shared" si="21"/>
        <v>0.13</v>
      </c>
      <c r="J66" s="48">
        <f t="shared" si="21"/>
        <v>7.0000000000000007E-2</v>
      </c>
    </row>
    <row r="67" spans="1:11" x14ac:dyDescent="0.25">
      <c r="A67" s="55" t="s">
        <v>233</v>
      </c>
      <c r="B67" s="48">
        <f t="shared" ref="B67:B69" si="22">B$65</f>
        <v>0.85167464114832525</v>
      </c>
      <c r="C67" s="48">
        <f t="shared" si="21"/>
        <v>0.27113237639553428</v>
      </c>
      <c r="D67" s="48">
        <f t="shared" si="21"/>
        <v>9.1295116772823776E-3</v>
      </c>
      <c r="E67" s="48" t="str">
        <f t="shared" si="21"/>
        <v>natural gas - US</v>
      </c>
      <c r="F67" s="48">
        <f t="shared" si="21"/>
        <v>0</v>
      </c>
      <c r="G67" s="48" t="str">
        <f t="shared" si="21"/>
        <v>charcoal</v>
      </c>
      <c r="H67" s="48">
        <f t="shared" si="21"/>
        <v>0.04</v>
      </c>
      <c r="I67" s="48">
        <f t="shared" si="21"/>
        <v>0.13</v>
      </c>
      <c r="J67" s="48">
        <f t="shared" si="21"/>
        <v>7.0000000000000007E-2</v>
      </c>
    </row>
    <row r="68" spans="1:11" x14ac:dyDescent="0.25">
      <c r="A68" s="55" t="s">
        <v>234</v>
      </c>
      <c r="B68" s="48">
        <f t="shared" si="22"/>
        <v>0.85167464114832525</v>
      </c>
      <c r="C68" s="48">
        <f t="shared" si="21"/>
        <v>0.27113237639553428</v>
      </c>
      <c r="D68" s="48">
        <f t="shared" si="21"/>
        <v>9.1295116772823776E-3</v>
      </c>
      <c r="E68" s="48" t="str">
        <f t="shared" si="21"/>
        <v>natural gas - US</v>
      </c>
      <c r="F68" s="48">
        <f t="shared" si="21"/>
        <v>0</v>
      </c>
      <c r="G68" s="48" t="str">
        <f t="shared" si="21"/>
        <v>charcoal</v>
      </c>
      <c r="H68" s="48">
        <f t="shared" si="21"/>
        <v>0.04</v>
      </c>
      <c r="I68" s="48">
        <f t="shared" si="21"/>
        <v>0.13</v>
      </c>
      <c r="J68" s="48">
        <f t="shared" si="21"/>
        <v>7.0000000000000007E-2</v>
      </c>
    </row>
    <row r="69" spans="1:11" s="67" customFormat="1" ht="15.75" thickBot="1" x14ac:dyDescent="0.3">
      <c r="A69" s="68" t="s">
        <v>235</v>
      </c>
      <c r="B69" s="92">
        <f t="shared" si="22"/>
        <v>0.85167464114832525</v>
      </c>
      <c r="C69" s="92">
        <f t="shared" si="21"/>
        <v>0.27113237639553428</v>
      </c>
      <c r="D69" s="92">
        <f t="shared" si="21"/>
        <v>9.1295116772823776E-3</v>
      </c>
      <c r="E69" s="92" t="str">
        <f t="shared" si="21"/>
        <v>natural gas - US</v>
      </c>
      <c r="F69" s="92">
        <f t="shared" si="21"/>
        <v>0</v>
      </c>
      <c r="G69" s="92" t="str">
        <f t="shared" si="21"/>
        <v>charcoal</v>
      </c>
      <c r="H69" s="92">
        <f t="shared" si="21"/>
        <v>0.04</v>
      </c>
      <c r="I69" s="92">
        <f t="shared" si="21"/>
        <v>0.13</v>
      </c>
      <c r="J69" s="92">
        <f t="shared" si="21"/>
        <v>7.0000000000000007E-2</v>
      </c>
    </row>
    <row r="70" spans="1:11" s="1" customFormat="1" x14ac:dyDescent="0.25">
      <c r="A70" s="74" t="s">
        <v>236</v>
      </c>
      <c r="B70" s="81">
        <v>0.95</v>
      </c>
      <c r="C70" s="81">
        <v>0.15</v>
      </c>
      <c r="D70" s="81">
        <v>0</v>
      </c>
      <c r="E70" s="81" t="s">
        <v>112</v>
      </c>
      <c r="F70" s="81">
        <v>0</v>
      </c>
      <c r="G70" s="81" t="s">
        <v>23</v>
      </c>
      <c r="H70" s="81">
        <v>6.9000000000000006E-2</v>
      </c>
      <c r="I70" s="81">
        <v>0.2</v>
      </c>
      <c r="J70" s="81">
        <v>7.0000000000000007E-2</v>
      </c>
    </row>
    <row r="71" spans="1:11" x14ac:dyDescent="0.25">
      <c r="A71" s="55" t="s">
        <v>237</v>
      </c>
      <c r="B71" s="132">
        <f>B$70</f>
        <v>0.95</v>
      </c>
      <c r="C71" s="132">
        <f t="shared" ref="C71:J74" si="23">C$70</f>
        <v>0.15</v>
      </c>
      <c r="D71" s="132">
        <f t="shared" si="23"/>
        <v>0</v>
      </c>
      <c r="E71" s="132" t="str">
        <f t="shared" si="23"/>
        <v>coke - IPCC</v>
      </c>
      <c r="F71" s="132">
        <f t="shared" si="23"/>
        <v>0</v>
      </c>
      <c r="G71" s="132" t="str">
        <f t="shared" si="23"/>
        <v>charcoal</v>
      </c>
      <c r="H71" s="132">
        <f t="shared" si="23"/>
        <v>6.9000000000000006E-2</v>
      </c>
      <c r="I71" s="132">
        <f t="shared" si="23"/>
        <v>0.2</v>
      </c>
      <c r="J71" s="132">
        <f t="shared" si="23"/>
        <v>7.0000000000000007E-2</v>
      </c>
    </row>
    <row r="72" spans="1:11" x14ac:dyDescent="0.25">
      <c r="A72" s="55" t="s">
        <v>238</v>
      </c>
      <c r="B72" s="132">
        <f t="shared" ref="B72:B74" si="24">B$70</f>
        <v>0.95</v>
      </c>
      <c r="C72" s="132">
        <f t="shared" si="23"/>
        <v>0.15</v>
      </c>
      <c r="D72" s="132">
        <f t="shared" si="23"/>
        <v>0</v>
      </c>
      <c r="E72" s="132" t="str">
        <f t="shared" si="23"/>
        <v>coke - IPCC</v>
      </c>
      <c r="F72" s="132">
        <f t="shared" si="23"/>
        <v>0</v>
      </c>
      <c r="G72" s="132" t="str">
        <f t="shared" si="23"/>
        <v>charcoal</v>
      </c>
      <c r="H72" s="132">
        <f t="shared" si="23"/>
        <v>6.9000000000000006E-2</v>
      </c>
      <c r="I72" s="132">
        <f t="shared" si="23"/>
        <v>0.2</v>
      </c>
      <c r="J72" s="132">
        <f t="shared" si="23"/>
        <v>7.0000000000000007E-2</v>
      </c>
    </row>
    <row r="73" spans="1:11" x14ac:dyDescent="0.25">
      <c r="A73" s="55" t="s">
        <v>239</v>
      </c>
      <c r="B73" s="132">
        <f t="shared" si="24"/>
        <v>0.95</v>
      </c>
      <c r="C73" s="132">
        <f t="shared" si="23"/>
        <v>0.15</v>
      </c>
      <c r="D73" s="132">
        <f t="shared" si="23"/>
        <v>0</v>
      </c>
      <c r="E73" s="132" t="str">
        <f t="shared" si="23"/>
        <v>coke - IPCC</v>
      </c>
      <c r="F73" s="132">
        <f t="shared" si="23"/>
        <v>0</v>
      </c>
      <c r="G73" s="132" t="str">
        <f t="shared" si="23"/>
        <v>charcoal</v>
      </c>
      <c r="H73" s="132">
        <f t="shared" si="23"/>
        <v>6.9000000000000006E-2</v>
      </c>
      <c r="I73" s="132">
        <f t="shared" si="23"/>
        <v>0.2</v>
      </c>
      <c r="J73" s="132">
        <f t="shared" si="23"/>
        <v>7.0000000000000007E-2</v>
      </c>
    </row>
    <row r="74" spans="1:11" s="67" customFormat="1" ht="15.75" thickBot="1" x14ac:dyDescent="0.3">
      <c r="A74" s="68" t="s">
        <v>240</v>
      </c>
      <c r="B74" s="133">
        <f t="shared" si="24"/>
        <v>0.95</v>
      </c>
      <c r="C74" s="133">
        <f t="shared" si="23"/>
        <v>0.15</v>
      </c>
      <c r="D74" s="133">
        <f t="shared" si="23"/>
        <v>0</v>
      </c>
      <c r="E74" s="133" t="str">
        <f t="shared" si="23"/>
        <v>coke - IPCC</v>
      </c>
      <c r="F74" s="133">
        <f t="shared" si="23"/>
        <v>0</v>
      </c>
      <c r="G74" s="133" t="str">
        <f t="shared" si="23"/>
        <v>charcoal</v>
      </c>
      <c r="H74" s="133">
        <f t="shared" si="23"/>
        <v>6.9000000000000006E-2</v>
      </c>
      <c r="I74" s="133">
        <f t="shared" si="23"/>
        <v>0.2</v>
      </c>
      <c r="J74" s="133">
        <f t="shared" si="23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B78" sqref="B78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60</v>
      </c>
      <c r="C1" s="18" t="s">
        <v>9</v>
      </c>
      <c r="D1" s="1" t="s">
        <v>81</v>
      </c>
    </row>
    <row r="2" spans="1:4" x14ac:dyDescent="0.25">
      <c r="A2" s="2" t="s">
        <v>1</v>
      </c>
      <c r="C2" s="19" t="s">
        <v>76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56</v>
      </c>
      <c r="B5" s="5">
        <f>B6</f>
        <v>0.87</v>
      </c>
      <c r="C5" s="5">
        <v>2</v>
      </c>
    </row>
    <row r="6" spans="1:4" hidden="1" x14ac:dyDescent="0.25">
      <c r="A6" t="s">
        <v>107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108</v>
      </c>
      <c r="B7" s="5">
        <v>0.87</v>
      </c>
      <c r="C7" s="5">
        <v>1.3869199999999999</v>
      </c>
    </row>
    <row r="8" spans="1:4" hidden="1" x14ac:dyDescent="0.25">
      <c r="A8" t="s">
        <v>109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110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111</v>
      </c>
      <c r="B10" s="25">
        <f>B9</f>
        <v>0.87</v>
      </c>
      <c r="C10" s="25">
        <v>1.3869199999999999</v>
      </c>
    </row>
    <row r="11" spans="1:4" hidden="1" x14ac:dyDescent="0.25">
      <c r="A11" t="s">
        <v>131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132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133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134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136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127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151</v>
      </c>
      <c r="B17" s="5">
        <v>0.87</v>
      </c>
      <c r="C17" s="5">
        <v>1.3869199999999999</v>
      </c>
    </row>
    <row r="18" spans="1:4" hidden="1" x14ac:dyDescent="0.25">
      <c r="A18" t="s">
        <v>158</v>
      </c>
      <c r="B18" s="5">
        <v>0.87</v>
      </c>
      <c r="C18" s="5">
        <v>1.3869199999999999</v>
      </c>
    </row>
    <row r="19" spans="1:4" hidden="1" x14ac:dyDescent="0.25">
      <c r="A19" t="s">
        <v>152</v>
      </c>
    </row>
    <row r="20" spans="1:4" hidden="1" x14ac:dyDescent="0.25">
      <c r="A20" t="s">
        <v>143</v>
      </c>
    </row>
    <row r="21" spans="1:4" hidden="1" x14ac:dyDescent="0.25">
      <c r="A21" t="s">
        <v>265</v>
      </c>
      <c r="B21" s="5">
        <v>0.87</v>
      </c>
      <c r="C21" s="5">
        <f>150*Ref!B$18</f>
        <v>0.54</v>
      </c>
      <c r="D21" s="35" t="s">
        <v>266</v>
      </c>
    </row>
    <row r="22" spans="1:4" hidden="1" x14ac:dyDescent="0.25">
      <c r="A22" t="s">
        <v>153</v>
      </c>
      <c r="B22" s="5">
        <v>0.87</v>
      </c>
      <c r="C22" s="5">
        <f>53*Ref!B$18</f>
        <v>0.1908</v>
      </c>
      <c r="D22" s="35" t="s">
        <v>266</v>
      </c>
    </row>
    <row r="23" spans="1:4" hidden="1" x14ac:dyDescent="0.25">
      <c r="A23" t="s">
        <v>268</v>
      </c>
      <c r="B23" s="5">
        <v>0.87</v>
      </c>
      <c r="C23" s="5">
        <f>0.464/Ref!C$12*Ref!B$18</f>
        <v>1.1700546770503895</v>
      </c>
      <c r="D23" t="s">
        <v>267</v>
      </c>
    </row>
    <row r="24" spans="1:4" hidden="1" x14ac:dyDescent="0.25">
      <c r="A24" t="s">
        <v>269</v>
      </c>
      <c r="B24" s="5">
        <v>0.87</v>
      </c>
      <c r="C24" s="5">
        <f>0.639/Ref!C$12*Ref!B$18</f>
        <v>1.6113468505068942</v>
      </c>
      <c r="D24" t="s">
        <v>267</v>
      </c>
    </row>
    <row r="25" spans="1:4" hidden="1" x14ac:dyDescent="0.25">
      <c r="A25" t="s">
        <v>156</v>
      </c>
    </row>
    <row r="26" spans="1:4" hidden="1" x14ac:dyDescent="0.25">
      <c r="A26" t="s">
        <v>169</v>
      </c>
      <c r="B26" s="5">
        <v>0.87</v>
      </c>
      <c r="C26" s="5">
        <v>1.3869199999999999</v>
      </c>
    </row>
    <row r="27" spans="1:4" hidden="1" x14ac:dyDescent="0.25">
      <c r="A27" t="s">
        <v>170</v>
      </c>
      <c r="B27" s="5">
        <v>0.87</v>
      </c>
      <c r="C27" s="5">
        <v>1.3869199999999999</v>
      </c>
    </row>
    <row r="28" spans="1:4" hidden="1" x14ac:dyDescent="0.25">
      <c r="A28" t="s">
        <v>166</v>
      </c>
      <c r="B28" s="5">
        <v>0.87</v>
      </c>
      <c r="C28" s="5">
        <v>1.3869199999999999</v>
      </c>
    </row>
    <row r="29" spans="1:4" s="104" customFormat="1" x14ac:dyDescent="0.25">
      <c r="A29" s="101" t="s">
        <v>201</v>
      </c>
      <c r="B29" s="104">
        <f t="shared" ref="B29:C29" si="1">B$7</f>
        <v>0.87</v>
      </c>
      <c r="C29" s="128">
        <f t="shared" si="1"/>
        <v>1.3869199999999999</v>
      </c>
    </row>
    <row r="30" spans="1:4" s="1" customFormat="1" x14ac:dyDescent="0.25">
      <c r="A30" s="74" t="s">
        <v>202</v>
      </c>
      <c r="B30" s="4">
        <v>0.87</v>
      </c>
      <c r="C30" s="134">
        <f>0.464/Ref!C$12*Ref!B$18</f>
        <v>1.1700546770503895</v>
      </c>
      <c r="D30" t="s">
        <v>267</v>
      </c>
    </row>
    <row r="31" spans="1:4" s="1" customFormat="1" x14ac:dyDescent="0.25">
      <c r="A31" s="74" t="s">
        <v>203</v>
      </c>
      <c r="B31" s="4">
        <v>0.87</v>
      </c>
      <c r="C31" s="134">
        <f>150*Ref!B$18</f>
        <v>0.54</v>
      </c>
      <c r="D31" s="35" t="s">
        <v>266</v>
      </c>
    </row>
    <row r="32" spans="1:4" customFormat="1" x14ac:dyDescent="0.25">
      <c r="A32" s="55" t="s">
        <v>204</v>
      </c>
      <c r="B32">
        <f>B$29</f>
        <v>0.87</v>
      </c>
      <c r="C32" s="21">
        <f>C$29</f>
        <v>1.3869199999999999</v>
      </c>
    </row>
    <row r="33" spans="1:3" customFormat="1" x14ac:dyDescent="0.25">
      <c r="A33" s="55" t="s">
        <v>205</v>
      </c>
      <c r="B33">
        <f>B$30</f>
        <v>0.87</v>
      </c>
      <c r="C33" s="21">
        <f>C$30</f>
        <v>1.1700546770503895</v>
      </c>
    </row>
    <row r="34" spans="1:3" customFormat="1" x14ac:dyDescent="0.25">
      <c r="A34" s="55" t="s">
        <v>206</v>
      </c>
      <c r="B34">
        <f>B$29</f>
        <v>0.87</v>
      </c>
      <c r="C34" s="21">
        <f>C$29</f>
        <v>1.3869199999999999</v>
      </c>
    </row>
    <row r="35" spans="1:3" customFormat="1" x14ac:dyDescent="0.25">
      <c r="A35" s="55" t="s">
        <v>207</v>
      </c>
      <c r="B35">
        <f>B$30</f>
        <v>0.87</v>
      </c>
      <c r="C35" s="21">
        <f>C$30</f>
        <v>1.1700546770503895</v>
      </c>
    </row>
    <row r="36" spans="1:3" customFormat="1" x14ac:dyDescent="0.25">
      <c r="A36" s="55" t="s">
        <v>208</v>
      </c>
      <c r="B36">
        <f>B$31</f>
        <v>0.87</v>
      </c>
      <c r="C36" s="21">
        <f>C$31</f>
        <v>0.54</v>
      </c>
    </row>
    <row r="37" spans="1:3" customFormat="1" x14ac:dyDescent="0.25">
      <c r="A37" s="55" t="s">
        <v>209</v>
      </c>
      <c r="B37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5" t="s">
        <v>210</v>
      </c>
      <c r="B38">
        <f t="shared" si="2"/>
        <v>0.87</v>
      </c>
      <c r="C38" s="21">
        <f t="shared" si="2"/>
        <v>1.3869199999999999</v>
      </c>
    </row>
    <row r="39" spans="1:3" customFormat="1" x14ac:dyDescent="0.25">
      <c r="A39" s="55" t="s">
        <v>174</v>
      </c>
      <c r="B39">
        <f t="shared" si="2"/>
        <v>0.87</v>
      </c>
      <c r="C39" s="21">
        <f t="shared" si="2"/>
        <v>1.3869199999999999</v>
      </c>
    </row>
    <row r="40" spans="1:3" customFormat="1" x14ac:dyDescent="0.25">
      <c r="A40" s="55" t="s">
        <v>175</v>
      </c>
      <c r="B40">
        <f>B$30</f>
        <v>0.87</v>
      </c>
      <c r="C40" s="21">
        <f>C$30</f>
        <v>1.1700546770503895</v>
      </c>
    </row>
    <row r="41" spans="1:3" customFormat="1" x14ac:dyDescent="0.25">
      <c r="A41" s="55" t="s">
        <v>176</v>
      </c>
      <c r="B41">
        <f>B$30</f>
        <v>0.87</v>
      </c>
      <c r="C41" s="21">
        <f>C$30</f>
        <v>1.1700546770503895</v>
      </c>
    </row>
    <row r="42" spans="1:3" customFormat="1" x14ac:dyDescent="0.25">
      <c r="A42" s="55" t="s">
        <v>177</v>
      </c>
      <c r="B42">
        <f>B$31</f>
        <v>0.87</v>
      </c>
      <c r="C42" s="21">
        <f>C$31</f>
        <v>0.54</v>
      </c>
    </row>
    <row r="43" spans="1:3" s="67" customFormat="1" ht="15.75" thickBot="1" x14ac:dyDescent="0.3">
      <c r="A43" s="68" t="s">
        <v>178</v>
      </c>
      <c r="B43" s="67">
        <f>B$31</f>
        <v>0.87</v>
      </c>
      <c r="C43" s="67">
        <f>C$31</f>
        <v>0.54</v>
      </c>
    </row>
    <row r="44" spans="1:3" s="1" customFormat="1" x14ac:dyDescent="0.25">
      <c r="A44" s="74" t="s">
        <v>211</v>
      </c>
      <c r="B44" s="4">
        <f>0.87</f>
        <v>0.87</v>
      </c>
      <c r="C44" s="134">
        <f>8.2*0.3264</f>
        <v>2.6764799999999997</v>
      </c>
    </row>
    <row r="45" spans="1:3" s="1" customFormat="1" x14ac:dyDescent="0.25">
      <c r="A45" s="74" t="s">
        <v>212</v>
      </c>
      <c r="B45" s="115">
        <f t="shared" ref="B45:C45" si="3">B$7</f>
        <v>0.87</v>
      </c>
      <c r="C45" s="135">
        <f t="shared" si="3"/>
        <v>1.3869199999999999</v>
      </c>
    </row>
    <row r="46" spans="1:3" s="1" customFormat="1" x14ac:dyDescent="0.25">
      <c r="A46" s="74" t="s">
        <v>213</v>
      </c>
      <c r="B46" s="136">
        <v>0.87</v>
      </c>
      <c r="C46" s="137">
        <f>0.464/Ref!C$12*Ref!B$18</f>
        <v>1.1700546770503895</v>
      </c>
    </row>
    <row r="47" spans="1:3" customFormat="1" x14ac:dyDescent="0.25">
      <c r="A47" s="55" t="s">
        <v>214</v>
      </c>
      <c r="B47">
        <f>B$44</f>
        <v>0.87</v>
      </c>
      <c r="C47" s="21">
        <f>C$44</f>
        <v>2.6764799999999997</v>
      </c>
    </row>
    <row r="48" spans="1:3" customFormat="1" x14ac:dyDescent="0.25">
      <c r="A48" s="55" t="s">
        <v>215</v>
      </c>
      <c r="B48">
        <f>B$45</f>
        <v>0.87</v>
      </c>
      <c r="C48" s="21">
        <f>C$45</f>
        <v>1.3869199999999999</v>
      </c>
    </row>
    <row r="49" spans="1:3" customFormat="1" x14ac:dyDescent="0.25">
      <c r="A49" s="55" t="s">
        <v>216</v>
      </c>
      <c r="B49">
        <f>B$44</f>
        <v>0.87</v>
      </c>
      <c r="C49" s="21">
        <f>C$44</f>
        <v>2.6764799999999997</v>
      </c>
    </row>
    <row r="50" spans="1:3" customFormat="1" x14ac:dyDescent="0.25">
      <c r="A50" s="55" t="s">
        <v>217</v>
      </c>
      <c r="B50">
        <f>B$45</f>
        <v>0.87</v>
      </c>
      <c r="C50" s="21">
        <f>C$45</f>
        <v>1.3869199999999999</v>
      </c>
    </row>
    <row r="51" spans="1:3" customFormat="1" x14ac:dyDescent="0.25">
      <c r="A51" s="55" t="s">
        <v>218</v>
      </c>
      <c r="B51">
        <f>B$46</f>
        <v>0.87</v>
      </c>
      <c r="C51" s="21">
        <f>C$46</f>
        <v>1.1700546770503895</v>
      </c>
    </row>
    <row r="52" spans="1:3" customFormat="1" x14ac:dyDescent="0.25">
      <c r="A52" s="55" t="s">
        <v>219</v>
      </c>
      <c r="B52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5" t="s">
        <v>220</v>
      </c>
      <c r="B53">
        <f t="shared" si="4"/>
        <v>0.87</v>
      </c>
      <c r="C53" s="21">
        <f t="shared" si="4"/>
        <v>2.6764799999999997</v>
      </c>
    </row>
    <row r="54" spans="1:3" customFormat="1" x14ac:dyDescent="0.25">
      <c r="A54" s="55" t="s">
        <v>179</v>
      </c>
      <c r="B54">
        <f t="shared" si="4"/>
        <v>0.87</v>
      </c>
      <c r="C54" s="21">
        <f t="shared" si="4"/>
        <v>2.6764799999999997</v>
      </c>
    </row>
    <row r="55" spans="1:3" customFormat="1" x14ac:dyDescent="0.25">
      <c r="A55" s="55" t="s">
        <v>180</v>
      </c>
      <c r="B55">
        <f>B$45</f>
        <v>0.87</v>
      </c>
      <c r="C55" s="21">
        <f>C$45</f>
        <v>1.3869199999999999</v>
      </c>
    </row>
    <row r="56" spans="1:3" customFormat="1" x14ac:dyDescent="0.25">
      <c r="A56" s="55" t="s">
        <v>181</v>
      </c>
      <c r="B56">
        <f>B$45</f>
        <v>0.87</v>
      </c>
      <c r="C56" s="21">
        <f>C$45</f>
        <v>1.3869199999999999</v>
      </c>
    </row>
    <row r="57" spans="1:3" customFormat="1" x14ac:dyDescent="0.25">
      <c r="A57" s="55" t="s">
        <v>182</v>
      </c>
      <c r="B57">
        <f t="shared" ref="B57:C58" si="5">B$46</f>
        <v>0.87</v>
      </c>
      <c r="C57" s="21">
        <f t="shared" si="5"/>
        <v>1.1700546770503895</v>
      </c>
    </row>
    <row r="58" spans="1:3" s="67" customFormat="1" ht="15.75" thickBot="1" x14ac:dyDescent="0.3">
      <c r="A58" s="68" t="s">
        <v>183</v>
      </c>
      <c r="B58" s="67">
        <f t="shared" si="5"/>
        <v>0.87</v>
      </c>
      <c r="C58" s="66">
        <f t="shared" si="5"/>
        <v>1.1700546770503895</v>
      </c>
    </row>
    <row r="59" spans="1:3" s="1" customFormat="1" x14ac:dyDescent="0.25">
      <c r="A59" s="74" t="s">
        <v>221</v>
      </c>
      <c r="B59" s="110">
        <f t="shared" ref="B59:C59" si="6">B$7</f>
        <v>0.87</v>
      </c>
      <c r="C59" s="138">
        <f t="shared" si="6"/>
        <v>1.3869199999999999</v>
      </c>
    </row>
    <row r="60" spans="1:3" customFormat="1" x14ac:dyDescent="0.25">
      <c r="A60" s="55" t="s">
        <v>222</v>
      </c>
      <c r="B60">
        <f>B$59</f>
        <v>0.87</v>
      </c>
      <c r="C60">
        <f t="shared" ref="C60:C63" si="7">C$59</f>
        <v>1.3869199999999999</v>
      </c>
    </row>
    <row r="61" spans="1:3" customFormat="1" x14ac:dyDescent="0.25">
      <c r="A61" s="55" t="s">
        <v>223</v>
      </c>
      <c r="B61">
        <f t="shared" ref="B61:B63" si="8">B$59</f>
        <v>0.87</v>
      </c>
      <c r="C61">
        <f t="shared" si="7"/>
        <v>1.3869199999999999</v>
      </c>
    </row>
    <row r="62" spans="1:3" customFormat="1" x14ac:dyDescent="0.25">
      <c r="A62" s="55" t="s">
        <v>224</v>
      </c>
      <c r="B62">
        <f t="shared" si="8"/>
        <v>0.87</v>
      </c>
      <c r="C62">
        <f t="shared" si="7"/>
        <v>1.3869199999999999</v>
      </c>
    </row>
    <row r="63" spans="1:3" s="67" customFormat="1" ht="15.75" thickBot="1" x14ac:dyDescent="0.3">
      <c r="A63" s="68" t="s">
        <v>225</v>
      </c>
      <c r="B63" s="67">
        <f t="shared" si="8"/>
        <v>0.87</v>
      </c>
      <c r="C63" s="67">
        <f t="shared" si="7"/>
        <v>1.3869199999999999</v>
      </c>
    </row>
    <row r="64" spans="1:3" s="1" customFormat="1" x14ac:dyDescent="0.25">
      <c r="A64" s="74" t="s">
        <v>226</v>
      </c>
      <c r="B64" s="136">
        <f>0.87</f>
        <v>0.87</v>
      </c>
      <c r="C64" s="136">
        <f>8.2*0.3264</f>
        <v>2.6764799999999997</v>
      </c>
    </row>
    <row r="65" spans="1:3" customFormat="1" x14ac:dyDescent="0.25">
      <c r="A65" s="55" t="s">
        <v>227</v>
      </c>
      <c r="B65">
        <f>B$64</f>
        <v>0.87</v>
      </c>
      <c r="C65">
        <f t="shared" ref="C65:C68" si="9">C$64</f>
        <v>2.6764799999999997</v>
      </c>
    </row>
    <row r="66" spans="1:3" customFormat="1" x14ac:dyDescent="0.25">
      <c r="A66" s="55" t="s">
        <v>228</v>
      </c>
      <c r="B66">
        <f t="shared" ref="B66:B68" si="10">B$64</f>
        <v>0.87</v>
      </c>
      <c r="C66">
        <f t="shared" si="9"/>
        <v>2.6764799999999997</v>
      </c>
    </row>
    <row r="67" spans="1:3" customFormat="1" x14ac:dyDescent="0.25">
      <c r="A67" s="55" t="s">
        <v>229</v>
      </c>
      <c r="B67">
        <f t="shared" si="10"/>
        <v>0.87</v>
      </c>
      <c r="C67">
        <f t="shared" si="9"/>
        <v>2.6764799999999997</v>
      </c>
    </row>
    <row r="68" spans="1:3" s="67" customFormat="1" ht="15.75" thickBot="1" x14ac:dyDescent="0.3">
      <c r="A68" s="68" t="s">
        <v>230</v>
      </c>
      <c r="B68" s="67">
        <f t="shared" si="10"/>
        <v>0.87</v>
      </c>
      <c r="C68" s="67">
        <f t="shared" si="9"/>
        <v>2.6764799999999997</v>
      </c>
    </row>
    <row r="69" spans="1:3" s="1" customFormat="1" x14ac:dyDescent="0.25">
      <c r="A69" s="74" t="s">
        <v>231</v>
      </c>
      <c r="B69" s="115">
        <f t="shared" ref="B69:C69" si="11">B$7</f>
        <v>0.87</v>
      </c>
      <c r="C69" s="135">
        <f t="shared" si="11"/>
        <v>1.3869199999999999</v>
      </c>
    </row>
    <row r="70" spans="1:3" customFormat="1" x14ac:dyDescent="0.25">
      <c r="A70" s="55" t="s">
        <v>232</v>
      </c>
      <c r="B70">
        <f>B$69</f>
        <v>0.87</v>
      </c>
      <c r="C70">
        <f t="shared" ref="C70:C73" si="12">C$69</f>
        <v>1.3869199999999999</v>
      </c>
    </row>
    <row r="71" spans="1:3" customFormat="1" x14ac:dyDescent="0.25">
      <c r="A71" s="55" t="s">
        <v>233</v>
      </c>
      <c r="B71">
        <f t="shared" ref="B71:B73" si="13">B$69</f>
        <v>0.87</v>
      </c>
      <c r="C71">
        <f t="shared" si="12"/>
        <v>1.3869199999999999</v>
      </c>
    </row>
    <row r="72" spans="1:3" customFormat="1" x14ac:dyDescent="0.25">
      <c r="A72" s="55" t="s">
        <v>234</v>
      </c>
      <c r="B72">
        <f t="shared" si="13"/>
        <v>0.87</v>
      </c>
      <c r="C72">
        <f t="shared" si="12"/>
        <v>1.3869199999999999</v>
      </c>
    </row>
    <row r="73" spans="1:3" s="67" customFormat="1" ht="15.75" thickBot="1" x14ac:dyDescent="0.3">
      <c r="A73" s="68" t="s">
        <v>235</v>
      </c>
      <c r="B73" s="67">
        <f t="shared" si="13"/>
        <v>0.87</v>
      </c>
      <c r="C73" s="67">
        <f t="shared" si="12"/>
        <v>1.3869199999999999</v>
      </c>
    </row>
    <row r="74" spans="1:3" s="1" customFormat="1" x14ac:dyDescent="0.25">
      <c r="A74" s="74" t="s">
        <v>236</v>
      </c>
      <c r="B74" s="136">
        <f>0.87</f>
        <v>0.87</v>
      </c>
      <c r="C74" s="136">
        <f>8.2*0.3264</f>
        <v>2.6764799999999997</v>
      </c>
    </row>
    <row r="75" spans="1:3" customFormat="1" x14ac:dyDescent="0.25">
      <c r="A75" s="55" t="s">
        <v>237</v>
      </c>
      <c r="B75">
        <f>B$74</f>
        <v>0.87</v>
      </c>
      <c r="C75">
        <f t="shared" ref="C75:C78" si="14">C$74</f>
        <v>2.6764799999999997</v>
      </c>
    </row>
    <row r="76" spans="1:3" customFormat="1" x14ac:dyDescent="0.25">
      <c r="A76" s="55" t="s">
        <v>238</v>
      </c>
      <c r="B76">
        <f t="shared" ref="B76:B78" si="15">B$74</f>
        <v>0.87</v>
      </c>
      <c r="C76">
        <f t="shared" si="14"/>
        <v>2.6764799999999997</v>
      </c>
    </row>
    <row r="77" spans="1:3" customFormat="1" x14ac:dyDescent="0.25">
      <c r="A77" s="55" t="s">
        <v>239</v>
      </c>
      <c r="B77">
        <f t="shared" si="15"/>
        <v>0.87</v>
      </c>
      <c r="C77">
        <f t="shared" si="14"/>
        <v>2.6764799999999997</v>
      </c>
    </row>
    <row r="78" spans="1:3" s="67" customFormat="1" ht="15.75" thickBot="1" x14ac:dyDescent="0.3">
      <c r="A78" s="68" t="s">
        <v>240</v>
      </c>
      <c r="B78" s="67">
        <f t="shared" si="15"/>
        <v>0.87</v>
      </c>
      <c r="C78" s="67">
        <f t="shared" si="14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50" sqref="F50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84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10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10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10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10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10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10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10" hidden="1" x14ac:dyDescent="0.25">
      <c r="A12" t="s">
        <v>128</v>
      </c>
      <c r="F12" s="5">
        <f>48/126.8</f>
        <v>0.37854889589905366</v>
      </c>
    </row>
    <row r="13" spans="1:10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04" customFormat="1" x14ac:dyDescent="0.25">
      <c r="A23" s="101" t="s">
        <v>201</v>
      </c>
      <c r="B23" s="139">
        <v>1</v>
      </c>
      <c r="C23" s="104">
        <v>0</v>
      </c>
      <c r="D23" s="105" t="s">
        <v>270</v>
      </c>
    </row>
    <row r="24" spans="1:6" s="1" customFormat="1" x14ac:dyDescent="0.25">
      <c r="A24" s="74" t="s">
        <v>202</v>
      </c>
      <c r="B24" s="5">
        <v>1</v>
      </c>
      <c r="C24" s="1">
        <v>0</v>
      </c>
      <c r="D24" t="s">
        <v>271</v>
      </c>
    </row>
    <row r="25" spans="1:6" s="1" customFormat="1" x14ac:dyDescent="0.25">
      <c r="A25" s="74" t="s">
        <v>203</v>
      </c>
      <c r="B25" s="5">
        <v>1</v>
      </c>
      <c r="C25" s="1">
        <v>0</v>
      </c>
      <c r="D25" t="s">
        <v>272</v>
      </c>
    </row>
    <row r="26" spans="1:6" customFormat="1" x14ac:dyDescent="0.25">
      <c r="A26" s="55" t="s">
        <v>204</v>
      </c>
      <c r="B26" s="5">
        <f>B$23</f>
        <v>1</v>
      </c>
      <c r="C26" s="5">
        <f t="shared" ref="C26:D26" si="1">C$23</f>
        <v>0</v>
      </c>
      <c r="D26" s="5" t="str">
        <f t="shared" si="1"/>
        <v>PROXY - EU 2016</v>
      </c>
    </row>
    <row r="27" spans="1:6" customFormat="1" x14ac:dyDescent="0.25">
      <c r="A27" s="55" t="s">
        <v>205</v>
      </c>
      <c r="B27" s="5">
        <f>B$24</f>
        <v>1</v>
      </c>
      <c r="C27" s="5">
        <f t="shared" ref="C27:D27" si="2">C$24</f>
        <v>0</v>
      </c>
      <c r="D27" s="5" t="str">
        <f t="shared" si="2"/>
        <v>PROXY - EU 2030</v>
      </c>
    </row>
    <row r="28" spans="1:6" customFormat="1" x14ac:dyDescent="0.25">
      <c r="A28" s="55" t="s">
        <v>206</v>
      </c>
      <c r="B28" s="5">
        <f t="shared" ref="B28:D28" si="3">B$23</f>
        <v>1</v>
      </c>
      <c r="C28" s="5">
        <f t="shared" si="3"/>
        <v>0</v>
      </c>
      <c r="D28" s="5" t="str">
        <f t="shared" si="3"/>
        <v>PROXY - EU 2016</v>
      </c>
    </row>
    <row r="29" spans="1:6" customFormat="1" x14ac:dyDescent="0.25">
      <c r="A29" s="55" t="s">
        <v>207</v>
      </c>
      <c r="B29" s="5">
        <f t="shared" ref="B29:D29" si="4">B$24</f>
        <v>1</v>
      </c>
      <c r="C29" s="5">
        <f t="shared" si="4"/>
        <v>0</v>
      </c>
      <c r="D29" s="5" t="str">
        <f t="shared" si="4"/>
        <v>PROXY - EU 2030</v>
      </c>
    </row>
    <row r="30" spans="1:6" customFormat="1" x14ac:dyDescent="0.25">
      <c r="A30" s="55" t="s">
        <v>208</v>
      </c>
      <c r="B30" s="5">
        <f>B$25</f>
        <v>1</v>
      </c>
      <c r="C30" s="5">
        <f t="shared" ref="C30:D30" si="5">C$25</f>
        <v>0</v>
      </c>
      <c r="D30" s="5" t="str">
        <f t="shared" si="5"/>
        <v>PROXY - EU 2040</v>
      </c>
    </row>
    <row r="31" spans="1:6" customFormat="1" x14ac:dyDescent="0.25">
      <c r="A31" s="55" t="s">
        <v>209</v>
      </c>
      <c r="B31" s="5">
        <f t="shared" ref="B31:D33" si="6">B$23</f>
        <v>1</v>
      </c>
      <c r="C31" s="5">
        <f t="shared" si="6"/>
        <v>0</v>
      </c>
      <c r="D31" s="5" t="str">
        <f t="shared" si="6"/>
        <v>PROXY - EU 2016</v>
      </c>
    </row>
    <row r="32" spans="1:6" customFormat="1" x14ac:dyDescent="0.25">
      <c r="A32" s="55" t="s">
        <v>210</v>
      </c>
      <c r="B32" s="5">
        <f t="shared" si="6"/>
        <v>1</v>
      </c>
      <c r="C32" s="5">
        <f t="shared" si="6"/>
        <v>0</v>
      </c>
      <c r="D32" s="5" t="str">
        <f t="shared" si="6"/>
        <v>PROXY - EU 2016</v>
      </c>
    </row>
    <row r="33" spans="1:4" customFormat="1" x14ac:dyDescent="0.25">
      <c r="A33" s="55" t="s">
        <v>174</v>
      </c>
      <c r="B33" s="5">
        <f t="shared" si="6"/>
        <v>1</v>
      </c>
      <c r="C33" s="5">
        <f t="shared" si="6"/>
        <v>0</v>
      </c>
      <c r="D33" s="5" t="str">
        <f t="shared" si="6"/>
        <v>PROXY - EU 2016</v>
      </c>
    </row>
    <row r="34" spans="1:4" customFormat="1" x14ac:dyDescent="0.25">
      <c r="A34" s="55" t="s">
        <v>175</v>
      </c>
      <c r="B34" s="5">
        <f t="shared" ref="B34:D35" si="7">B$24</f>
        <v>1</v>
      </c>
      <c r="C34" s="5">
        <f t="shared" si="7"/>
        <v>0</v>
      </c>
      <c r="D34" s="5" t="str">
        <f t="shared" si="7"/>
        <v>PROXY - EU 2030</v>
      </c>
    </row>
    <row r="35" spans="1:4" customFormat="1" x14ac:dyDescent="0.25">
      <c r="A35" s="55" t="s">
        <v>176</v>
      </c>
      <c r="B35" s="5">
        <f t="shared" si="7"/>
        <v>1</v>
      </c>
      <c r="C35" s="5">
        <f t="shared" si="7"/>
        <v>0</v>
      </c>
      <c r="D35" s="5" t="str">
        <f t="shared" si="7"/>
        <v>PROXY - EU 2030</v>
      </c>
    </row>
    <row r="36" spans="1:4" customFormat="1" x14ac:dyDescent="0.25">
      <c r="A36" s="55" t="s">
        <v>177</v>
      </c>
      <c r="B36" s="5">
        <f t="shared" ref="B36:D37" si="8">B$25</f>
        <v>1</v>
      </c>
      <c r="C36" s="5">
        <f t="shared" si="8"/>
        <v>0</v>
      </c>
      <c r="D36" s="5" t="str">
        <f t="shared" si="8"/>
        <v>PROXY - EU 2040</v>
      </c>
    </row>
    <row r="37" spans="1:4" s="67" customFormat="1" ht="15.75" thickBot="1" x14ac:dyDescent="0.3">
      <c r="A37" s="68" t="s">
        <v>178</v>
      </c>
      <c r="B37" s="140">
        <f t="shared" si="8"/>
        <v>1</v>
      </c>
      <c r="C37" s="140">
        <f t="shared" si="8"/>
        <v>0</v>
      </c>
      <c r="D37" s="140" t="str">
        <f t="shared" si="8"/>
        <v>PROXY - EU 2040</v>
      </c>
    </row>
    <row r="38" spans="1:4" s="1" customFormat="1" x14ac:dyDescent="0.25">
      <c r="A38" s="74" t="s">
        <v>211</v>
      </c>
      <c r="B38" s="1">
        <v>1</v>
      </c>
      <c r="C38" s="1">
        <v>0</v>
      </c>
      <c r="D38" t="s">
        <v>273</v>
      </c>
    </row>
    <row r="39" spans="1:4" s="1" customFormat="1" x14ac:dyDescent="0.25">
      <c r="A39" s="74" t="s">
        <v>212</v>
      </c>
      <c r="B39" s="1">
        <v>1</v>
      </c>
      <c r="C39" s="1">
        <v>0</v>
      </c>
      <c r="D39" t="s">
        <v>274</v>
      </c>
    </row>
    <row r="40" spans="1:4" s="1" customFormat="1" x14ac:dyDescent="0.25">
      <c r="A40" s="74" t="s">
        <v>213</v>
      </c>
      <c r="B40" s="1">
        <v>1</v>
      </c>
      <c r="C40" s="1">
        <v>0</v>
      </c>
      <c r="D40" t="s">
        <v>275</v>
      </c>
    </row>
    <row r="41" spans="1:4" customFormat="1" x14ac:dyDescent="0.25">
      <c r="A41" s="55" t="s">
        <v>214</v>
      </c>
      <c r="B41">
        <f>B$38</f>
        <v>1</v>
      </c>
      <c r="C41">
        <f t="shared" ref="C41:D43" si="9">C$38</f>
        <v>0</v>
      </c>
      <c r="D41" t="str">
        <f t="shared" si="9"/>
        <v>PROXY - CN 2016</v>
      </c>
    </row>
    <row r="42" spans="1:4" customFormat="1" x14ac:dyDescent="0.25">
      <c r="A42" s="55" t="s">
        <v>215</v>
      </c>
      <c r="B42">
        <f>B$39</f>
        <v>1</v>
      </c>
      <c r="C42">
        <f t="shared" ref="C42:D42" si="10">C$39</f>
        <v>0</v>
      </c>
      <c r="D42" t="str">
        <f t="shared" si="10"/>
        <v>PROXY - CN 2030</v>
      </c>
    </row>
    <row r="43" spans="1:4" customFormat="1" x14ac:dyDescent="0.25">
      <c r="A43" s="55" t="s">
        <v>216</v>
      </c>
      <c r="B43">
        <f>B$38</f>
        <v>1</v>
      </c>
      <c r="C43">
        <f t="shared" si="9"/>
        <v>0</v>
      </c>
      <c r="D43" t="str">
        <f t="shared" si="9"/>
        <v>PROXY - CN 2016</v>
      </c>
    </row>
    <row r="44" spans="1:4" customFormat="1" x14ac:dyDescent="0.25">
      <c r="A44" s="55" t="s">
        <v>217</v>
      </c>
      <c r="B44">
        <f t="shared" ref="B44:D44" si="11">B$39</f>
        <v>1</v>
      </c>
      <c r="C44">
        <f t="shared" si="11"/>
        <v>0</v>
      </c>
      <c r="D44" t="str">
        <f t="shared" si="11"/>
        <v>PROXY - CN 2030</v>
      </c>
    </row>
    <row r="45" spans="1:4" customFormat="1" x14ac:dyDescent="0.25">
      <c r="A45" s="55" t="s">
        <v>218</v>
      </c>
      <c r="B45">
        <f>B$40</f>
        <v>1</v>
      </c>
      <c r="C45">
        <f t="shared" ref="C45:D45" si="12">C$40</f>
        <v>0</v>
      </c>
      <c r="D45" t="str">
        <f t="shared" si="12"/>
        <v>PROXY - CN 2040</v>
      </c>
    </row>
    <row r="46" spans="1:4" customFormat="1" x14ac:dyDescent="0.25">
      <c r="A46" s="55" t="s">
        <v>219</v>
      </c>
      <c r="B46">
        <f>B$38</f>
        <v>1</v>
      </c>
      <c r="C46">
        <f t="shared" ref="C46:D48" si="13">C$38</f>
        <v>0</v>
      </c>
      <c r="D46" t="str">
        <f t="shared" si="13"/>
        <v>PROXY - CN 2016</v>
      </c>
    </row>
    <row r="47" spans="1:4" customFormat="1" x14ac:dyDescent="0.25">
      <c r="A47" s="55" t="s">
        <v>220</v>
      </c>
      <c r="B47">
        <f>B$38</f>
        <v>1</v>
      </c>
      <c r="C47">
        <f t="shared" si="13"/>
        <v>0</v>
      </c>
      <c r="D47" t="str">
        <f t="shared" si="13"/>
        <v>PROXY - CN 2016</v>
      </c>
    </row>
    <row r="48" spans="1:4" customFormat="1" x14ac:dyDescent="0.25">
      <c r="A48" s="55" t="s">
        <v>179</v>
      </c>
      <c r="B48">
        <f>B$38</f>
        <v>1</v>
      </c>
      <c r="C48">
        <f t="shared" si="13"/>
        <v>0</v>
      </c>
      <c r="D48" t="str">
        <f t="shared" si="13"/>
        <v>PROXY - CN 2016</v>
      </c>
    </row>
    <row r="49" spans="1:4" customFormat="1" x14ac:dyDescent="0.25">
      <c r="A49" s="55" t="s">
        <v>180</v>
      </c>
      <c r="B49">
        <f t="shared" ref="B49:D50" si="14">B$39</f>
        <v>1</v>
      </c>
      <c r="C49">
        <f t="shared" si="14"/>
        <v>0</v>
      </c>
      <c r="D49" t="str">
        <f t="shared" si="14"/>
        <v>PROXY - CN 2030</v>
      </c>
    </row>
    <row r="50" spans="1:4" customFormat="1" x14ac:dyDescent="0.25">
      <c r="A50" s="55" t="s">
        <v>181</v>
      </c>
      <c r="B50">
        <f t="shared" si="14"/>
        <v>1</v>
      </c>
      <c r="C50">
        <f t="shared" si="14"/>
        <v>0</v>
      </c>
      <c r="D50" t="str">
        <f t="shared" si="14"/>
        <v>PROXY - CN 2030</v>
      </c>
    </row>
    <row r="51" spans="1:4" customFormat="1" x14ac:dyDescent="0.25">
      <c r="A51" s="55" t="s">
        <v>182</v>
      </c>
      <c r="B51">
        <f t="shared" ref="B51:D52" si="15">B$40</f>
        <v>1</v>
      </c>
      <c r="C51">
        <f t="shared" si="15"/>
        <v>0</v>
      </c>
      <c r="D51" t="str">
        <f t="shared" si="15"/>
        <v>PROXY - CN 2040</v>
      </c>
    </row>
    <row r="52" spans="1:4" s="67" customFormat="1" ht="15.75" thickBot="1" x14ac:dyDescent="0.3">
      <c r="A52" s="68" t="s">
        <v>183</v>
      </c>
      <c r="B52" s="67">
        <f t="shared" si="15"/>
        <v>1</v>
      </c>
      <c r="C52" s="67">
        <f t="shared" si="15"/>
        <v>0</v>
      </c>
      <c r="D52" s="67" t="str">
        <f t="shared" si="15"/>
        <v>PROXY - CN 2040</v>
      </c>
    </row>
    <row r="53" spans="1:4" s="1" customFormat="1" x14ac:dyDescent="0.25">
      <c r="A53" s="74" t="s">
        <v>221</v>
      </c>
      <c r="B53" s="1">
        <v>1</v>
      </c>
      <c r="C53" s="1">
        <v>0</v>
      </c>
      <c r="D53" t="s">
        <v>276</v>
      </c>
    </row>
    <row r="54" spans="1:4" customFormat="1" x14ac:dyDescent="0.25">
      <c r="A54" s="55" t="s">
        <v>222</v>
      </c>
      <c r="B54">
        <f>B$53</f>
        <v>1</v>
      </c>
      <c r="C54">
        <f t="shared" ref="C54:D57" si="16">C$53</f>
        <v>0</v>
      </c>
      <c r="D54" t="str">
        <f t="shared" si="16"/>
        <v>PROXY - JP 2016</v>
      </c>
    </row>
    <row r="55" spans="1:4" customFormat="1" x14ac:dyDescent="0.25">
      <c r="A55" s="55" t="s">
        <v>223</v>
      </c>
      <c r="B55">
        <f t="shared" ref="B55:B57" si="17">B$53</f>
        <v>1</v>
      </c>
      <c r="C55">
        <f t="shared" si="16"/>
        <v>0</v>
      </c>
      <c r="D55" t="str">
        <f t="shared" si="16"/>
        <v>PROXY - JP 2016</v>
      </c>
    </row>
    <row r="56" spans="1:4" customFormat="1" x14ac:dyDescent="0.25">
      <c r="A56" s="55" t="s">
        <v>224</v>
      </c>
      <c r="B56">
        <f t="shared" si="17"/>
        <v>1</v>
      </c>
      <c r="C56">
        <f t="shared" si="16"/>
        <v>0</v>
      </c>
      <c r="D56" t="str">
        <f t="shared" si="16"/>
        <v>PROXY - JP 2016</v>
      </c>
    </row>
    <row r="57" spans="1:4" s="67" customFormat="1" ht="15.75" thickBot="1" x14ac:dyDescent="0.3">
      <c r="A57" s="68" t="s">
        <v>225</v>
      </c>
      <c r="B57" s="67">
        <f t="shared" si="17"/>
        <v>1</v>
      </c>
      <c r="C57" s="67">
        <f t="shared" si="16"/>
        <v>0</v>
      </c>
      <c r="D57" s="67" t="str">
        <f t="shared" si="16"/>
        <v>PROXY - JP 2016</v>
      </c>
    </row>
    <row r="58" spans="1:4" s="1" customFormat="1" x14ac:dyDescent="0.25">
      <c r="A58" s="74" t="s">
        <v>226</v>
      </c>
      <c r="B58" s="1">
        <v>1</v>
      </c>
      <c r="C58" s="1">
        <v>0</v>
      </c>
      <c r="D58" t="s">
        <v>277</v>
      </c>
    </row>
    <row r="59" spans="1:4" customFormat="1" x14ac:dyDescent="0.25">
      <c r="A59" s="55" t="s">
        <v>227</v>
      </c>
      <c r="B59" s="62">
        <f>B$58</f>
        <v>1</v>
      </c>
      <c r="C59" s="62">
        <f t="shared" ref="C59:D62" si="18">C$58</f>
        <v>0</v>
      </c>
      <c r="D59" s="62" t="str">
        <f t="shared" si="18"/>
        <v>PROXY - RU 2016</v>
      </c>
    </row>
    <row r="60" spans="1:4" customFormat="1" x14ac:dyDescent="0.25">
      <c r="A60" s="55" t="s">
        <v>228</v>
      </c>
      <c r="B60" s="62">
        <f t="shared" ref="B60:B62" si="19">B$58</f>
        <v>1</v>
      </c>
      <c r="C60" s="62">
        <f t="shared" si="18"/>
        <v>0</v>
      </c>
      <c r="D60" s="62" t="str">
        <f t="shared" si="18"/>
        <v>PROXY - RU 2016</v>
      </c>
    </row>
    <row r="61" spans="1:4" customFormat="1" x14ac:dyDescent="0.25">
      <c r="A61" s="55" t="s">
        <v>229</v>
      </c>
      <c r="B61" s="62">
        <f t="shared" si="19"/>
        <v>1</v>
      </c>
      <c r="C61" s="62">
        <f t="shared" si="18"/>
        <v>0</v>
      </c>
      <c r="D61" s="62" t="str">
        <f t="shared" si="18"/>
        <v>PROXY - RU 2016</v>
      </c>
    </row>
    <row r="62" spans="1:4" s="67" customFormat="1" ht="15.75" thickBot="1" x14ac:dyDescent="0.3">
      <c r="A62" s="68" t="s">
        <v>230</v>
      </c>
      <c r="B62" s="86">
        <f t="shared" si="19"/>
        <v>1</v>
      </c>
      <c r="C62" s="86">
        <f t="shared" si="18"/>
        <v>0</v>
      </c>
      <c r="D62" s="86" t="str">
        <f t="shared" si="18"/>
        <v>PROXY - RU 2016</v>
      </c>
    </row>
    <row r="63" spans="1:4" s="1" customFormat="1" x14ac:dyDescent="0.25">
      <c r="A63" s="74" t="s">
        <v>231</v>
      </c>
      <c r="B63" s="1">
        <v>1</v>
      </c>
      <c r="C63" s="1">
        <v>0</v>
      </c>
      <c r="D63" t="s">
        <v>278</v>
      </c>
    </row>
    <row r="64" spans="1:4" customFormat="1" x14ac:dyDescent="0.25">
      <c r="A64" s="55" t="s">
        <v>232</v>
      </c>
      <c r="B64" s="62">
        <f>B$63</f>
        <v>1</v>
      </c>
      <c r="C64" s="62">
        <f t="shared" ref="C64:D67" si="20">C$63</f>
        <v>0</v>
      </c>
      <c r="D64" s="62" t="str">
        <f t="shared" si="20"/>
        <v>PROXY - US 2016</v>
      </c>
    </row>
    <row r="65" spans="1:4" customFormat="1" x14ac:dyDescent="0.25">
      <c r="A65" s="55" t="s">
        <v>233</v>
      </c>
      <c r="B65" s="62">
        <f t="shared" ref="B65:B67" si="21">B$63</f>
        <v>1</v>
      </c>
      <c r="C65" s="62">
        <f t="shared" si="20"/>
        <v>0</v>
      </c>
      <c r="D65" s="62" t="str">
        <f t="shared" si="20"/>
        <v>PROXY - US 2016</v>
      </c>
    </row>
    <row r="66" spans="1:4" customFormat="1" x14ac:dyDescent="0.25">
      <c r="A66" s="55" t="s">
        <v>234</v>
      </c>
      <c r="B66" s="62">
        <f t="shared" si="21"/>
        <v>1</v>
      </c>
      <c r="C66" s="62">
        <f t="shared" si="20"/>
        <v>0</v>
      </c>
      <c r="D66" s="62" t="str">
        <f t="shared" si="20"/>
        <v>PROXY - US 2016</v>
      </c>
    </row>
    <row r="67" spans="1:4" s="67" customFormat="1" ht="15.75" thickBot="1" x14ac:dyDescent="0.3">
      <c r="A67" s="68" t="s">
        <v>235</v>
      </c>
      <c r="B67" s="86">
        <f t="shared" si="21"/>
        <v>1</v>
      </c>
      <c r="C67" s="86">
        <f t="shared" si="20"/>
        <v>0</v>
      </c>
      <c r="D67" s="86" t="str">
        <f t="shared" si="20"/>
        <v>PROXY - US 2016</v>
      </c>
    </row>
    <row r="68" spans="1:4" s="1" customFormat="1" x14ac:dyDescent="0.25">
      <c r="A68" s="74" t="s">
        <v>236</v>
      </c>
      <c r="B68" s="1">
        <v>1</v>
      </c>
      <c r="C68" s="1">
        <v>0</v>
      </c>
      <c r="D68" t="s">
        <v>279</v>
      </c>
    </row>
    <row r="69" spans="1:4" customFormat="1" x14ac:dyDescent="0.25">
      <c r="A69" s="55" t="s">
        <v>237</v>
      </c>
      <c r="B69" s="62">
        <f>B$68</f>
        <v>1</v>
      </c>
      <c r="C69" s="62">
        <f t="shared" ref="C69:D72" si="22">C$68</f>
        <v>0</v>
      </c>
      <c r="D69" s="62" t="str">
        <f t="shared" si="22"/>
        <v>PROXY - IN 2016</v>
      </c>
    </row>
    <row r="70" spans="1:4" customFormat="1" x14ac:dyDescent="0.25">
      <c r="A70" s="55" t="s">
        <v>238</v>
      </c>
      <c r="B70" s="62">
        <f t="shared" ref="B70:B72" si="23">B$68</f>
        <v>1</v>
      </c>
      <c r="C70" s="62">
        <f t="shared" si="22"/>
        <v>0</v>
      </c>
      <c r="D70" s="62" t="str">
        <f t="shared" si="22"/>
        <v>PROXY - IN 2016</v>
      </c>
    </row>
    <row r="71" spans="1:4" customFormat="1" x14ac:dyDescent="0.25">
      <c r="A71" s="55" t="s">
        <v>239</v>
      </c>
      <c r="B71" s="62">
        <f t="shared" si="23"/>
        <v>1</v>
      </c>
      <c r="C71" s="62">
        <f t="shared" si="22"/>
        <v>0</v>
      </c>
      <c r="D71" s="62" t="str">
        <f t="shared" si="22"/>
        <v>PROXY - IN 2016</v>
      </c>
    </row>
    <row r="72" spans="1:4" s="67" customFormat="1" ht="15.75" thickBot="1" x14ac:dyDescent="0.3">
      <c r="A72" s="68" t="s">
        <v>240</v>
      </c>
      <c r="B72" s="86">
        <f t="shared" si="23"/>
        <v>1</v>
      </c>
      <c r="C72" s="86">
        <f t="shared" si="22"/>
        <v>0</v>
      </c>
      <c r="D72" s="86" t="str">
        <f t="shared" si="22"/>
        <v>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6" sqref="F26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59</v>
      </c>
      <c r="C1" s="17" t="s">
        <v>83</v>
      </c>
      <c r="D1" s="1" t="s">
        <v>61</v>
      </c>
      <c r="E1" s="1" t="s">
        <v>2</v>
      </c>
      <c r="F1" s="1" t="s">
        <v>129</v>
      </c>
    </row>
    <row r="2" spans="1:6" x14ac:dyDescent="0.25">
      <c r="A2" s="2" t="s">
        <v>1</v>
      </c>
      <c r="B2" s="19" t="s">
        <v>68</v>
      </c>
      <c r="C2" s="19" t="s">
        <v>84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56</v>
      </c>
      <c r="B5" s="5">
        <v>0.32</v>
      </c>
      <c r="C5" s="5">
        <v>0</v>
      </c>
      <c r="D5" s="19" t="s">
        <v>124</v>
      </c>
    </row>
    <row r="6" spans="1:6" hidden="1" x14ac:dyDescent="0.25">
      <c r="A6" t="s">
        <v>107</v>
      </c>
      <c r="B6" s="5">
        <v>1</v>
      </c>
      <c r="C6" s="5">
        <v>0</v>
      </c>
      <c r="D6" t="s">
        <v>135</v>
      </c>
      <c r="F6" s="5">
        <f>533/1278</f>
        <v>0.41705790297339596</v>
      </c>
    </row>
    <row r="7" spans="1:6" hidden="1" x14ac:dyDescent="0.25">
      <c r="A7" t="s">
        <v>108</v>
      </c>
      <c r="B7" s="5">
        <v>0.32</v>
      </c>
      <c r="C7" s="5">
        <v>0</v>
      </c>
      <c r="D7" t="s">
        <v>172</v>
      </c>
      <c r="F7" s="5">
        <f>57.7/129.5</f>
        <v>0.44555984555984557</v>
      </c>
    </row>
    <row r="8" spans="1:6" hidden="1" x14ac:dyDescent="0.25">
      <c r="A8" t="s">
        <v>109</v>
      </c>
      <c r="B8" s="37">
        <v>0.4773</v>
      </c>
      <c r="C8" s="44">
        <v>0</v>
      </c>
      <c r="D8" t="s">
        <v>124</v>
      </c>
      <c r="E8" s="19" t="s">
        <v>77</v>
      </c>
      <c r="F8" s="5">
        <f>90.4/189.6</f>
        <v>0.47679324894514774</v>
      </c>
    </row>
    <row r="9" spans="1:6" hidden="1" x14ac:dyDescent="0.25">
      <c r="A9" t="s">
        <v>110</v>
      </c>
      <c r="B9" s="37">
        <v>0.27550000000000002</v>
      </c>
      <c r="C9" s="44">
        <v>0</v>
      </c>
      <c r="D9" t="s">
        <v>118</v>
      </c>
      <c r="E9" s="19" t="s">
        <v>77</v>
      </c>
      <c r="F9" s="5">
        <f>93.6/340</f>
        <v>0.2752941176470588</v>
      </c>
    </row>
    <row r="10" spans="1:6" hidden="1" x14ac:dyDescent="0.25">
      <c r="A10" t="s">
        <v>111</v>
      </c>
      <c r="B10" s="5">
        <f>18/39</f>
        <v>0.46153846153846156</v>
      </c>
      <c r="C10" s="5">
        <v>0</v>
      </c>
      <c r="D10" t="s">
        <v>120</v>
      </c>
      <c r="F10" s="5">
        <f>376/868</f>
        <v>0.43317972350230416</v>
      </c>
    </row>
    <row r="11" spans="1:6" hidden="1" x14ac:dyDescent="0.25">
      <c r="A11" t="s">
        <v>127</v>
      </c>
      <c r="B11" s="37">
        <f>127/328.7</f>
        <v>0.38637055065409187</v>
      </c>
      <c r="C11" s="5">
        <v>0</v>
      </c>
      <c r="D11" s="19" t="s">
        <v>115</v>
      </c>
      <c r="F11" s="5">
        <f>127.5/328.7</f>
        <v>0.38789169455430483</v>
      </c>
    </row>
    <row r="12" spans="1:6" hidden="1" x14ac:dyDescent="0.25">
      <c r="A12" t="s">
        <v>128</v>
      </c>
      <c r="F12" s="5">
        <f>48/126.8</f>
        <v>0.37854889589905366</v>
      </c>
    </row>
    <row r="13" spans="1:6" hidden="1" x14ac:dyDescent="0.25">
      <c r="A13" t="s">
        <v>131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132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133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134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136</v>
      </c>
      <c r="B17">
        <f t="shared" si="0"/>
        <v>0.32</v>
      </c>
      <c r="C17">
        <f t="shared" si="0"/>
        <v>0</v>
      </c>
      <c r="D17" t="s">
        <v>125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151</v>
      </c>
      <c r="B18" s="5">
        <v>1</v>
      </c>
      <c r="D18" t="s">
        <v>173</v>
      </c>
    </row>
    <row r="19" spans="1:6" hidden="1" x14ac:dyDescent="0.25">
      <c r="A19" t="s">
        <v>158</v>
      </c>
      <c r="B19" s="5">
        <v>1</v>
      </c>
      <c r="D19" t="s">
        <v>171</v>
      </c>
    </row>
    <row r="20" spans="1:6" hidden="1" x14ac:dyDescent="0.25">
      <c r="A20" t="s">
        <v>169</v>
      </c>
      <c r="B20" s="5">
        <v>1</v>
      </c>
      <c r="D20" t="s">
        <v>173</v>
      </c>
    </row>
    <row r="21" spans="1:6" hidden="1" x14ac:dyDescent="0.25">
      <c r="A21" t="s">
        <v>170</v>
      </c>
      <c r="B21" s="5">
        <v>1</v>
      </c>
      <c r="D21" t="s">
        <v>171</v>
      </c>
    </row>
    <row r="22" spans="1:6" hidden="1" x14ac:dyDescent="0.25">
      <c r="A22" t="s">
        <v>166</v>
      </c>
      <c r="B22" s="5">
        <v>1</v>
      </c>
      <c r="D22" t="s">
        <v>172</v>
      </c>
    </row>
    <row r="23" spans="1:6" s="1" customFormat="1" ht="17.25" customHeight="1" x14ac:dyDescent="0.25">
      <c r="A23" s="101" t="s">
        <v>201</v>
      </c>
      <c r="B23" s="7">
        <v>0.8</v>
      </c>
      <c r="C23" s="104">
        <v>0</v>
      </c>
      <c r="D23" s="104" t="s">
        <v>280</v>
      </c>
      <c r="E23" s="104"/>
      <c r="F23" s="104"/>
    </row>
    <row r="24" spans="1:6" s="1" customFormat="1" x14ac:dyDescent="0.25">
      <c r="A24" s="74" t="s">
        <v>202</v>
      </c>
      <c r="B24" s="4">
        <v>0.85</v>
      </c>
      <c r="C24" s="1">
        <v>0</v>
      </c>
      <c r="D24" s="104" t="s">
        <v>280</v>
      </c>
    </row>
    <row r="25" spans="1:6" s="1" customFormat="1" x14ac:dyDescent="0.25">
      <c r="A25" s="74" t="s">
        <v>203</v>
      </c>
      <c r="B25" s="4">
        <v>0.9</v>
      </c>
      <c r="C25" s="1">
        <v>0</v>
      </c>
      <c r="D25" s="104" t="s">
        <v>280</v>
      </c>
    </row>
    <row r="26" spans="1:6" x14ac:dyDescent="0.25">
      <c r="A26" s="55" t="s">
        <v>204</v>
      </c>
      <c r="B26" s="5">
        <f>B$23</f>
        <v>0.8</v>
      </c>
      <c r="C26" s="5">
        <f t="shared" ref="C26:D26" si="1">C$23</f>
        <v>0</v>
      </c>
      <c r="D26" s="5" t="str">
        <f t="shared" si="1"/>
        <v>IPCC - natural gas</v>
      </c>
      <c r="E26"/>
      <c r="F26"/>
    </row>
    <row r="27" spans="1:6" x14ac:dyDescent="0.25">
      <c r="A27" s="55" t="s">
        <v>205</v>
      </c>
      <c r="B27" s="5">
        <f>B$24</f>
        <v>0.85</v>
      </c>
      <c r="C27" s="5">
        <f t="shared" ref="C27:D27" si="2">C$24</f>
        <v>0</v>
      </c>
      <c r="D27" s="5" t="str">
        <f t="shared" si="2"/>
        <v>IPCC - natural gas</v>
      </c>
      <c r="E27"/>
      <c r="F27"/>
    </row>
    <row r="28" spans="1:6" x14ac:dyDescent="0.25">
      <c r="A28" s="55" t="s">
        <v>206</v>
      </c>
      <c r="B28" s="5">
        <f t="shared" ref="B28:D28" si="3">B$23</f>
        <v>0.8</v>
      </c>
      <c r="C28" s="5">
        <f t="shared" si="3"/>
        <v>0</v>
      </c>
      <c r="D28" s="5" t="str">
        <f t="shared" si="3"/>
        <v>IPCC - natural gas</v>
      </c>
      <c r="E28"/>
      <c r="F28"/>
    </row>
    <row r="29" spans="1:6" x14ac:dyDescent="0.25">
      <c r="A29" s="55" t="s">
        <v>207</v>
      </c>
      <c r="B29" s="5">
        <f t="shared" ref="B29:D29" si="4">B$24</f>
        <v>0.85</v>
      </c>
      <c r="C29" s="5">
        <f t="shared" si="4"/>
        <v>0</v>
      </c>
      <c r="D29" s="5" t="str">
        <f t="shared" si="4"/>
        <v>IPCC - natural gas</v>
      </c>
      <c r="E29"/>
      <c r="F29"/>
    </row>
    <row r="30" spans="1:6" x14ac:dyDescent="0.25">
      <c r="A30" s="55" t="s">
        <v>208</v>
      </c>
      <c r="B30" s="5">
        <f>B$25</f>
        <v>0.9</v>
      </c>
      <c r="C30" s="5">
        <f t="shared" ref="C30:D30" si="5">C$25</f>
        <v>0</v>
      </c>
      <c r="D30" s="5" t="str">
        <f t="shared" si="5"/>
        <v>IPCC - natural gas</v>
      </c>
      <c r="E30"/>
      <c r="F30"/>
    </row>
    <row r="31" spans="1:6" x14ac:dyDescent="0.25">
      <c r="A31" s="55" t="s">
        <v>209</v>
      </c>
      <c r="B31" s="5">
        <f t="shared" ref="B31:D33" si="6">B$23</f>
        <v>0.8</v>
      </c>
      <c r="C31" s="5">
        <f t="shared" si="6"/>
        <v>0</v>
      </c>
      <c r="D31" s="5" t="str">
        <f t="shared" si="6"/>
        <v>IPCC - natural gas</v>
      </c>
      <c r="E31"/>
      <c r="F31"/>
    </row>
    <row r="32" spans="1:6" x14ac:dyDescent="0.25">
      <c r="A32" s="55" t="s">
        <v>210</v>
      </c>
      <c r="B32" s="5">
        <f t="shared" si="6"/>
        <v>0.8</v>
      </c>
      <c r="C32" s="5">
        <f t="shared" si="6"/>
        <v>0</v>
      </c>
      <c r="D32" s="5" t="str">
        <f t="shared" si="6"/>
        <v>IPCC - natural gas</v>
      </c>
      <c r="E32"/>
      <c r="F32"/>
    </row>
    <row r="33" spans="1:6" x14ac:dyDescent="0.25">
      <c r="A33" s="55" t="s">
        <v>174</v>
      </c>
      <c r="B33" s="5">
        <f t="shared" si="6"/>
        <v>0.8</v>
      </c>
      <c r="C33" s="5">
        <f t="shared" si="6"/>
        <v>0</v>
      </c>
      <c r="D33" s="5" t="str">
        <f t="shared" si="6"/>
        <v>IPCC - natural gas</v>
      </c>
      <c r="E33"/>
      <c r="F33"/>
    </row>
    <row r="34" spans="1:6" x14ac:dyDescent="0.25">
      <c r="A34" s="55" t="s">
        <v>175</v>
      </c>
      <c r="B34" s="5">
        <f t="shared" ref="B34:D35" si="7">B$24</f>
        <v>0.85</v>
      </c>
      <c r="C34" s="5">
        <f t="shared" si="7"/>
        <v>0</v>
      </c>
      <c r="D34" s="5" t="str">
        <f t="shared" si="7"/>
        <v>IPCC - natural gas</v>
      </c>
      <c r="E34"/>
      <c r="F34"/>
    </row>
    <row r="35" spans="1:6" x14ac:dyDescent="0.25">
      <c r="A35" s="55" t="s">
        <v>176</v>
      </c>
      <c r="B35" s="5">
        <f t="shared" si="7"/>
        <v>0.85</v>
      </c>
      <c r="C35" s="5">
        <f t="shared" si="7"/>
        <v>0</v>
      </c>
      <c r="D35" s="5" t="str">
        <f t="shared" si="7"/>
        <v>IPCC - natural gas</v>
      </c>
      <c r="E35"/>
      <c r="F35"/>
    </row>
    <row r="36" spans="1:6" x14ac:dyDescent="0.25">
      <c r="A36" s="55" t="s">
        <v>177</v>
      </c>
      <c r="B36" s="5">
        <f t="shared" ref="B36:D37" si="8">B$25</f>
        <v>0.9</v>
      </c>
      <c r="C36" s="5">
        <f t="shared" si="8"/>
        <v>0</v>
      </c>
      <c r="D36" s="5" t="str">
        <f t="shared" si="8"/>
        <v>IPCC - natural gas</v>
      </c>
      <c r="E36"/>
      <c r="F36"/>
    </row>
    <row r="37" spans="1:6" ht="15.75" thickBot="1" x14ac:dyDescent="0.3">
      <c r="A37" s="68" t="s">
        <v>178</v>
      </c>
      <c r="B37" s="140">
        <f t="shared" si="8"/>
        <v>0.9</v>
      </c>
      <c r="C37" s="140">
        <f t="shared" si="8"/>
        <v>0</v>
      </c>
      <c r="D37" s="140" t="str">
        <f t="shared" si="8"/>
        <v>IPCC - natural gas</v>
      </c>
      <c r="E37" s="67"/>
      <c r="F37" s="67"/>
    </row>
    <row r="38" spans="1:6" s="1" customFormat="1" x14ac:dyDescent="0.25">
      <c r="A38" s="74" t="s">
        <v>211</v>
      </c>
      <c r="B38" s="7">
        <v>0.8</v>
      </c>
      <c r="C38" s="1">
        <v>0</v>
      </c>
      <c r="D38" s="1" t="s">
        <v>114</v>
      </c>
    </row>
    <row r="39" spans="1:6" s="1" customFormat="1" x14ac:dyDescent="0.25">
      <c r="A39" s="74" t="s">
        <v>212</v>
      </c>
      <c r="B39" s="4">
        <v>0.85</v>
      </c>
      <c r="C39" s="1">
        <v>0</v>
      </c>
      <c r="D39" s="1" t="s">
        <v>114</v>
      </c>
    </row>
    <row r="40" spans="1:6" s="1" customFormat="1" x14ac:dyDescent="0.25">
      <c r="A40" s="74" t="s">
        <v>213</v>
      </c>
      <c r="B40" s="4">
        <v>0.9</v>
      </c>
      <c r="C40" s="1">
        <v>0</v>
      </c>
      <c r="D40" s="1" t="s">
        <v>114</v>
      </c>
    </row>
    <row r="41" spans="1:6" x14ac:dyDescent="0.25">
      <c r="A41" s="55" t="s">
        <v>214</v>
      </c>
      <c r="B41">
        <f>B$38</f>
        <v>0.8</v>
      </c>
      <c r="C41">
        <f t="shared" ref="C41:D43" si="9">C$38</f>
        <v>0</v>
      </c>
      <c r="D41" t="str">
        <f t="shared" si="9"/>
        <v>coal coking - CN</v>
      </c>
      <c r="E41"/>
      <c r="F41"/>
    </row>
    <row r="42" spans="1:6" x14ac:dyDescent="0.25">
      <c r="A42" s="55" t="s">
        <v>215</v>
      </c>
      <c r="B42">
        <f>B$39</f>
        <v>0.85</v>
      </c>
      <c r="C42">
        <f t="shared" ref="C42:D42" si="10">C$39</f>
        <v>0</v>
      </c>
      <c r="D42" t="str">
        <f t="shared" si="10"/>
        <v>coal coking - CN</v>
      </c>
      <c r="E42"/>
      <c r="F42"/>
    </row>
    <row r="43" spans="1:6" x14ac:dyDescent="0.25">
      <c r="A43" s="55" t="s">
        <v>216</v>
      </c>
      <c r="B43">
        <f>B$38</f>
        <v>0.8</v>
      </c>
      <c r="C43">
        <f t="shared" si="9"/>
        <v>0</v>
      </c>
      <c r="D43" t="str">
        <f t="shared" si="9"/>
        <v>coal coking - CN</v>
      </c>
      <c r="E43"/>
      <c r="F43"/>
    </row>
    <row r="44" spans="1:6" x14ac:dyDescent="0.25">
      <c r="A44" s="55" t="s">
        <v>217</v>
      </c>
      <c r="B44">
        <f t="shared" ref="B44:D44" si="11">B$39</f>
        <v>0.85</v>
      </c>
      <c r="C44">
        <f t="shared" si="11"/>
        <v>0</v>
      </c>
      <c r="D44" t="str">
        <f t="shared" si="11"/>
        <v>coal coking - CN</v>
      </c>
      <c r="E44"/>
      <c r="F44"/>
    </row>
    <row r="45" spans="1:6" x14ac:dyDescent="0.25">
      <c r="A45" s="55" t="s">
        <v>218</v>
      </c>
      <c r="B45">
        <f>B$40</f>
        <v>0.9</v>
      </c>
      <c r="C45">
        <f t="shared" ref="C45:D45" si="12">C$40</f>
        <v>0</v>
      </c>
      <c r="D45" t="str">
        <f t="shared" si="12"/>
        <v>coal coking - CN</v>
      </c>
      <c r="E45"/>
      <c r="F45"/>
    </row>
    <row r="46" spans="1:6" x14ac:dyDescent="0.25">
      <c r="A46" s="55" t="s">
        <v>219</v>
      </c>
      <c r="B46">
        <f>B$38</f>
        <v>0.8</v>
      </c>
      <c r="C46">
        <f t="shared" ref="C46:D48" si="13">C$38</f>
        <v>0</v>
      </c>
      <c r="D46" t="str">
        <f t="shared" si="13"/>
        <v>coal coking - CN</v>
      </c>
      <c r="E46"/>
      <c r="F46"/>
    </row>
    <row r="47" spans="1:6" x14ac:dyDescent="0.25">
      <c r="A47" s="55" t="s">
        <v>220</v>
      </c>
      <c r="B47">
        <f>B$38</f>
        <v>0.8</v>
      </c>
      <c r="C47">
        <f t="shared" si="13"/>
        <v>0</v>
      </c>
      <c r="D47" t="str">
        <f t="shared" si="13"/>
        <v>coal coking - CN</v>
      </c>
      <c r="E47"/>
      <c r="F47"/>
    </row>
    <row r="48" spans="1:6" x14ac:dyDescent="0.25">
      <c r="A48" s="55" t="s">
        <v>179</v>
      </c>
      <c r="B48">
        <f>B$38</f>
        <v>0.8</v>
      </c>
      <c r="C48">
        <f t="shared" si="13"/>
        <v>0</v>
      </c>
      <c r="D48" t="str">
        <f t="shared" si="13"/>
        <v>coal coking - CN</v>
      </c>
      <c r="E48"/>
      <c r="F48"/>
    </row>
    <row r="49" spans="1:6" x14ac:dyDescent="0.25">
      <c r="A49" s="55" t="s">
        <v>180</v>
      </c>
      <c r="B49">
        <f t="shared" ref="B49:D50" si="14">B$39</f>
        <v>0.85</v>
      </c>
      <c r="C49">
        <f t="shared" si="14"/>
        <v>0</v>
      </c>
      <c r="D49" t="str">
        <f t="shared" si="14"/>
        <v>coal coking - CN</v>
      </c>
      <c r="E49"/>
      <c r="F49"/>
    </row>
    <row r="50" spans="1:6" x14ac:dyDescent="0.25">
      <c r="A50" s="55" t="s">
        <v>181</v>
      </c>
      <c r="B50">
        <f t="shared" si="14"/>
        <v>0.85</v>
      </c>
      <c r="C50">
        <f t="shared" si="14"/>
        <v>0</v>
      </c>
      <c r="D50" t="str">
        <f t="shared" si="14"/>
        <v>coal coking - CN</v>
      </c>
      <c r="E50"/>
      <c r="F50"/>
    </row>
    <row r="51" spans="1:6" x14ac:dyDescent="0.25">
      <c r="A51" s="55" t="s">
        <v>182</v>
      </c>
      <c r="B51">
        <f t="shared" ref="B51:D52" si="15">B$40</f>
        <v>0.9</v>
      </c>
      <c r="C51">
        <f t="shared" si="15"/>
        <v>0</v>
      </c>
      <c r="D51" t="str">
        <f t="shared" si="15"/>
        <v>coal coking - CN</v>
      </c>
      <c r="E51"/>
      <c r="F51"/>
    </row>
    <row r="52" spans="1:6" ht="15.75" thickBot="1" x14ac:dyDescent="0.3">
      <c r="A52" s="68" t="s">
        <v>183</v>
      </c>
      <c r="B52" s="67">
        <f t="shared" si="15"/>
        <v>0.9</v>
      </c>
      <c r="C52" s="67">
        <f t="shared" si="15"/>
        <v>0</v>
      </c>
      <c r="D52" s="67" t="str">
        <f t="shared" si="15"/>
        <v>coal coking - CN</v>
      </c>
      <c r="E52" s="67"/>
      <c r="F52" s="67"/>
    </row>
    <row r="53" spans="1:6" s="1" customFormat="1" x14ac:dyDescent="0.25">
      <c r="A53" s="74" t="s">
        <v>221</v>
      </c>
      <c r="B53" s="1">
        <v>0.8</v>
      </c>
      <c r="C53" s="1">
        <v>0</v>
      </c>
      <c r="D53" s="1" t="s">
        <v>124</v>
      </c>
    </row>
    <row r="54" spans="1:6" x14ac:dyDescent="0.25">
      <c r="A54" s="55" t="s">
        <v>222</v>
      </c>
      <c r="B54">
        <f>B$53</f>
        <v>0.8</v>
      </c>
      <c r="C54">
        <f t="shared" ref="C54:D57" si="16">C$53</f>
        <v>0</v>
      </c>
      <c r="D54" t="str">
        <f t="shared" si="16"/>
        <v>natural gas - IPCC</v>
      </c>
      <c r="E54"/>
      <c r="F54"/>
    </row>
    <row r="55" spans="1:6" x14ac:dyDescent="0.25">
      <c r="A55" s="55" t="s">
        <v>223</v>
      </c>
      <c r="B55">
        <f t="shared" ref="B55:B57" si="17">B$53</f>
        <v>0.8</v>
      </c>
      <c r="C55">
        <f t="shared" si="16"/>
        <v>0</v>
      </c>
      <c r="D55" t="str">
        <f t="shared" si="16"/>
        <v>natural gas - IPCC</v>
      </c>
      <c r="E55"/>
      <c r="F55"/>
    </row>
    <row r="56" spans="1:6" x14ac:dyDescent="0.25">
      <c r="A56" s="55" t="s">
        <v>224</v>
      </c>
      <c r="B56">
        <f t="shared" si="17"/>
        <v>0.8</v>
      </c>
      <c r="C56">
        <f t="shared" si="16"/>
        <v>0</v>
      </c>
      <c r="D56" t="str">
        <f t="shared" si="16"/>
        <v>natural gas - IPCC</v>
      </c>
      <c r="E56"/>
      <c r="F56"/>
    </row>
    <row r="57" spans="1:6" ht="15.75" thickBot="1" x14ac:dyDescent="0.3">
      <c r="A57" s="68" t="s">
        <v>225</v>
      </c>
      <c r="B57" s="67">
        <f t="shared" si="17"/>
        <v>0.8</v>
      </c>
      <c r="C57" s="67">
        <f t="shared" si="16"/>
        <v>0</v>
      </c>
      <c r="D57" s="67" t="str">
        <f t="shared" si="16"/>
        <v>natural gas - IPCC</v>
      </c>
      <c r="E57" s="67"/>
      <c r="F57" s="67"/>
    </row>
    <row r="58" spans="1:6" s="1" customFormat="1" x14ac:dyDescent="0.25">
      <c r="A58" s="74" t="s">
        <v>226</v>
      </c>
      <c r="B58">
        <f>B$53</f>
        <v>0.8</v>
      </c>
      <c r="C58" s="1">
        <v>0</v>
      </c>
      <c r="D58" s="1" t="s">
        <v>124</v>
      </c>
    </row>
    <row r="59" spans="1:6" x14ac:dyDescent="0.25">
      <c r="A59" s="55" t="s">
        <v>227</v>
      </c>
      <c r="B59" s="62">
        <f>B$58</f>
        <v>0.8</v>
      </c>
      <c r="C59" s="62">
        <f t="shared" ref="C59:D62" si="18">C$58</f>
        <v>0</v>
      </c>
      <c r="D59" s="62" t="str">
        <f t="shared" si="18"/>
        <v>natural gas - IPCC</v>
      </c>
      <c r="E59"/>
      <c r="F59"/>
    </row>
    <row r="60" spans="1:6" x14ac:dyDescent="0.25">
      <c r="A60" s="55" t="s">
        <v>228</v>
      </c>
      <c r="B60" s="62">
        <f t="shared" ref="B60:B62" si="19">B$58</f>
        <v>0.8</v>
      </c>
      <c r="C60" s="62">
        <f t="shared" si="18"/>
        <v>0</v>
      </c>
      <c r="D60" s="62" t="str">
        <f t="shared" si="18"/>
        <v>natural gas - IPCC</v>
      </c>
      <c r="E60"/>
      <c r="F60"/>
    </row>
    <row r="61" spans="1:6" x14ac:dyDescent="0.25">
      <c r="A61" s="55" t="s">
        <v>229</v>
      </c>
      <c r="B61" s="62">
        <f t="shared" si="19"/>
        <v>0.8</v>
      </c>
      <c r="C61" s="62">
        <f t="shared" si="18"/>
        <v>0</v>
      </c>
      <c r="D61" s="62" t="str">
        <f t="shared" si="18"/>
        <v>natural gas - IPCC</v>
      </c>
      <c r="E61"/>
      <c r="F61"/>
    </row>
    <row r="62" spans="1:6" ht="15.75" thickBot="1" x14ac:dyDescent="0.3">
      <c r="A62" s="68" t="s">
        <v>230</v>
      </c>
      <c r="B62" s="86">
        <f t="shared" si="19"/>
        <v>0.8</v>
      </c>
      <c r="C62" s="86">
        <f t="shared" si="18"/>
        <v>0</v>
      </c>
      <c r="D62" s="86" t="str">
        <f t="shared" si="18"/>
        <v>natural gas - IPCC</v>
      </c>
      <c r="E62" s="67"/>
      <c r="F62" s="67"/>
    </row>
    <row r="63" spans="1:6" s="1" customFormat="1" x14ac:dyDescent="0.25">
      <c r="A63" s="74" t="s">
        <v>231</v>
      </c>
      <c r="B63">
        <f>B$53</f>
        <v>0.8</v>
      </c>
      <c r="C63" s="1">
        <v>0</v>
      </c>
      <c r="D63" s="1" t="s">
        <v>124</v>
      </c>
    </row>
    <row r="64" spans="1:6" x14ac:dyDescent="0.25">
      <c r="A64" s="55" t="s">
        <v>232</v>
      </c>
      <c r="B64" s="62">
        <f>B$63</f>
        <v>0.8</v>
      </c>
      <c r="C64" s="62">
        <f t="shared" ref="C64:D67" si="20">C$63</f>
        <v>0</v>
      </c>
      <c r="D64" s="62" t="str">
        <f t="shared" si="20"/>
        <v>natural gas - IPCC</v>
      </c>
      <c r="E64"/>
      <c r="F64"/>
    </row>
    <row r="65" spans="1:6" x14ac:dyDescent="0.25">
      <c r="A65" s="55" t="s">
        <v>233</v>
      </c>
      <c r="B65" s="62">
        <f t="shared" ref="B65:B67" si="21">B$63</f>
        <v>0.8</v>
      </c>
      <c r="C65" s="62">
        <f t="shared" si="20"/>
        <v>0</v>
      </c>
      <c r="D65" s="62" t="str">
        <f t="shared" si="20"/>
        <v>natural gas - IPCC</v>
      </c>
      <c r="E65"/>
      <c r="F65"/>
    </row>
    <row r="66" spans="1:6" x14ac:dyDescent="0.25">
      <c r="A66" s="55" t="s">
        <v>234</v>
      </c>
      <c r="B66" s="62">
        <f t="shared" si="21"/>
        <v>0.8</v>
      </c>
      <c r="C66" s="62">
        <f t="shared" si="20"/>
        <v>0</v>
      </c>
      <c r="D66" s="62" t="str">
        <f t="shared" si="20"/>
        <v>natural gas - IPCC</v>
      </c>
      <c r="E66"/>
      <c r="F66"/>
    </row>
    <row r="67" spans="1:6" ht="15.75" thickBot="1" x14ac:dyDescent="0.3">
      <c r="A67" s="68" t="s">
        <v>235</v>
      </c>
      <c r="B67" s="86">
        <f t="shared" si="21"/>
        <v>0.8</v>
      </c>
      <c r="C67" s="86">
        <f t="shared" si="20"/>
        <v>0</v>
      </c>
      <c r="D67" s="86" t="str">
        <f t="shared" si="20"/>
        <v>natural gas - IPCC</v>
      </c>
      <c r="E67" s="67"/>
      <c r="F67" s="67"/>
    </row>
    <row r="68" spans="1:6" s="1" customFormat="1" x14ac:dyDescent="0.25">
      <c r="A68" s="74" t="s">
        <v>236</v>
      </c>
      <c r="B68">
        <f>B$53</f>
        <v>0.8</v>
      </c>
      <c r="C68" s="1">
        <v>0</v>
      </c>
      <c r="D68" s="1" t="s">
        <v>115</v>
      </c>
    </row>
    <row r="69" spans="1:6" x14ac:dyDescent="0.25">
      <c r="A69" s="55" t="s">
        <v>237</v>
      </c>
      <c r="B69" s="62">
        <f>B$68</f>
        <v>0.8</v>
      </c>
      <c r="C69" s="62">
        <f t="shared" ref="C69:D72" si="22">C$68</f>
        <v>0</v>
      </c>
      <c r="D69" s="62" t="str">
        <f t="shared" si="22"/>
        <v>coal coking - IPCC</v>
      </c>
      <c r="E69"/>
      <c r="F69"/>
    </row>
    <row r="70" spans="1:6" x14ac:dyDescent="0.25">
      <c r="A70" s="55" t="s">
        <v>238</v>
      </c>
      <c r="B70" s="62">
        <f t="shared" ref="B70:B72" si="23">B$68</f>
        <v>0.8</v>
      </c>
      <c r="C70" s="62">
        <f t="shared" si="22"/>
        <v>0</v>
      </c>
      <c r="D70" s="62" t="str">
        <f t="shared" si="22"/>
        <v>coal coking - IPCC</v>
      </c>
      <c r="E70"/>
      <c r="F70"/>
    </row>
    <row r="71" spans="1:6" x14ac:dyDescent="0.25">
      <c r="A71" s="55" t="s">
        <v>239</v>
      </c>
      <c r="B71" s="62">
        <f t="shared" si="23"/>
        <v>0.8</v>
      </c>
      <c r="C71" s="62">
        <f t="shared" si="22"/>
        <v>0</v>
      </c>
      <c r="D71" s="62" t="str">
        <f t="shared" si="22"/>
        <v>coal coking - IPCC</v>
      </c>
      <c r="E71"/>
      <c r="F71"/>
    </row>
    <row r="72" spans="1:6" ht="15.75" thickBot="1" x14ac:dyDescent="0.3">
      <c r="A72" s="68" t="s">
        <v>240</v>
      </c>
      <c r="B72" s="86">
        <f t="shared" si="23"/>
        <v>0.8</v>
      </c>
      <c r="C72" s="86">
        <f t="shared" si="22"/>
        <v>0</v>
      </c>
      <c r="D72" s="86" t="str">
        <f t="shared" si="22"/>
        <v>coal coking - IPCC</v>
      </c>
      <c r="E72" s="67"/>
      <c r="F72" s="67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2019-05-16T15:13:08Z</dcterms:modified>
</cp:coreProperties>
</file>