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72191D0C-EBC2-D447-BCF6-1D4504C78D55}" xr6:coauthVersionLast="43" xr6:coauthVersionMax="43" xr10:uidLastSave="{00000000-0000-0000-0000-000000000000}"/>
  <bookViews>
    <workbookView xWindow="3140" yWindow="460" windowWidth="25660" windowHeight="17540" tabRatio="598" firstSheet="2" activeTab="13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DRI" sheetId="19" r:id="rId7"/>
    <sheet name="EAF" sheetId="16" r:id="rId8"/>
    <sheet name="Syngas" sheetId="20" r:id="rId9"/>
    <sheet name="Finish" sheetId="21" r:id="rId10"/>
    <sheet name="Oxygen" sheetId="8" r:id="rId11"/>
    <sheet name="Electricity" sheetId="9" r:id="rId12"/>
    <sheet name="Heat" sheetId="18" r:id="rId13"/>
    <sheet name="CO2 Capture" sheetId="12" r:id="rId14"/>
    <sheet name="CO2 Storage" sheetId="13" r:id="rId15"/>
    <sheet name="Ref" sheetId="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2" l="1"/>
  <c r="E14" i="12"/>
  <c r="D14" i="12"/>
  <c r="C20" i="8"/>
  <c r="B17" i="3"/>
  <c r="B14" i="3"/>
  <c r="C13" i="16"/>
  <c r="C12" i="16"/>
  <c r="C10" i="16"/>
  <c r="C9" i="16"/>
  <c r="K11" i="20"/>
  <c r="K8" i="20"/>
  <c r="D11" i="12" l="1"/>
  <c r="F14" i="12"/>
  <c r="F8" i="12"/>
  <c r="F5" i="12"/>
  <c r="J11" i="20" l="1"/>
  <c r="L11" i="20" s="1"/>
  <c r="J8" i="20"/>
  <c r="L8" i="20" s="1"/>
  <c r="D11" i="15"/>
  <c r="F11" i="15"/>
  <c r="F10" i="15"/>
  <c r="F9" i="15"/>
  <c r="F8" i="15"/>
  <c r="F7" i="15"/>
  <c r="F6" i="15"/>
  <c r="F5" i="15"/>
  <c r="F13" i="15"/>
  <c r="F12" i="15"/>
  <c r="D19" i="13" l="1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M13" i="15"/>
  <c r="M12" i="15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K10" i="20"/>
  <c r="H10" i="20"/>
  <c r="G10" i="20"/>
  <c r="E10" i="20"/>
  <c r="C10" i="20"/>
  <c r="B10" i="20"/>
  <c r="L9" i="20"/>
  <c r="K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K13" i="20"/>
  <c r="K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6" i="18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8" i="9"/>
  <c r="C4" i="9" s="1"/>
  <c r="C8" i="18"/>
  <c r="C5" i="18"/>
  <c r="E5" i="12"/>
  <c r="D8" i="15"/>
  <c r="D9" i="15" s="1"/>
  <c r="D5" i="15"/>
  <c r="D7" i="15" s="1"/>
  <c r="H11" i="15"/>
  <c r="D12" i="15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11" i="15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D17" i="12" l="1"/>
  <c r="D8" i="12"/>
  <c r="D9" i="12" s="1"/>
  <c r="D5" i="12"/>
  <c r="E4" i="13"/>
  <c r="E5" i="13" s="1"/>
  <c r="H17" i="3"/>
  <c r="E14" i="18"/>
  <c r="G11" i="4"/>
  <c r="G5" i="4"/>
  <c r="G8" i="4"/>
  <c r="K5" i="20"/>
  <c r="C11" i="16"/>
  <c r="C5" i="19"/>
  <c r="C8" i="16"/>
  <c r="H14" i="3"/>
  <c r="C14" i="2"/>
  <c r="C17" i="2"/>
  <c r="K11" i="6"/>
  <c r="C11" i="21"/>
  <c r="C14" i="21"/>
  <c r="E17" i="18"/>
  <c r="K8" i="6"/>
  <c r="C8" i="21"/>
  <c r="E11" i="18"/>
  <c r="K5" i="6"/>
  <c r="C17" i="21"/>
  <c r="C5" i="21"/>
  <c r="E8" i="18"/>
  <c r="E5" i="18"/>
  <c r="H8" i="3"/>
  <c r="C8" i="2"/>
  <c r="H5" i="3"/>
  <c r="C5" i="2"/>
  <c r="H11" i="3"/>
  <c r="C11" i="2"/>
  <c r="C6" i="19"/>
  <c r="C7" i="19" s="1"/>
  <c r="C8" i="19"/>
  <c r="C6" i="16"/>
  <c r="C5" i="16"/>
  <c r="C7" i="16"/>
  <c r="C11" i="17"/>
  <c r="C12" i="17" s="1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E19" i="13" l="1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E7" i="18"/>
  <c r="E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E10" i="18"/>
  <c r="E9" i="18"/>
  <c r="E13" i="18"/>
  <c r="E12" i="18"/>
  <c r="K10" i="6"/>
  <c r="K9" i="6"/>
  <c r="K12" i="6"/>
  <c r="K13" i="6"/>
  <c r="C4" i="8"/>
  <c r="C11" i="8"/>
  <c r="E16" i="18"/>
  <c r="E15" i="18"/>
  <c r="C7" i="21"/>
  <c r="C6" i="21"/>
  <c r="C9" i="21"/>
  <c r="C10" i="21"/>
  <c r="E19" i="18"/>
  <c r="E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H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M11" authorId="1" shapeId="0" xr:uid="{00000000-0006-0000-04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6" authorId="0" shapeId="0" xr:uid="{00000000-0006-0000-07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 xr:uid="{00000000-0006-0000-07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8" authorId="0" shapeId="0" xr:uid="{0D440C8C-EA8A-674C-9B70-65B774CD101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<sst xmlns="http://schemas.openxmlformats.org/spreadsheetml/2006/main" count="577" uniqueCount="188">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</sst>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</cellXfs>
  <cellStyles count="5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baseColWidth="10" defaultColWidth="8.83203125" defaultRowHeight="15" x14ac:dyDescent="0.2"/>
  <cols>
    <col min="1" max="1" width="20.5" style="26" bestFit="1" customWidth="1"/>
    <col min="2" max="2" width="26.6640625" style="21" bestFit="1" customWidth="1"/>
    <col min="3" max="3" width="17.83203125" style="21" bestFit="1" customWidth="1"/>
    <col min="4" max="4" width="18.83203125" style="21" bestFit="1" customWidth="1"/>
    <col min="5" max="5" width="17.33203125" style="21" bestFit="1" customWidth="1"/>
    <col min="6" max="6" width="11.83203125" style="21" bestFit="1" customWidth="1"/>
    <col min="7" max="16384" width="8.83203125" style="21"/>
  </cols>
  <sheetData>
    <row r="1" spans="1:7" x14ac:dyDescent="0.2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6" thickBot="1" x14ac:dyDescent="0.25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ht="16" x14ac:dyDescent="0.2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ht="16" x14ac:dyDescent="0.2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7" thickBot="1" x14ac:dyDescent="0.25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ht="16" x14ac:dyDescent="0.2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ht="16" x14ac:dyDescent="0.2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7" thickBot="1" x14ac:dyDescent="0.25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ht="16" x14ac:dyDescent="0.2">
      <c r="A11" s="53" t="s">
        <v>120</v>
      </c>
      <c r="B11" s="57">
        <f>1/1.2852</f>
        <v>0.77808901338313108</v>
      </c>
      <c r="C11" s="57">
        <f>35*Ref!B18</f>
        <v>0.126</v>
      </c>
      <c r="D11" s="42" t="s">
        <v>94</v>
      </c>
      <c r="E11" s="21">
        <v>0</v>
      </c>
      <c r="F11" s="21" t="s">
        <v>113</v>
      </c>
    </row>
    <row r="12" spans="1:7" ht="16" x14ac:dyDescent="0.2">
      <c r="A12" s="53" t="s">
        <v>153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7" thickBot="1" x14ac:dyDescent="0.25">
      <c r="A13" s="63" t="s">
        <v>156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">
      <c r="A14" s="21"/>
      <c r="B14" s="21"/>
      <c r="C14" s="21"/>
      <c r="D14" s="21"/>
      <c r="E14" s="21"/>
      <c r="F14" s="21"/>
      <c r="G14" s="21"/>
    </row>
    <row r="30" spans="1:7" s="42" customFormat="1" x14ac:dyDescent="0.2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9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</cols>
  <sheetData>
    <row r="1" spans="1:5" x14ac:dyDescent="0.2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</row>
    <row r="2" spans="1:5" x14ac:dyDescent="0.2">
      <c r="A2" s="55" t="s">
        <v>1</v>
      </c>
      <c r="C2" s="54" t="s">
        <v>70</v>
      </c>
      <c r="E2" t="s">
        <v>164</v>
      </c>
    </row>
    <row r="3" spans="1:5" x14ac:dyDescent="0.2">
      <c r="A3" s="55" t="s">
        <v>2</v>
      </c>
    </row>
    <row r="4" spans="1:5" s="30" customFormat="1" ht="16" thickBot="1" x14ac:dyDescent="0.25">
      <c r="A4" s="30" t="s">
        <v>3</v>
      </c>
      <c r="B4" s="45"/>
      <c r="C4" s="45"/>
      <c r="D4" s="45"/>
    </row>
    <row r="5" spans="1:5" ht="16" x14ac:dyDescent="0.2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</row>
    <row r="6" spans="1:5" ht="16" x14ac:dyDescent="0.2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</row>
    <row r="7" spans="1:5" s="30" customFormat="1" ht="17" thickBot="1" x14ac:dyDescent="0.25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</row>
    <row r="8" spans="1:5" ht="16" x14ac:dyDescent="0.2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</row>
    <row r="9" spans="1:5" ht="16" x14ac:dyDescent="0.2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</row>
    <row r="10" spans="1:5" s="30" customFormat="1" ht="17" thickBot="1" x14ac:dyDescent="0.25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</row>
    <row r="11" spans="1:5" ht="16" x14ac:dyDescent="0.2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</row>
    <row r="12" spans="1:5" ht="16" x14ac:dyDescent="0.2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</row>
    <row r="13" spans="1:5" s="30" customFormat="1" ht="17" thickBot="1" x14ac:dyDescent="0.25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</row>
    <row r="14" spans="1:5" x14ac:dyDescent="0.2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</row>
    <row r="15" spans="1:5" x14ac:dyDescent="0.2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</row>
    <row r="16" spans="1:5" s="30" customFormat="1" ht="16" thickBot="1" x14ac:dyDescent="0.25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</row>
    <row r="17" spans="1:5" x14ac:dyDescent="0.2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</row>
    <row r="18" spans="1:5" x14ac:dyDescent="0.2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</row>
    <row r="19" spans="1:5" s="30" customFormat="1" ht="16" thickBot="1" x14ac:dyDescent="0.25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6"/>
  <sheetViews>
    <sheetView workbookViewId="0">
      <selection activeCell="E24" sqref="E24"/>
    </sheetView>
  </sheetViews>
  <sheetFormatPr baseColWidth="10" defaultColWidth="10.16406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16384" width="10.1640625" style="20"/>
  </cols>
  <sheetData>
    <row r="1" spans="1:4" s="42" customFormat="1" x14ac:dyDescent="0.2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">
      <c r="A2" s="55" t="s">
        <v>1</v>
      </c>
      <c r="C2" s="54" t="s">
        <v>70</v>
      </c>
    </row>
    <row r="3" spans="1:4" x14ac:dyDescent="0.2">
      <c r="A3" s="55" t="s">
        <v>2</v>
      </c>
    </row>
    <row r="4" spans="1:4" x14ac:dyDescent="0.2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">
      <c r="A5" s="21" t="s">
        <v>178</v>
      </c>
      <c r="B5" s="97">
        <f>B4</f>
        <v>0.9</v>
      </c>
      <c r="C5" s="57">
        <f>C4</f>
        <v>1.3869182594347289</v>
      </c>
    </row>
    <row r="6" spans="1:4" x14ac:dyDescent="0.2">
      <c r="A6" s="21" t="s">
        <v>179</v>
      </c>
      <c r="B6" s="97">
        <f>B4</f>
        <v>0.9</v>
      </c>
      <c r="C6" s="57">
        <f>C4</f>
        <v>1.3869182594347289</v>
      </c>
    </row>
    <row r="7" spans="1:4" s="45" customFormat="1" ht="16" thickBot="1" x14ac:dyDescent="0.25">
      <c r="A7" s="38" t="s">
        <v>176</v>
      </c>
      <c r="B7" s="68">
        <f>B4</f>
        <v>0.9</v>
      </c>
      <c r="C7" s="120">
        <f>C4</f>
        <v>1.3869182594347289</v>
      </c>
    </row>
    <row r="8" spans="1:4" s="42" customFormat="1" ht="16" x14ac:dyDescent="0.2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ht="16" x14ac:dyDescent="0.2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7" thickBot="1" x14ac:dyDescent="0.25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ht="16" x14ac:dyDescent="0.2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ht="16" x14ac:dyDescent="0.2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7" thickBot="1" x14ac:dyDescent="0.25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ht="16" x14ac:dyDescent="0.2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ht="16" x14ac:dyDescent="0.2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7" thickBot="1" x14ac:dyDescent="0.25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6" thickBot="1" x14ac:dyDescent="0.25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6" thickBot="1" x14ac:dyDescent="0.25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">
      <c r="C23" s="20"/>
      <c r="D23" s="20"/>
    </row>
    <row r="24" spans="1:4" s="42" customFormat="1" x14ac:dyDescent="0.2">
      <c r="A24" s="21"/>
      <c r="B24" s="20"/>
      <c r="C24" s="20"/>
      <c r="D24" s="20"/>
    </row>
    <row r="25" spans="1:4" s="21" customFormat="1" x14ac:dyDescent="0.2">
      <c r="B25" s="20"/>
      <c r="C25" s="20"/>
      <c r="D25" s="20"/>
    </row>
    <row r="26" spans="1:4" s="21" customFormat="1" x14ac:dyDescent="0.2">
      <c r="B26" s="20"/>
      <c r="C26" s="20"/>
      <c r="D26" s="20"/>
    </row>
    <row r="27" spans="1:4" s="21" customFormat="1" x14ac:dyDescent="0.2">
      <c r="B27" s="20"/>
      <c r="C27" s="20"/>
      <c r="D27" s="20"/>
    </row>
    <row r="28" spans="1:4" s="42" customFormat="1" x14ac:dyDescent="0.2">
      <c r="A28" s="21"/>
      <c r="B28" s="20"/>
      <c r="C28" s="20"/>
      <c r="D28" s="20"/>
    </row>
    <row r="29" spans="1:4" s="21" customFormat="1" x14ac:dyDescent="0.2">
      <c r="B29" s="20"/>
      <c r="C29" s="20"/>
      <c r="D29" s="20"/>
    </row>
    <row r="30" spans="1:4" s="21" customFormat="1" x14ac:dyDescent="0.2">
      <c r="B30" s="20"/>
      <c r="C30" s="20"/>
      <c r="D30" s="20"/>
    </row>
    <row r="31" spans="1:4" s="21" customFormat="1" x14ac:dyDescent="0.2">
      <c r="B31" s="20"/>
      <c r="C31" s="20"/>
      <c r="D31" s="20"/>
    </row>
    <row r="32" spans="1:4" s="21" customFormat="1" x14ac:dyDescent="0.2">
      <c r="B32" s="20"/>
      <c r="C32" s="20"/>
      <c r="D32" s="20"/>
    </row>
    <row r="36" spans="1:4" s="42" customFormat="1" x14ac:dyDescent="0.2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4"/>
  <sheetViews>
    <sheetView workbookViewId="0">
      <selection activeCell="B1" sqref="B1"/>
    </sheetView>
  </sheetViews>
  <sheetFormatPr baseColWidth="10" defaultColWidth="10.16406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8" width="20.5" style="20" bestFit="1" customWidth="1"/>
    <col min="9" max="9" width="11" style="20" bestFit="1" customWidth="1"/>
    <col min="10" max="16384" width="10.1640625" style="20"/>
  </cols>
  <sheetData>
    <row r="1" spans="1:10" x14ac:dyDescent="0.2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">
      <c r="A2" s="55" t="s">
        <v>1</v>
      </c>
      <c r="B2" s="54" t="s">
        <v>63</v>
      </c>
      <c r="C2" s="54" t="s">
        <v>76</v>
      </c>
      <c r="G2" s="99"/>
    </row>
    <row r="3" spans="1:10" x14ac:dyDescent="0.2">
      <c r="A3" s="55" t="s">
        <v>2</v>
      </c>
    </row>
    <row r="4" spans="1:10" x14ac:dyDescent="0.2">
      <c r="A4" s="21" t="s">
        <v>3</v>
      </c>
      <c r="B4" s="20">
        <f>B8</f>
        <v>0.56599999999999995</v>
      </c>
      <c r="C4" s="10">
        <f>C8</f>
        <v>0.81069042316258355</v>
      </c>
      <c r="D4" s="54" t="s">
        <v>95</v>
      </c>
    </row>
    <row r="5" spans="1:10" x14ac:dyDescent="0.2">
      <c r="A5" s="21" t="s">
        <v>178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">
      <c r="A6" s="21" t="s">
        <v>179</v>
      </c>
      <c r="B6" s="54">
        <f>B4</f>
        <v>0.56599999999999995</v>
      </c>
      <c r="C6" s="130">
        <v>0</v>
      </c>
      <c r="D6" s="54" t="str">
        <f>D4</f>
        <v>natural gas - IPCC</v>
      </c>
    </row>
    <row r="7" spans="1:10" s="45" customFormat="1" ht="16" thickBot="1" x14ac:dyDescent="0.25">
      <c r="A7" s="30" t="s">
        <v>176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ht="16" x14ac:dyDescent="0.2">
      <c r="A8" s="33" t="s">
        <v>150</v>
      </c>
      <c r="B8" s="82">
        <v>0.56599999999999995</v>
      </c>
      <c r="C8" s="47">
        <f>1-(0.85/(0.85+0.66+2.98))</f>
        <v>0.81069042316258355</v>
      </c>
      <c r="D8" s="82" t="s">
        <v>95</v>
      </c>
    </row>
    <row r="9" spans="1:10" s="21" customFormat="1" ht="16" x14ac:dyDescent="0.2">
      <c r="A9" s="25" t="s">
        <v>151</v>
      </c>
      <c r="B9" s="82">
        <v>0.56599999999999995</v>
      </c>
      <c r="C9" s="10">
        <f t="shared" ref="C9" si="0">C$8</f>
        <v>0.81069042316258355</v>
      </c>
      <c r="D9" s="21" t="str">
        <f>D8</f>
        <v>natural gas - IPCC</v>
      </c>
    </row>
    <row r="10" spans="1:10" s="30" customFormat="1" ht="17" thickBot="1" x14ac:dyDescent="0.25">
      <c r="A10" s="31" t="s">
        <v>154</v>
      </c>
      <c r="B10" s="83">
        <v>0.56599999999999995</v>
      </c>
      <c r="C10" s="46">
        <f t="shared" ref="C10:D10" si="1">C$8</f>
        <v>0.81069042316258355</v>
      </c>
      <c r="D10" s="45" t="str">
        <f t="shared" si="1"/>
        <v>natural gas - IPCC</v>
      </c>
    </row>
    <row r="11" spans="1:10" s="21" customFormat="1" ht="16" x14ac:dyDescent="0.2">
      <c r="A11" s="33" t="s">
        <v>119</v>
      </c>
      <c r="B11" s="82">
        <v>0.56599999999999995</v>
      </c>
      <c r="C11" s="42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ht="16" x14ac:dyDescent="0.2">
      <c r="A12" s="60" t="s">
        <v>152</v>
      </c>
      <c r="B12" s="20">
        <f>B11</f>
        <v>0.56599999999999995</v>
      </c>
      <c r="C12" s="20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7" thickBot="1" x14ac:dyDescent="0.25">
      <c r="A13" s="63" t="s">
        <v>155</v>
      </c>
      <c r="B13" s="45">
        <f>B11</f>
        <v>0.56599999999999995</v>
      </c>
      <c r="C13" s="45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ht="16" x14ac:dyDescent="0.2">
      <c r="A14" s="62" t="s">
        <v>120</v>
      </c>
      <c r="B14" s="82">
        <v>0.56599999999999995</v>
      </c>
      <c r="C14" s="42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ht="16" x14ac:dyDescent="0.2">
      <c r="A15" s="53" t="s">
        <v>153</v>
      </c>
      <c r="B15" s="20">
        <f>B14</f>
        <v>0.56599999999999995</v>
      </c>
      <c r="C15" s="20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7" thickBot="1" x14ac:dyDescent="0.25">
      <c r="A16" s="63" t="s">
        <v>156</v>
      </c>
      <c r="B16" s="45">
        <f>B14</f>
        <v>0.56599999999999995</v>
      </c>
      <c r="C16" s="45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">
      <c r="A17" s="21" t="s">
        <v>141</v>
      </c>
      <c r="B17" s="82">
        <v>0.56599999999999995</v>
      </c>
      <c r="C17" s="42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">
      <c r="A18" s="21" t="s">
        <v>142</v>
      </c>
      <c r="B18" s="20">
        <f>B17</f>
        <v>0.56599999999999995</v>
      </c>
      <c r="C18" s="20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6" thickBot="1" x14ac:dyDescent="0.25">
      <c r="A19" s="30" t="s">
        <v>143</v>
      </c>
      <c r="B19" s="45">
        <f>B17</f>
        <v>0.56599999999999995</v>
      </c>
      <c r="C19" s="45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">
      <c r="A20" s="21" t="s">
        <v>144</v>
      </c>
      <c r="B20" s="82">
        <v>0.56599999999999995</v>
      </c>
      <c r="C20" s="42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">
      <c r="A21" s="21" t="s">
        <v>145</v>
      </c>
      <c r="B21" s="20">
        <f>B20</f>
        <v>0.56599999999999995</v>
      </c>
      <c r="C21" s="20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6" thickBot="1" x14ac:dyDescent="0.25">
      <c r="A22" s="30" t="s">
        <v>146</v>
      </c>
      <c r="B22" s="45">
        <f>B20</f>
        <v>0.56599999999999995</v>
      </c>
      <c r="C22" s="45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"/>
    <row r="36" spans="1:10" s="82" customFormat="1" x14ac:dyDescent="0.2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"/>
    <row r="44" spans="1:10" s="82" customFormat="1" x14ac:dyDescent="0.2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7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5.83203125" style="54" customWidth="1"/>
    <col min="6" max="6" width="19" style="20" bestFit="1" customWidth="1"/>
    <col min="7" max="7" width="17.83203125" style="20" bestFit="1" customWidth="1"/>
    <col min="8" max="16384" width="8.83203125" style="21"/>
  </cols>
  <sheetData>
    <row r="1" spans="1:7" x14ac:dyDescent="0.2">
      <c r="A1" s="42" t="s">
        <v>0</v>
      </c>
      <c r="B1" s="99" t="s">
        <v>56</v>
      </c>
      <c r="C1" s="54" t="s">
        <v>129</v>
      </c>
      <c r="D1" s="42" t="s">
        <v>58</v>
      </c>
      <c r="E1" s="42" t="s">
        <v>9</v>
      </c>
      <c r="F1" s="42" t="s">
        <v>2</v>
      </c>
      <c r="G1" s="42" t="s">
        <v>96</v>
      </c>
    </row>
    <row r="2" spans="1:7" x14ac:dyDescent="0.2">
      <c r="A2" s="55" t="s">
        <v>1</v>
      </c>
      <c r="B2" s="54" t="s">
        <v>131</v>
      </c>
      <c r="C2" s="54" t="s">
        <v>163</v>
      </c>
      <c r="E2" s="54" t="s">
        <v>132</v>
      </c>
    </row>
    <row r="3" spans="1:7" x14ac:dyDescent="0.2">
      <c r="A3" s="55" t="s">
        <v>2</v>
      </c>
    </row>
    <row r="4" spans="1:7" s="30" customFormat="1" ht="16" thickBot="1" x14ac:dyDescent="0.25">
      <c r="A4" s="30" t="s">
        <v>3</v>
      </c>
      <c r="B4" s="45"/>
      <c r="C4" s="45"/>
      <c r="D4" s="45"/>
      <c r="E4" s="112"/>
      <c r="F4" s="45"/>
      <c r="G4" s="45"/>
    </row>
    <row r="5" spans="1:7" s="42" customFormat="1" ht="17.25" customHeight="1" x14ac:dyDescent="0.2">
      <c r="A5" s="33" t="s">
        <v>150</v>
      </c>
      <c r="B5" s="16">
        <v>0.9</v>
      </c>
      <c r="C5" s="47">
        <f>1-(0.5736/(0.5736+2.9763+0.6597))</f>
        <v>0.86374002280501716</v>
      </c>
      <c r="D5" s="42" t="s">
        <v>95</v>
      </c>
      <c r="E5" s="90">
        <f>(25.3/4.6668)*Ref!B$18</f>
        <v>1.9516585240421703E-2</v>
      </c>
    </row>
    <row r="6" spans="1:7" ht="16" x14ac:dyDescent="0.2">
      <c r="A6" s="25" t="s">
        <v>151</v>
      </c>
      <c r="B6" s="10">
        <f>B$5</f>
        <v>0.9</v>
      </c>
      <c r="C6" s="10">
        <f t="shared" ref="C6" si="0">C$5</f>
        <v>0.86374002280501716</v>
      </c>
      <c r="D6" s="21" t="str">
        <f>D5</f>
        <v>natural gas - IPCC</v>
      </c>
      <c r="E6" s="90">
        <f>E5</f>
        <v>1.9516585240421703E-2</v>
      </c>
      <c r="F6" s="21"/>
      <c r="G6" s="21"/>
    </row>
    <row r="7" spans="1:7" s="30" customFormat="1" ht="15.75" customHeight="1" thickBot="1" x14ac:dyDescent="0.25">
      <c r="A7" s="31" t="s">
        <v>154</v>
      </c>
      <c r="B7" s="46">
        <f t="shared" ref="B7:C7" si="1">B$5</f>
        <v>0.9</v>
      </c>
      <c r="C7" s="46">
        <f t="shared" si="1"/>
        <v>0.86374002280501716</v>
      </c>
      <c r="D7" s="30" t="s">
        <v>113</v>
      </c>
      <c r="E7" s="78">
        <f>E5</f>
        <v>1.9516585240421703E-2</v>
      </c>
    </row>
    <row r="8" spans="1:7" ht="15" customHeight="1" x14ac:dyDescent="0.2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90">
        <f>(25.3/4.6668)*Ref!B$18</f>
        <v>1.9516585240421703E-2</v>
      </c>
    </row>
    <row r="9" spans="1:7" s="42" customFormat="1" ht="16" x14ac:dyDescent="0.2">
      <c r="A9" s="60" t="s">
        <v>152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90">
        <f>E8</f>
        <v>1.9516585240421703E-2</v>
      </c>
      <c r="F9" s="20"/>
      <c r="G9" s="20"/>
    </row>
    <row r="10" spans="1:7" s="30" customFormat="1" ht="17" thickBot="1" x14ac:dyDescent="0.25">
      <c r="A10" s="63" t="s">
        <v>155</v>
      </c>
      <c r="B10" s="45">
        <f>B8</f>
        <v>0.9</v>
      </c>
      <c r="C10" s="46">
        <f>C8</f>
        <v>0.69699077294014</v>
      </c>
      <c r="D10" s="38" t="s">
        <v>113</v>
      </c>
      <c r="E10" s="78">
        <f>E8</f>
        <v>1.9516585240421703E-2</v>
      </c>
      <c r="F10" s="45"/>
      <c r="G10" s="45"/>
    </row>
    <row r="11" spans="1:7" ht="16" x14ac:dyDescent="0.2">
      <c r="A11" s="62" t="s">
        <v>120</v>
      </c>
      <c r="B11" s="100">
        <v>0.9</v>
      </c>
      <c r="C11" s="133">
        <v>0</v>
      </c>
      <c r="D11" s="42" t="s">
        <v>95</v>
      </c>
      <c r="E11" s="90">
        <f>(25.3/4.6668)*Ref!B$18</f>
        <v>1.9516585240421703E-2</v>
      </c>
    </row>
    <row r="12" spans="1:7" ht="16.5" customHeight="1" x14ac:dyDescent="0.2">
      <c r="A12" s="53" t="s">
        <v>153</v>
      </c>
      <c r="B12" s="20">
        <f>B11</f>
        <v>0.9</v>
      </c>
      <c r="C12" s="20">
        <f>C11</f>
        <v>0</v>
      </c>
      <c r="D12" s="27" t="s">
        <v>113</v>
      </c>
      <c r="E12" s="90">
        <f>E11</f>
        <v>1.9516585240421703E-2</v>
      </c>
    </row>
    <row r="13" spans="1:7" s="70" customFormat="1" ht="17" thickBot="1" x14ac:dyDescent="0.25">
      <c r="A13" s="63" t="s">
        <v>156</v>
      </c>
      <c r="B13" s="45">
        <f>B11</f>
        <v>0.9</v>
      </c>
      <c r="C13" s="45">
        <f>C11</f>
        <v>0</v>
      </c>
      <c r="D13" s="38" t="s">
        <v>113</v>
      </c>
      <c r="E13" s="78">
        <f>E11</f>
        <v>1.9516585240421703E-2</v>
      </c>
      <c r="F13" s="45"/>
      <c r="G13" s="45"/>
    </row>
    <row r="14" spans="1:7" x14ac:dyDescent="0.2">
      <c r="A14" s="21" t="s">
        <v>141</v>
      </c>
      <c r="B14" s="100">
        <v>0.9</v>
      </c>
      <c r="C14" s="134">
        <v>0</v>
      </c>
      <c r="D14" s="42" t="s">
        <v>95</v>
      </c>
      <c r="E14" s="90">
        <f>(25.3/4.6668)*Ref!B$18</f>
        <v>1.9516585240421703E-2</v>
      </c>
      <c r="F14" s="21"/>
      <c r="G14" s="21"/>
    </row>
    <row r="15" spans="1:7" x14ac:dyDescent="0.2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90">
        <f>E14</f>
        <v>1.9516585240421703E-2</v>
      </c>
    </row>
    <row r="16" spans="1:7" s="30" customFormat="1" ht="16" thickBot="1" x14ac:dyDescent="0.25">
      <c r="A16" s="30" t="s">
        <v>143</v>
      </c>
      <c r="B16" s="45">
        <f>B14</f>
        <v>0.9</v>
      </c>
      <c r="C16" s="46">
        <f>C14</f>
        <v>0</v>
      </c>
      <c r="D16" s="38" t="s">
        <v>113</v>
      </c>
      <c r="E16" s="78">
        <f>E14</f>
        <v>1.9516585240421703E-2</v>
      </c>
      <c r="F16" s="45"/>
      <c r="G16" s="45"/>
    </row>
    <row r="17" spans="1:7" s="42" customFormat="1" x14ac:dyDescent="0.2">
      <c r="A17" s="21" t="s">
        <v>144</v>
      </c>
      <c r="B17" s="100">
        <v>0.9</v>
      </c>
      <c r="C17" s="134">
        <v>0</v>
      </c>
      <c r="D17" s="42" t="s">
        <v>95</v>
      </c>
      <c r="E17" s="90">
        <f>(25.3/4.6668)*Ref!B$18</f>
        <v>1.9516585240421703E-2</v>
      </c>
      <c r="F17" s="20"/>
      <c r="G17" s="20"/>
    </row>
    <row r="18" spans="1:7" x14ac:dyDescent="0.2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90">
        <f>E17</f>
        <v>1.9516585240421703E-2</v>
      </c>
    </row>
    <row r="19" spans="1:7" s="30" customFormat="1" ht="16" thickBot="1" x14ac:dyDescent="0.25">
      <c r="A19" s="30" t="s">
        <v>146</v>
      </c>
      <c r="B19" s="45">
        <f>B17</f>
        <v>0.9</v>
      </c>
      <c r="C19" s="46">
        <f>C17</f>
        <v>0</v>
      </c>
      <c r="D19" s="38" t="s">
        <v>113</v>
      </c>
      <c r="E19" s="78">
        <f>E17</f>
        <v>1.9516585240421703E-2</v>
      </c>
      <c r="F19" s="45"/>
      <c r="G19" s="45"/>
    </row>
    <row r="21" spans="1:7" s="42" customFormat="1" x14ac:dyDescent="0.2">
      <c r="A21" s="21"/>
      <c r="B21" s="20"/>
      <c r="C21" s="20"/>
      <c r="D21" s="20"/>
      <c r="E21" s="54"/>
      <c r="F21" s="20"/>
      <c r="G21" s="20"/>
    </row>
    <row r="25" spans="1:7" s="42" customFormat="1" x14ac:dyDescent="0.2">
      <c r="A25" s="21"/>
      <c r="B25" s="20"/>
      <c r="C25" s="20"/>
      <c r="D25" s="20"/>
      <c r="E25" s="54"/>
      <c r="F25" s="20"/>
      <c r="G25" s="20"/>
    </row>
    <row r="27" spans="1:7" ht="15.75" customHeight="1" x14ac:dyDescent="0.2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9" sqref="G19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6"/>
    <col min="7" max="16384" width="8.83203125" style="21"/>
  </cols>
  <sheetData>
    <row r="1" spans="1:7" x14ac:dyDescent="0.2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6" thickBot="1" x14ac:dyDescent="0.25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ht="16" x14ac:dyDescent="0.2">
      <c r="A8" s="80" t="s">
        <v>119</v>
      </c>
      <c r="B8" s="107">
        <v>1</v>
      </c>
      <c r="C8" s="107">
        <v>0.9</v>
      </c>
      <c r="D8" s="47">
        <f>151.9/1.119*Ref!$B$18</f>
        <v>0.48868632707774806</v>
      </c>
      <c r="E8" s="107">
        <f>2.02/0.86</f>
        <v>2.3488372093023258</v>
      </c>
      <c r="F8" s="22">
        <f>0.001</f>
        <v>1E-3</v>
      </c>
      <c r="G8" s="108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2.3488372093023258</v>
      </c>
      <c r="F9" s="135">
        <f>F8</f>
        <v>1E-3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2.3488372093023258</v>
      </c>
      <c r="F10" s="136">
        <f>F8</f>
        <v>1E-3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0.46+0.22</f>
        <v>0.68</v>
      </c>
      <c r="E11" s="47">
        <v>0</v>
      </c>
      <c r="F11" s="57">
        <v>0</v>
      </c>
      <c r="G11" s="21" t="s">
        <v>185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0.68</v>
      </c>
      <c r="E12" s="41">
        <f t="shared" si="4"/>
        <v>0</v>
      </c>
      <c r="F12" s="56">
        <f>F11</f>
        <v>0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0.68</v>
      </c>
      <c r="E13" s="40">
        <f t="shared" si="5"/>
        <v>0</v>
      </c>
      <c r="F13" s="114">
        <f>F11</f>
        <v>0</v>
      </c>
      <c r="G13" s="30"/>
    </row>
    <row r="14" spans="1:7" x14ac:dyDescent="0.2">
      <c r="A14" s="21" t="s">
        <v>141</v>
      </c>
      <c r="B14" s="107">
        <v>1</v>
      </c>
      <c r="C14" s="107">
        <v>0.9</v>
      </c>
      <c r="D14" s="47">
        <f>151.9/1.119*Ref!$B$18</f>
        <v>0.48868632707774806</v>
      </c>
      <c r="E14" s="107">
        <f>2.02/0.86</f>
        <v>2.3488372093023258</v>
      </c>
      <c r="F14" s="22">
        <f>0.001</f>
        <v>1E-3</v>
      </c>
      <c r="G14" s="105"/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2.3488372093023258</v>
      </c>
      <c r="F15" s="56">
        <f>F14</f>
        <v>1E-3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2.3488372093023258</v>
      </c>
      <c r="F16" s="114">
        <f>F14</f>
        <v>1E-3</v>
      </c>
    </row>
    <row r="17" spans="1:7" s="42" customFormat="1" x14ac:dyDescent="0.2">
      <c r="A17" s="21" t="s">
        <v>144</v>
      </c>
      <c r="B17" s="47">
        <v>1</v>
      </c>
      <c r="C17" s="47">
        <v>1</v>
      </c>
      <c r="D17" s="47">
        <f>90*Ref!B$18</f>
        <v>0.32400000000000001</v>
      </c>
      <c r="E17" s="47">
        <v>0</v>
      </c>
      <c r="F17" s="42">
        <v>0</v>
      </c>
      <c r="G17" s="21" t="s">
        <v>187</v>
      </c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0.32400000000000001</v>
      </c>
      <c r="E18" s="41">
        <f t="shared" si="8"/>
        <v>0</v>
      </c>
      <c r="F18" s="26">
        <f>F17</f>
        <v>0</v>
      </c>
      <c r="G18" s="21" t="s">
        <v>187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0.32400000000000001</v>
      </c>
      <c r="E19" s="40">
        <f t="shared" si="9"/>
        <v>0</v>
      </c>
      <c r="F19" s="71">
        <f>F17</f>
        <v>0</v>
      </c>
      <c r="G19" s="21" t="s">
        <v>187</v>
      </c>
    </row>
    <row r="21" spans="1:7" s="42" customFormat="1" x14ac:dyDescent="0.2">
      <c r="A21" s="21"/>
      <c r="B21" s="21"/>
      <c r="C21" s="21"/>
      <c r="D21" s="21"/>
      <c r="E21" s="21"/>
      <c r="F21" s="96"/>
      <c r="G21" s="21"/>
    </row>
    <row r="25" spans="1:7" s="42" customFormat="1" x14ac:dyDescent="0.2">
      <c r="A25" s="21"/>
      <c r="B25" s="21"/>
      <c r="C25" s="21"/>
      <c r="D25" s="21"/>
      <c r="E25" s="21"/>
      <c r="F25" s="96"/>
      <c r="G25" s="21"/>
    </row>
    <row r="33" spans="1:7" s="108" customFormat="1" x14ac:dyDescent="0.2">
      <c r="A33" s="21"/>
      <c r="B33" s="21"/>
      <c r="C33" s="21"/>
      <c r="D33" s="21"/>
      <c r="E33" s="21"/>
      <c r="F33" s="96"/>
      <c r="G33" s="21"/>
    </row>
    <row r="37" spans="1:7" s="42" customFormat="1" x14ac:dyDescent="0.2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5"/>
  <sheetViews>
    <sheetView workbookViewId="0">
      <selection activeCell="R33" sqref="R33"/>
    </sheetView>
  </sheetViews>
  <sheetFormatPr baseColWidth="10" defaultColWidth="8.83203125" defaultRowHeight="15" x14ac:dyDescent="0.2"/>
  <cols>
    <col min="1" max="1" width="19.1640625" style="21" customWidth="1"/>
    <col min="2" max="16384" width="8.83203125" style="21"/>
  </cols>
  <sheetData>
    <row r="1" spans="1:5" x14ac:dyDescent="0.2">
      <c r="A1" s="101" t="s">
        <v>77</v>
      </c>
      <c r="B1" s="21" t="s">
        <v>89</v>
      </c>
      <c r="C1" s="21" t="s">
        <v>90</v>
      </c>
      <c r="D1" t="s">
        <v>181</v>
      </c>
      <c r="E1" s="21" t="s">
        <v>7</v>
      </c>
    </row>
    <row r="2" spans="1:5" x14ac:dyDescent="0.2">
      <c r="A2" s="103" t="s">
        <v>72</v>
      </c>
      <c r="B2" s="21" t="s">
        <v>91</v>
      </c>
      <c r="C2" s="21" t="s">
        <v>92</v>
      </c>
      <c r="E2" s="27" t="s">
        <v>186</v>
      </c>
    </row>
    <row r="3" spans="1:5" x14ac:dyDescent="0.2">
      <c r="A3" s="103" t="s">
        <v>2</v>
      </c>
    </row>
    <row r="4" spans="1:5" s="30" customFormat="1" ht="16" thickBot="1" x14ac:dyDescent="0.25">
      <c r="A4" s="109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ht="16" x14ac:dyDescent="0.2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ht="16" x14ac:dyDescent="0.2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7" thickBot="1" x14ac:dyDescent="0.25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ht="16" x14ac:dyDescent="0.2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ht="16" x14ac:dyDescent="0.2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7" thickBot="1" x14ac:dyDescent="0.25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ht="16" x14ac:dyDescent="0.2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ht="16" x14ac:dyDescent="0.2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7" thickBot="1" x14ac:dyDescent="0.25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6" thickBot="1" x14ac:dyDescent="0.25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6" thickBot="1" x14ac:dyDescent="0.25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">
      <c r="A23" s="21"/>
      <c r="B23" s="21"/>
      <c r="C23" s="21"/>
    </row>
    <row r="27" spans="1:5" s="42" customFormat="1" x14ac:dyDescent="0.2">
      <c r="A27" s="21"/>
      <c r="B27" s="21"/>
      <c r="C27" s="21"/>
    </row>
    <row r="31" spans="1:5" s="42" customFormat="1" x14ac:dyDescent="0.2">
      <c r="A31" s="21"/>
      <c r="B31" s="21"/>
      <c r="C31" s="21"/>
    </row>
    <row r="35" spans="1:3" s="42" customFormat="1" x14ac:dyDescent="0.2">
      <c r="A35" s="21"/>
      <c r="B35" s="21"/>
      <c r="C35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27</v>
      </c>
      <c r="B1" s="5"/>
      <c r="C1" s="5"/>
    </row>
    <row r="2" spans="1:3" x14ac:dyDescent="0.2">
      <c r="A2" s="4" t="s">
        <v>28</v>
      </c>
      <c r="B2" s="5"/>
      <c r="C2" s="5"/>
    </row>
    <row r="3" spans="1:3" x14ac:dyDescent="0.2">
      <c r="A3" s="6"/>
      <c r="B3" s="7" t="s">
        <v>29</v>
      </c>
      <c r="C3" s="8" t="s">
        <v>30</v>
      </c>
    </row>
    <row r="4" spans="1:3" x14ac:dyDescent="0.2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40</v>
      </c>
      <c r="B15" s="15"/>
      <c r="C15" s="15"/>
    </row>
    <row r="16" spans="1:3" x14ac:dyDescent="0.2">
      <c r="A16" s="20"/>
      <c r="B16" s="16" t="s">
        <v>41</v>
      </c>
      <c r="C16" s="16"/>
    </row>
    <row r="17" spans="1:3" x14ac:dyDescent="0.2">
      <c r="A17" s="20" t="s">
        <v>42</v>
      </c>
      <c r="B17" s="23">
        <v>3.6</v>
      </c>
      <c r="C17" s="10"/>
    </row>
    <row r="18" spans="1:3" x14ac:dyDescent="0.2">
      <c r="A18" s="20" t="s">
        <v>43</v>
      </c>
      <c r="B18" s="48">
        <f>B17/1000</f>
        <v>3.5999999999999999E-3</v>
      </c>
      <c r="C18" s="10"/>
    </row>
    <row r="19" spans="1:3" x14ac:dyDescent="0.2">
      <c r="A19" s="20" t="s">
        <v>44</v>
      </c>
      <c r="B19" s="10">
        <f>1/0.022414</f>
        <v>44.614972784866602</v>
      </c>
      <c r="C19" s="10"/>
    </row>
    <row r="20" spans="1:3" x14ac:dyDescent="0.2">
      <c r="A20" s="19" t="s">
        <v>71</v>
      </c>
      <c r="B20" s="21">
        <f>1.163</f>
        <v>1.163</v>
      </c>
    </row>
    <row r="21" spans="1:3" x14ac:dyDescent="0.2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baseColWidth="10" defaultColWidth="8.83203125" defaultRowHeight="15" x14ac:dyDescent="0.2"/>
  <cols>
    <col min="1" max="1" width="19.5" style="21" customWidth="1"/>
    <col min="2" max="2" width="26.1640625" style="21" bestFit="1" customWidth="1"/>
    <col min="3" max="3" width="17.83203125" style="21" bestFit="1" customWidth="1"/>
    <col min="4" max="5" width="17.83203125" style="81" customWidth="1"/>
    <col min="6" max="6" width="63.33203125" style="21" bestFit="1" customWidth="1"/>
    <col min="7" max="16384" width="8.83203125" style="21"/>
  </cols>
  <sheetData>
    <row r="1" spans="1:6" x14ac:dyDescent="0.2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">
      <c r="A2" s="55" t="s">
        <v>1</v>
      </c>
      <c r="B2" s="21" t="s">
        <v>61</v>
      </c>
      <c r="C2" s="21" t="s">
        <v>62</v>
      </c>
    </row>
    <row r="3" spans="1:6" x14ac:dyDescent="0.2">
      <c r="A3" s="55" t="s">
        <v>2</v>
      </c>
    </row>
    <row r="4" spans="1:6" s="30" customFormat="1" ht="16" thickBot="1" x14ac:dyDescent="0.25">
      <c r="A4" s="71" t="s">
        <v>3</v>
      </c>
      <c r="B4" s="30">
        <v>0.05</v>
      </c>
      <c r="C4" s="30">
        <v>0.1</v>
      </c>
      <c r="D4" s="37"/>
      <c r="E4" s="37"/>
    </row>
    <row r="5" spans="1:6" ht="16" x14ac:dyDescent="0.2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ht="16" x14ac:dyDescent="0.2">
      <c r="A6" s="25" t="s">
        <v>151</v>
      </c>
      <c r="B6" s="22">
        <f>B5</f>
        <v>0.05</v>
      </c>
      <c r="C6" s="22">
        <f>C5</f>
        <v>0.108</v>
      </c>
    </row>
    <row r="7" spans="1:6" s="30" customFormat="1" ht="17" thickBot="1" x14ac:dyDescent="0.25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ht="16" x14ac:dyDescent="0.2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ht="16" x14ac:dyDescent="0.2">
      <c r="A9" s="53" t="s">
        <v>152</v>
      </c>
      <c r="B9" s="21">
        <f>B8</f>
        <v>0.05</v>
      </c>
      <c r="C9" s="21">
        <f>C8</f>
        <v>0.108</v>
      </c>
    </row>
    <row r="10" spans="1:6" s="30" customFormat="1" ht="17" thickBot="1" x14ac:dyDescent="0.25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ht="16" x14ac:dyDescent="0.2">
      <c r="A11" s="53" t="s">
        <v>120</v>
      </c>
      <c r="B11" s="57">
        <v>0.05</v>
      </c>
      <c r="C11" s="57">
        <f>30*Ref!$B$18</f>
        <v>0.108</v>
      </c>
    </row>
    <row r="12" spans="1:6" ht="16" x14ac:dyDescent="0.2">
      <c r="A12" s="53" t="s">
        <v>153</v>
      </c>
      <c r="B12" s="21">
        <f>B11</f>
        <v>0.05</v>
      </c>
      <c r="C12" s="21">
        <f>C11</f>
        <v>0.108</v>
      </c>
    </row>
    <row r="13" spans="1:6" s="30" customFormat="1" ht="17" thickBot="1" x14ac:dyDescent="0.25">
      <c r="A13" s="63" t="s">
        <v>156</v>
      </c>
      <c r="B13" s="30">
        <f>B11</f>
        <v>0.05</v>
      </c>
      <c r="C13" s="30">
        <f>C11</f>
        <v>0.108</v>
      </c>
      <c r="D13" s="37"/>
      <c r="E13" s="37"/>
    </row>
    <row r="14" spans="1:6" x14ac:dyDescent="0.2">
      <c r="A14" t="s">
        <v>141</v>
      </c>
      <c r="B14" s="57">
        <v>0.05</v>
      </c>
      <c r="C14" s="57">
        <f>30*Ref!$B$18</f>
        <v>0.108</v>
      </c>
    </row>
    <row r="15" spans="1:6" x14ac:dyDescent="0.2">
      <c r="A15" t="s">
        <v>142</v>
      </c>
      <c r="B15" s="21">
        <f>B14</f>
        <v>0.05</v>
      </c>
      <c r="C15" s="21">
        <f>C14</f>
        <v>0.108</v>
      </c>
    </row>
    <row r="16" spans="1:6" s="30" customFormat="1" ht="16" thickBot="1" x14ac:dyDescent="0.25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">
      <c r="A17" t="s">
        <v>144</v>
      </c>
      <c r="B17" s="57">
        <v>0.05</v>
      </c>
      <c r="C17" s="57">
        <f>30*Ref!$B$18</f>
        <v>0.108</v>
      </c>
    </row>
    <row r="18" spans="1:5" x14ac:dyDescent="0.2">
      <c r="A18" t="s">
        <v>145</v>
      </c>
      <c r="B18" s="21">
        <f>B17</f>
        <v>0.05</v>
      </c>
      <c r="C18" s="21">
        <f>C17</f>
        <v>0.108</v>
      </c>
    </row>
    <row r="19" spans="1:5" s="30" customFormat="1" ht="16" thickBot="1" x14ac:dyDescent="0.25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xmlns:xlrd2="http://schemas.microsoft.com/office/spreadsheetml/2017/richdata2"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baseColWidth="10" defaultColWidth="8.83203125" defaultRowHeight="15" x14ac:dyDescent="0.2"/>
  <cols>
    <col min="1" max="1" width="20.1640625" style="21" customWidth="1"/>
    <col min="2" max="2" width="10.1640625" style="81" customWidth="1"/>
    <col min="3" max="3" width="12.5" style="21" bestFit="1" customWidth="1"/>
    <col min="4" max="4" width="15.5" style="21" customWidth="1"/>
    <col min="5" max="5" width="17.33203125" style="21" bestFit="1" customWidth="1"/>
    <col min="6" max="6" width="11.83203125" style="21" bestFit="1" customWidth="1"/>
    <col min="7" max="7" width="13.5" style="21" bestFit="1" customWidth="1"/>
    <col min="8" max="16384" width="8.83203125" style="21"/>
  </cols>
  <sheetData>
    <row r="1" spans="1:9" x14ac:dyDescent="0.2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">
      <c r="A2" s="55" t="s">
        <v>1</v>
      </c>
      <c r="B2" s="85" t="s">
        <v>158</v>
      </c>
      <c r="H2" s="21" t="s">
        <v>109</v>
      </c>
    </row>
    <row r="3" spans="1:9" x14ac:dyDescent="0.2">
      <c r="A3" s="55" t="s">
        <v>2</v>
      </c>
      <c r="B3" s="85"/>
    </row>
    <row r="4" spans="1:9" s="30" customFormat="1" ht="16" thickBot="1" x14ac:dyDescent="0.25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ht="16" x14ac:dyDescent="0.2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" customHeight="1" x14ac:dyDescent="0.2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7" thickBot="1" x14ac:dyDescent="0.25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ht="16" x14ac:dyDescent="0.2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1.7999999999999999E-2</v>
      </c>
      <c r="H8" s="42">
        <f>75*Ref!$B$18</f>
        <v>0.27</v>
      </c>
      <c r="I8" s="42"/>
    </row>
    <row r="9" spans="1:9" s="42" customFormat="1" ht="16" x14ac:dyDescent="0.2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7" thickBot="1" x14ac:dyDescent="0.25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ht="16" x14ac:dyDescent="0.2">
      <c r="A11" s="53" t="s">
        <v>120</v>
      </c>
      <c r="B11" s="89">
        <v>0.72</v>
      </c>
      <c r="C11" s="57">
        <f>0.72/25.8</f>
        <v>2.7906976744186046E-2</v>
      </c>
      <c r="D11" s="42" t="s">
        <v>118</v>
      </c>
      <c r="E11" s="42">
        <v>0</v>
      </c>
      <c r="F11" s="42" t="s">
        <v>113</v>
      </c>
      <c r="G11" s="57">
        <v>1.7999999999999999E-2</v>
      </c>
      <c r="H11" s="42">
        <f>75*Ref!$B$18</f>
        <v>0.27</v>
      </c>
    </row>
    <row r="12" spans="1:9" ht="16" x14ac:dyDescent="0.2">
      <c r="A12" s="53" t="s">
        <v>153</v>
      </c>
      <c r="B12" s="89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0" customFormat="1" ht="17" thickBot="1" x14ac:dyDescent="0.25">
      <c r="A13" s="63" t="s">
        <v>156</v>
      </c>
      <c r="B13" s="88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6" thickBot="1" x14ac:dyDescent="0.25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6" thickBot="1" x14ac:dyDescent="0.25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baseColWidth="10" defaultColWidth="8.83203125" defaultRowHeight="15" x14ac:dyDescent="0.2"/>
  <cols>
    <col min="1" max="1" width="22.1640625" style="21" customWidth="1"/>
    <col min="2" max="2" width="18.1640625" style="21" customWidth="1"/>
    <col min="3" max="3" width="17.33203125" style="21" customWidth="1"/>
    <col min="4" max="4" width="17.83203125" style="21" bestFit="1" customWidth="1"/>
    <col min="5" max="5" width="11.83203125" style="21" bestFit="1" customWidth="1"/>
    <col min="6" max="6" width="13.6640625" style="21" bestFit="1" customWidth="1"/>
    <col min="7" max="7" width="17.83203125" style="21" bestFit="1" customWidth="1"/>
    <col min="8" max="16384" width="8.83203125" style="21"/>
  </cols>
  <sheetData>
    <row r="1" spans="1:8" x14ac:dyDescent="0.2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">
      <c r="A3" s="55" t="s">
        <v>2</v>
      </c>
    </row>
    <row r="4" spans="1:8" x14ac:dyDescent="0.2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ht="16" x14ac:dyDescent="0.2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ht="16" x14ac:dyDescent="0.2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7" thickBot="1" x14ac:dyDescent="0.25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ht="16" x14ac:dyDescent="0.2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ht="16" x14ac:dyDescent="0.2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7" thickBot="1" x14ac:dyDescent="0.25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ht="16" x14ac:dyDescent="0.2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f>0.01+(0.1165*(56/100))</f>
        <v>7.5240000000000001E-2</v>
      </c>
      <c r="G11" s="57">
        <f>32*Ref!$B$18</f>
        <v>0.1152</v>
      </c>
      <c r="H11" s="42"/>
    </row>
    <row r="12" spans="1:8" ht="16" x14ac:dyDescent="0.2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0.1152</v>
      </c>
    </row>
    <row r="13" spans="1:8" ht="16" x14ac:dyDescent="0.2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7.5240000000000001E-2</v>
      </c>
      <c r="G13" s="22">
        <f>G11</f>
        <v>0.1152</v>
      </c>
    </row>
    <row r="27" spans="1:8" s="42" customFormat="1" x14ac:dyDescent="0.2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"/>
    <row r="51" spans="1:8" s="42" customFormat="1" x14ac:dyDescent="0.2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5" sqref="L5"/>
    </sheetView>
  </sheetViews>
  <sheetFormatPr baseColWidth="10" defaultColWidth="11.5" defaultRowHeight="15" x14ac:dyDescent="0.2"/>
  <cols>
    <col min="1" max="1" width="27" style="21" customWidth="1"/>
    <col min="2" max="4" width="11.5" style="21"/>
    <col min="5" max="6" width="0" style="129" hidden="1" customWidth="1"/>
    <col min="7" max="7" width="11.5" style="21"/>
    <col min="8" max="8" width="11.5" style="27"/>
    <col min="9" max="9" width="9.83203125" style="21" customWidth="1"/>
    <col min="10" max="13" width="11.5" style="21"/>
    <col min="14" max="14" width="20.6640625" style="21" customWidth="1"/>
    <col min="15" max="15" width="12.5" style="21" customWidth="1"/>
    <col min="16" max="16" width="11.5" style="21"/>
    <col min="17" max="17" width="12.5" style="81" hidden="1" customWidth="1"/>
    <col min="18" max="18" width="0" style="81" hidden="1" customWidth="1"/>
    <col min="19" max="19" width="11.5" style="55"/>
    <col min="20" max="16384" width="11.5" style="21"/>
  </cols>
  <sheetData>
    <row r="1" spans="1:20" x14ac:dyDescent="0.2">
      <c r="A1" s="42" t="s">
        <v>0</v>
      </c>
      <c r="B1" s="26" t="s">
        <v>25</v>
      </c>
      <c r="C1" s="26" t="s">
        <v>26</v>
      </c>
      <c r="D1" s="26" t="s">
        <v>19</v>
      </c>
      <c r="E1" s="124" t="s">
        <v>182</v>
      </c>
      <c r="F1" s="124" t="s">
        <v>184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">
      <c r="A2" s="55" t="s">
        <v>1</v>
      </c>
      <c r="B2" s="55" t="s">
        <v>46</v>
      </c>
      <c r="C2" s="55" t="s">
        <v>47</v>
      </c>
      <c r="D2" s="55" t="s">
        <v>48</v>
      </c>
      <c r="E2" s="125" t="s">
        <v>183</v>
      </c>
      <c r="F2" s="125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">
      <c r="A3" s="55" t="s">
        <v>2</v>
      </c>
      <c r="B3" s="55"/>
      <c r="C3" s="55"/>
      <c r="D3" s="55"/>
      <c r="E3" s="125"/>
      <c r="F3" s="125"/>
    </row>
    <row r="4" spans="1:20" s="30" customFormat="1" ht="16" thickBot="1" x14ac:dyDescent="0.25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6"/>
      <c r="F4" s="126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ht="16" x14ac:dyDescent="0.2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7">
        <v>0</v>
      </c>
      <c r="F5" s="127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ht="16" x14ac:dyDescent="0.2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8">
        <v>0</v>
      </c>
      <c r="F6" s="127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7" thickBot="1" x14ac:dyDescent="0.25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6">
        <v>0</v>
      </c>
      <c r="F7" s="126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ht="16" x14ac:dyDescent="0.2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7">
        <v>0</v>
      </c>
      <c r="F8" s="127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ht="16" x14ac:dyDescent="0.2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8">
        <v>0</v>
      </c>
      <c r="F9" s="127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7" thickBot="1" x14ac:dyDescent="0.25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6">
        <v>0</v>
      </c>
      <c r="F10" s="126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ht="16" x14ac:dyDescent="0.2">
      <c r="A11" s="62" t="s">
        <v>120</v>
      </c>
      <c r="B11" s="42">
        <v>0</v>
      </c>
      <c r="C11" s="42">
        <v>1.7</v>
      </c>
      <c r="D11" s="57">
        <f>(1.1+18*(56/100)+9*(0.477/0.44))/145</f>
        <v>0.14439184952978057</v>
      </c>
      <c r="E11" s="127">
        <v>8.9999999999999993E-3</v>
      </c>
      <c r="F11" s="127">
        <f t="shared" si="0"/>
        <v>4.2929999999999991E-3</v>
      </c>
      <c r="G11" s="74">
        <v>0.3</v>
      </c>
      <c r="H11" s="35">
        <f>3400/(8000/365)/145</f>
        <v>1.0698275862068964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0.56000000000000005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14.448000000000002</v>
      </c>
      <c r="T11" s="42"/>
    </row>
    <row r="12" spans="1:20" s="26" customFormat="1" ht="16" x14ac:dyDescent="0.2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0.14439184952978057</v>
      </c>
      <c r="E12" s="127">
        <v>8.9999999999999993E-3</v>
      </c>
      <c r="F12" s="127">
        <f t="shared" si="0"/>
        <v>4.2929999999999991E-3</v>
      </c>
      <c r="G12" s="26">
        <f t="shared" si="6"/>
        <v>0.3</v>
      </c>
      <c r="H12" s="56">
        <f t="shared" si="6"/>
        <v>1.0698275862068964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90">
        <f>M11</f>
        <v>0.56000000000000005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14.448000000000002</v>
      </c>
    </row>
    <row r="13" spans="1:20" s="42" customFormat="1" ht="16" x14ac:dyDescent="0.2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0.14439184952978057</v>
      </c>
      <c r="E13" s="127">
        <v>8.9999999999999993E-3</v>
      </c>
      <c r="F13" s="127">
        <f t="shared" si="0"/>
        <v>4.2929999999999991E-3</v>
      </c>
      <c r="G13" s="21">
        <f t="shared" si="7"/>
        <v>0.3</v>
      </c>
      <c r="H13" s="22">
        <f t="shared" si="7"/>
        <v>1.0698275862068964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1">
        <f>M11</f>
        <v>0.56000000000000005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14.448000000000002</v>
      </c>
      <c r="T13" s="21"/>
    </row>
    <row r="14" spans="1:20" x14ac:dyDescent="0.2">
      <c r="H14" s="21"/>
      <c r="S14" s="118"/>
    </row>
    <row r="17" spans="1:20" s="42" customFormat="1" x14ac:dyDescent="0.2">
      <c r="A17" s="21"/>
      <c r="B17" s="21"/>
      <c r="C17" s="21"/>
      <c r="D17" s="21"/>
      <c r="E17" s="129"/>
      <c r="F17" s="129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21" spans="1:20" s="42" customFormat="1" x14ac:dyDescent="0.2">
      <c r="A21" s="21"/>
      <c r="B21" s="21"/>
      <c r="C21" s="21"/>
      <c r="D21" s="21"/>
      <c r="E21" s="129"/>
      <c r="F21" s="129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">
      <c r="A25" s="21"/>
      <c r="B25" s="21"/>
      <c r="C25" s="21"/>
      <c r="D25" s="21"/>
      <c r="E25" s="129"/>
      <c r="F25" s="129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">
      <c r="E29" s="124"/>
      <c r="F29" s="124"/>
      <c r="Q29" s="116"/>
      <c r="R29" s="116"/>
      <c r="S29" s="64"/>
    </row>
    <row r="33" spans="1:20" s="26" customFormat="1" x14ac:dyDescent="0.2">
      <c r="A33" s="21"/>
      <c r="B33" s="21"/>
      <c r="C33" s="21"/>
      <c r="D33" s="21"/>
      <c r="E33" s="129"/>
      <c r="F33" s="129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">
      <c r="A34" s="21"/>
      <c r="B34" s="21"/>
      <c r="C34" s="21"/>
      <c r="D34" s="21"/>
      <c r="E34" s="129"/>
      <c r="F34" s="129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">
      <c r="A41" s="21"/>
      <c r="B41" s="21"/>
      <c r="C41" s="21"/>
      <c r="D41" s="21"/>
      <c r="E41" s="129"/>
      <c r="F41" s="129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K5" sqref="K5"/>
    </sheetView>
  </sheetViews>
  <sheetFormatPr baseColWidth="10" defaultColWidth="8.83203125" defaultRowHeight="15" x14ac:dyDescent="0.2"/>
  <cols>
    <col min="1" max="1" width="21.5" style="21" customWidth="1"/>
    <col min="2" max="2" width="14.1640625" style="21" customWidth="1"/>
    <col min="3" max="3" width="11.6640625" style="81" customWidth="1"/>
    <col min="4" max="4" width="14.1640625" style="21" bestFit="1" customWidth="1"/>
    <col min="5" max="5" width="14.83203125" style="81" customWidth="1"/>
    <col min="6" max="6" width="17.6640625" style="21" bestFit="1" customWidth="1"/>
    <col min="7" max="7" width="20.33203125" style="21" customWidth="1"/>
    <col min="8" max="8" width="18.1640625" style="21" bestFit="1" customWidth="1"/>
    <col min="9" max="9" width="11.83203125" style="21" bestFit="1" customWidth="1"/>
    <col min="10" max="10" width="12.33203125" style="21" bestFit="1" customWidth="1"/>
    <col min="11" max="11" width="17.83203125" style="21" bestFit="1" customWidth="1"/>
    <col min="12" max="12" width="12" style="21" bestFit="1" customWidth="1"/>
    <col min="13" max="16384" width="8.83203125" style="21"/>
  </cols>
  <sheetData>
    <row r="1" spans="1:13" x14ac:dyDescent="0.2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">
      <c r="A3" s="55" t="s">
        <v>2</v>
      </c>
      <c r="B3" s="55" t="s">
        <v>117</v>
      </c>
      <c r="C3" s="85"/>
    </row>
    <row r="4" spans="1:13" s="30" customFormat="1" ht="16" thickBot="1" x14ac:dyDescent="0.25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ht="16" x14ac:dyDescent="0.2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ht="16" x14ac:dyDescent="0.2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7" thickBot="1" x14ac:dyDescent="0.25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ht="16" x14ac:dyDescent="0.2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ht="16" x14ac:dyDescent="0.2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7" thickBot="1" x14ac:dyDescent="0.25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ht="16" x14ac:dyDescent="0.2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ht="16" x14ac:dyDescent="0.2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7" thickBot="1" x14ac:dyDescent="0.25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workbookViewId="0">
      <selection activeCell="H30" sqref="H30"/>
    </sheetView>
  </sheetViews>
  <sheetFormatPr baseColWidth="10" defaultColWidth="8.83203125" defaultRowHeight="15" x14ac:dyDescent="0.2"/>
  <cols>
    <col min="2" max="2" width="14.5" customWidth="1"/>
    <col min="3" max="3" width="17.5" customWidth="1"/>
    <col min="4" max="4" width="15.5" customWidth="1"/>
    <col min="5" max="5" width="16" customWidth="1"/>
    <col min="6" max="6" width="16.33203125" customWidth="1"/>
    <col min="7" max="7" width="14.6640625" bestFit="1" customWidth="1"/>
  </cols>
  <sheetData>
    <row r="1" spans="1:8" x14ac:dyDescent="0.2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">
      <c r="A3" s="2" t="s">
        <v>2</v>
      </c>
      <c r="B3" s="2"/>
    </row>
    <row r="4" spans="1:8" s="30" customFormat="1" ht="16" thickBot="1" x14ac:dyDescent="0.25">
      <c r="A4" s="30" t="s">
        <v>3</v>
      </c>
      <c r="G4" s="29"/>
    </row>
    <row r="5" spans="1:8" x14ac:dyDescent="0.2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6" thickBot="1" x14ac:dyDescent="0.25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6" thickBot="1" x14ac:dyDescent="0.25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3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14.83203125" style="21" bestFit="1" customWidth="1"/>
    <col min="2" max="2" width="11.6640625" style="21" bestFit="1" customWidth="1"/>
    <col min="3" max="3" width="19.6640625" style="21" customWidth="1"/>
    <col min="4" max="4" width="12.6640625" style="21" bestFit="1" customWidth="1"/>
    <col min="5" max="5" width="10.6640625" style="21" bestFit="1" customWidth="1"/>
    <col min="6" max="6" width="18" style="21" bestFit="1" customWidth="1"/>
    <col min="7" max="7" width="12.1640625" style="21" bestFit="1" customWidth="1"/>
    <col min="8" max="8" width="12.1640625" style="21" customWidth="1"/>
    <col min="9" max="9" width="19" style="21" bestFit="1" customWidth="1"/>
    <col min="10" max="16384" width="8.83203125" style="21"/>
  </cols>
  <sheetData>
    <row r="1" spans="1:12" x14ac:dyDescent="0.2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">
      <c r="A3" s="55" t="s">
        <v>2</v>
      </c>
      <c r="I3" s="21" t="s">
        <v>103</v>
      </c>
    </row>
    <row r="4" spans="1:12" s="30" customFormat="1" ht="16" thickBot="1" x14ac:dyDescent="0.25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ht="16" x14ac:dyDescent="0.2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ht="16" x14ac:dyDescent="0.2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7" thickBot="1" x14ac:dyDescent="0.25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">
      <c r="A9" s="21" t="s">
        <v>142</v>
      </c>
      <c r="B9" s="43">
        <v>0</v>
      </c>
      <c r="C9" s="76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6" thickBot="1" x14ac:dyDescent="0.25">
      <c r="A10" s="30" t="s">
        <v>143</v>
      </c>
      <c r="B10" s="44">
        <v>0</v>
      </c>
      <c r="C10" s="77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">
      <c r="A12" s="21" t="s">
        <v>145</v>
      </c>
      <c r="B12" s="43">
        <v>0</v>
      </c>
      <c r="C12" s="76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6" thickBot="1" x14ac:dyDescent="0.25">
      <c r="A13" s="30" t="s">
        <v>146</v>
      </c>
      <c r="B13" s="44">
        <v>0</v>
      </c>
      <c r="C13" s="77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3"/>
  <sheetViews>
    <sheetView topLeftCell="B1" workbookViewId="0">
      <selection activeCell="I8" sqref="I8"/>
    </sheetView>
  </sheetViews>
  <sheetFormatPr baseColWidth="10" defaultColWidth="8.83203125" defaultRowHeight="15" x14ac:dyDescent="0.2"/>
  <cols>
    <col min="1" max="1" width="24.83203125" customWidth="1"/>
    <col min="2" max="5" width="11.6640625" customWidth="1"/>
    <col min="6" max="6" width="14.83203125" customWidth="1"/>
    <col min="7" max="7" width="27.5" bestFit="1" customWidth="1"/>
    <col min="8" max="8" width="15.33203125" customWidth="1"/>
    <col min="9" max="10" width="11.33203125" customWidth="1"/>
    <col min="11" max="11" width="18.5" customWidth="1"/>
  </cols>
  <sheetData>
    <row r="1" spans="1:14" x14ac:dyDescent="0.2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180</v>
      </c>
      <c r="M2" s="3" t="s">
        <v>173</v>
      </c>
      <c r="N2" s="3" t="s">
        <v>173</v>
      </c>
    </row>
    <row r="3" spans="1:14" s="3" customFormat="1" x14ac:dyDescent="0.2">
      <c r="A3" s="3" t="s">
        <v>2</v>
      </c>
    </row>
    <row r="4" spans="1:14" s="21" customFormat="1" x14ac:dyDescent="0.2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177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">
      <c r="A5" s="21" t="s">
        <v>178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177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">
      <c r="A6" s="21" t="s">
        <v>179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177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6" thickBot="1" x14ac:dyDescent="0.25">
      <c r="A7" s="30" t="s">
        <v>176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3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177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1">
        <f>J8*0.0015</f>
        <v>1.8600000000000001E-3</v>
      </c>
      <c r="M8" s="132">
        <v>2</v>
      </c>
      <c r="N8" s="42">
        <v>0</v>
      </c>
    </row>
    <row r="9" spans="1:14" x14ac:dyDescent="0.2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2">
        <f t="shared" si="1"/>
        <v>1.8600000000000001E-3</v>
      </c>
      <c r="M9">
        <f>M8</f>
        <v>2</v>
      </c>
      <c r="N9">
        <f>N8</f>
        <v>0</v>
      </c>
    </row>
    <row r="10" spans="1:14" s="30" customFormat="1" ht="16" thickBot="1" x14ac:dyDescent="0.25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3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177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1">
        <f>J11*0.0015</f>
        <v>1.8600000000000001E-3</v>
      </c>
      <c r="M11" s="132">
        <v>2</v>
      </c>
      <c r="N11" s="42">
        <v>0</v>
      </c>
    </row>
    <row r="12" spans="1:14" x14ac:dyDescent="0.2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2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6" thickBot="1" x14ac:dyDescent="0.25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3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Coke</vt:lpstr>
      <vt:lpstr>Lime</vt:lpstr>
      <vt:lpstr>Pellets</vt:lpstr>
      <vt:lpstr>Sinter</vt:lpstr>
      <vt:lpstr>Iron</vt:lpstr>
      <vt:lpstr>Steel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2019-09-18T15:54:13Z</dcterms:modified>
</cp:coreProperties>
</file>