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wajju/GitHub/BlackBlox/scenarios-examples/cement/data/units/"/>
    </mc:Choice>
  </mc:AlternateContent>
  <xr:revisionPtr revIDLastSave="0" documentId="13_ncr:1_{DDA42BA1-22A1-3241-833F-47F7CCF1805D}" xr6:coauthVersionLast="47" xr6:coauthVersionMax="47" xr10:uidLastSave="{00000000-0000-0000-0000-000000000000}"/>
  <bookViews>
    <workbookView xWindow="13860" yWindow="1440" windowWidth="21680" windowHeight="17540" tabRatio="598" activeTab="5" xr2:uid="{00000000-000D-0000-FFFF-FFFF00000000}"/>
  </bookViews>
  <sheets>
    <sheet name="cement_meal" sheetId="25" r:id="rId1"/>
    <sheet name="cement_kiln-system" sheetId="32" r:id="rId2"/>
    <sheet name="cement_cooler" sheetId="31" r:id="rId3"/>
    <sheet name="cement_mixer" sheetId="29" r:id="rId4"/>
    <sheet name="concrete-vol" sheetId="34" r:id="rId5"/>
    <sheet name="concrete_demo" sheetId="35" r:id="rId6"/>
    <sheet name="Re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4" l="1"/>
  <c r="H3" i="34"/>
  <c r="M3" i="34" s="1"/>
  <c r="C4" i="29"/>
  <c r="K3" i="32"/>
  <c r="I4" i="25"/>
  <c r="C4" i="25"/>
  <c r="Q46" i="34"/>
  <c r="J46" i="34"/>
  <c r="H46" i="34"/>
  <c r="M46" i="34" s="1"/>
  <c r="Q45" i="34"/>
  <c r="J45" i="34"/>
  <c r="H45" i="34"/>
  <c r="M45" i="34" s="1"/>
  <c r="K44" i="34"/>
  <c r="J44" i="34"/>
  <c r="H44" i="34"/>
  <c r="M44" i="34" s="1"/>
  <c r="C14" i="29"/>
  <c r="C13" i="29"/>
  <c r="C32" i="25"/>
  <c r="C31" i="25"/>
  <c r="I32" i="25"/>
  <c r="I31" i="25"/>
  <c r="K44" i="32"/>
  <c r="K43" i="32"/>
  <c r="E12" i="29"/>
  <c r="C12" i="29"/>
  <c r="C30" i="25"/>
  <c r="K3" i="34" l="1"/>
  <c r="K46" i="34"/>
  <c r="K45" i="34"/>
  <c r="C29" i="25"/>
  <c r="C10" i="29"/>
  <c r="C11" i="29"/>
  <c r="E11" i="29"/>
  <c r="E10" i="29"/>
  <c r="C28" i="25"/>
  <c r="K35" i="32" l="1"/>
  <c r="C6" i="29" l="1"/>
  <c r="C5" i="29"/>
  <c r="C9" i="29"/>
  <c r="C8" i="29"/>
  <c r="C7" i="29"/>
  <c r="I9" i="25"/>
  <c r="C9" i="25"/>
  <c r="I8" i="25"/>
  <c r="C8" i="25"/>
  <c r="K34" i="32"/>
  <c r="K33" i="32"/>
  <c r="K32" i="32"/>
  <c r="K31" i="32"/>
  <c r="K30" i="32"/>
  <c r="K29" i="32"/>
  <c r="K28" i="32"/>
  <c r="K27" i="32"/>
  <c r="K26" i="32"/>
  <c r="K25" i="32"/>
  <c r="K24" i="32"/>
  <c r="K23" i="32"/>
  <c r="K22" i="32"/>
  <c r="K21" i="32"/>
  <c r="K20" i="32"/>
  <c r="K19" i="32"/>
  <c r="K14" i="32"/>
  <c r="K13" i="32"/>
  <c r="K12" i="32"/>
  <c r="K11" i="32"/>
  <c r="K10" i="32"/>
  <c r="K9" i="32"/>
  <c r="K8" i="32"/>
  <c r="K7" i="32"/>
  <c r="K6" i="32"/>
  <c r="K5" i="32"/>
  <c r="K4" i="32"/>
  <c r="I7" i="25"/>
  <c r="I6" i="25"/>
  <c r="I5" i="25"/>
  <c r="C7" i="25"/>
  <c r="C6" i="25"/>
  <c r="I27" i="25" l="1"/>
  <c r="C27" i="25"/>
  <c r="I26" i="25"/>
  <c r="C26" i="25"/>
  <c r="H28" i="34"/>
  <c r="J28" i="34"/>
  <c r="K28" i="34"/>
  <c r="M28" i="34"/>
  <c r="Q28" i="34"/>
  <c r="H29" i="34"/>
  <c r="M29" i="34" s="1"/>
  <c r="J29" i="34"/>
  <c r="K29" i="34"/>
  <c r="Q29" i="34"/>
  <c r="H30" i="34"/>
  <c r="K30" i="34" s="1"/>
  <c r="J30" i="34"/>
  <c r="Q30" i="34"/>
  <c r="H31" i="34"/>
  <c r="M31" i="34" s="1"/>
  <c r="J31" i="34"/>
  <c r="Q31" i="34"/>
  <c r="K31" i="34" l="1"/>
  <c r="M30" i="34"/>
  <c r="I25" i="25" l="1"/>
  <c r="C25" i="25"/>
  <c r="I24" i="25"/>
  <c r="C24" i="25"/>
  <c r="F42" i="34"/>
  <c r="D42" i="34"/>
  <c r="B42" i="34"/>
  <c r="C42" i="34" s="1"/>
  <c r="B38" i="34"/>
  <c r="C38" i="34" s="1"/>
  <c r="H42" i="34" l="1"/>
  <c r="M42" i="34" s="1"/>
  <c r="H38" i="34"/>
  <c r="M38" i="34" s="1"/>
  <c r="J38" i="34" s="1"/>
  <c r="Q32" i="34"/>
  <c r="Q33" i="34"/>
  <c r="K38" i="34" l="1"/>
  <c r="K42" i="34"/>
  <c r="J42" i="34" s="1"/>
  <c r="I23" i="25"/>
  <c r="C23" i="25"/>
  <c r="I22" i="25"/>
  <c r="C22" i="25"/>
  <c r="B37" i="34"/>
  <c r="C37" i="34" s="1"/>
  <c r="F41" i="34"/>
  <c r="D41" i="34"/>
  <c r="B41" i="34"/>
  <c r="C41" i="34" s="1"/>
  <c r="H37" i="34" l="1"/>
  <c r="M37" i="34" s="1"/>
  <c r="J37" i="34" s="1"/>
  <c r="H41" i="34"/>
  <c r="M41" i="34" s="1"/>
  <c r="H30" i="32"/>
  <c r="H28" i="32"/>
  <c r="H26" i="32"/>
  <c r="H24" i="32"/>
  <c r="H22" i="32"/>
  <c r="H20" i="32"/>
  <c r="H18" i="32"/>
  <c r="H16" i="32"/>
  <c r="K37" i="34" l="1"/>
  <c r="K41" i="34"/>
  <c r="J41" i="34" s="1"/>
  <c r="F43" i="34"/>
  <c r="D43" i="34"/>
  <c r="C43" i="34"/>
  <c r="B43" i="34"/>
  <c r="H43" i="34" s="1"/>
  <c r="M43" i="34" s="1"/>
  <c r="F40" i="34"/>
  <c r="D40" i="34"/>
  <c r="C40" i="34"/>
  <c r="B40" i="34"/>
  <c r="H40" i="34" s="1"/>
  <c r="M40" i="34" s="1"/>
  <c r="J39" i="34"/>
  <c r="H39" i="34"/>
  <c r="M39" i="34" s="1"/>
  <c r="J36" i="34"/>
  <c r="H36" i="34"/>
  <c r="M36" i="34" s="1"/>
  <c r="J35" i="34"/>
  <c r="H35" i="34"/>
  <c r="M35" i="34" s="1"/>
  <c r="J34" i="34"/>
  <c r="H34" i="34"/>
  <c r="M34" i="34" s="1"/>
  <c r="K34" i="34" l="1"/>
  <c r="K39" i="34"/>
  <c r="K40" i="34"/>
  <c r="J40" i="34" s="1"/>
  <c r="K43" i="34"/>
  <c r="J43" i="34" s="1"/>
  <c r="K35" i="34"/>
  <c r="K36" i="34"/>
  <c r="I21" i="25"/>
  <c r="C21" i="25"/>
  <c r="I20" i="25"/>
  <c r="C20" i="25"/>
  <c r="I19" i="25"/>
  <c r="C19" i="25"/>
  <c r="I18" i="25"/>
  <c r="C18" i="25"/>
  <c r="I17" i="25"/>
  <c r="C17" i="25"/>
  <c r="I16" i="25"/>
  <c r="C16" i="25"/>
  <c r="J24" i="34" l="1"/>
  <c r="J4" i="34" l="1"/>
  <c r="F21" i="34" l="1"/>
  <c r="D21" i="34"/>
  <c r="C21" i="34"/>
  <c r="B21" i="34"/>
  <c r="H21" i="34" s="1"/>
  <c r="M21" i="34" s="1"/>
  <c r="F20" i="34"/>
  <c r="D20" i="34"/>
  <c r="C20" i="34"/>
  <c r="B20" i="34"/>
  <c r="K21" i="34" l="1"/>
  <c r="J21" i="34" s="1"/>
  <c r="H20" i="34"/>
  <c r="M20" i="34" s="1"/>
  <c r="H11" i="34"/>
  <c r="M11" i="34" s="1"/>
  <c r="J11" i="34" s="1"/>
  <c r="H10" i="34"/>
  <c r="M10" i="34" s="1"/>
  <c r="J10" i="34" s="1"/>
  <c r="K20" i="34" l="1"/>
  <c r="J20" i="34" s="1"/>
  <c r="K11" i="34"/>
  <c r="K10" i="34"/>
  <c r="F33" i="34"/>
  <c r="D33" i="34"/>
  <c r="C33" i="34"/>
  <c r="B33" i="34"/>
  <c r="H33" i="34" s="1"/>
  <c r="M33" i="34" s="1"/>
  <c r="F32" i="34"/>
  <c r="D32" i="34"/>
  <c r="C32" i="34"/>
  <c r="B32" i="34"/>
  <c r="F27" i="34"/>
  <c r="D27" i="34"/>
  <c r="C27" i="34"/>
  <c r="B27" i="34"/>
  <c r="H27" i="34" s="1"/>
  <c r="M27" i="34" s="1"/>
  <c r="F26" i="34"/>
  <c r="D26" i="34"/>
  <c r="C26" i="34"/>
  <c r="B26" i="34"/>
  <c r="J25" i="34"/>
  <c r="H25" i="34"/>
  <c r="M25" i="34" s="1"/>
  <c r="H24" i="34"/>
  <c r="M24" i="34" s="1"/>
  <c r="K18" i="32"/>
  <c r="K17" i="32"/>
  <c r="K16" i="32"/>
  <c r="K15" i="32"/>
  <c r="K33" i="34" l="1"/>
  <c r="J33" i="34" s="1"/>
  <c r="H32" i="34"/>
  <c r="M32" i="34" s="1"/>
  <c r="K27" i="34"/>
  <c r="J27" i="34" s="1"/>
  <c r="H26" i="34"/>
  <c r="M26" i="34" s="1"/>
  <c r="K25" i="34"/>
  <c r="K24" i="34"/>
  <c r="I15" i="25"/>
  <c r="C15" i="25"/>
  <c r="I14" i="25"/>
  <c r="C14" i="25"/>
  <c r="I13" i="25"/>
  <c r="C13" i="25"/>
  <c r="I12" i="25"/>
  <c r="C12" i="25"/>
  <c r="K26" i="34" l="1"/>
  <c r="J26" i="34" s="1"/>
  <c r="K32" i="34"/>
  <c r="J32" i="34" s="1"/>
  <c r="F23" i="34" l="1"/>
  <c r="D23" i="34"/>
  <c r="B23" i="34"/>
  <c r="F19" i="34"/>
  <c r="D19" i="34"/>
  <c r="C19" i="34"/>
  <c r="B19" i="34"/>
  <c r="F17" i="34"/>
  <c r="D17" i="34"/>
  <c r="C17" i="34"/>
  <c r="B17" i="34"/>
  <c r="H17" i="34" s="1"/>
  <c r="F22" i="34"/>
  <c r="D22" i="34"/>
  <c r="B22" i="34"/>
  <c r="C22" i="34" s="1"/>
  <c r="F18" i="34"/>
  <c r="D18" i="34"/>
  <c r="C18" i="34"/>
  <c r="B18" i="34"/>
  <c r="F16" i="34"/>
  <c r="D16" i="34"/>
  <c r="C16" i="34"/>
  <c r="B16" i="34"/>
  <c r="H16" i="34" s="1"/>
  <c r="M16" i="34" s="1"/>
  <c r="H23" i="34" l="1"/>
  <c r="M23" i="34" s="1"/>
  <c r="C23" i="34"/>
  <c r="H19" i="34"/>
  <c r="M19" i="34" s="1"/>
  <c r="M17" i="34"/>
  <c r="K17" i="34"/>
  <c r="J17" i="34" s="1"/>
  <c r="K16" i="34"/>
  <c r="J16" i="34" s="1"/>
  <c r="H18" i="34"/>
  <c r="M18" i="34" s="1"/>
  <c r="H22" i="34"/>
  <c r="M22" i="34" s="1"/>
  <c r="K18" i="34" l="1"/>
  <c r="J18" i="34" s="1"/>
  <c r="K23" i="34"/>
  <c r="J23" i="34" s="1"/>
  <c r="K22" i="34"/>
  <c r="J22" i="34" s="1"/>
  <c r="K19" i="34"/>
  <c r="J19" i="34" s="1"/>
  <c r="I11" i="25" l="1"/>
  <c r="I10" i="25"/>
  <c r="C11" i="25"/>
  <c r="C10" i="25"/>
  <c r="B15" i="34" l="1"/>
  <c r="H15" i="34" s="1"/>
  <c r="M15" i="34" s="1"/>
  <c r="J15" i="34" s="1"/>
  <c r="B14" i="34"/>
  <c r="C14" i="34" s="1"/>
  <c r="B13" i="34"/>
  <c r="C13" i="34" s="1"/>
  <c r="B12" i="34"/>
  <c r="C12" i="34" s="1"/>
  <c r="H13" i="34" l="1"/>
  <c r="M13" i="34" s="1"/>
  <c r="J13" i="34" s="1"/>
  <c r="H14" i="34"/>
  <c r="M14" i="34" s="1"/>
  <c r="J14" i="34" s="1"/>
  <c r="C15" i="34"/>
  <c r="K15" i="34" s="1"/>
  <c r="H12" i="34"/>
  <c r="M12" i="34" s="1"/>
  <c r="J12" i="34" s="1"/>
  <c r="K13" i="34" l="1"/>
  <c r="K14" i="34"/>
  <c r="K12" i="34"/>
  <c r="H8" i="34"/>
  <c r="H9" i="34"/>
  <c r="B7" i="34"/>
  <c r="C7" i="34" s="1"/>
  <c r="B6" i="34"/>
  <c r="C6" i="34" s="1"/>
  <c r="H6" i="34" l="1"/>
  <c r="K9" i="34"/>
  <c r="K8" i="34"/>
  <c r="J7" i="34" l="1"/>
  <c r="J6" i="34"/>
  <c r="M9" i="34" l="1"/>
  <c r="J9" i="34" s="1"/>
  <c r="M8" i="34"/>
  <c r="J8" i="34" s="1"/>
  <c r="H7" i="34"/>
  <c r="H5" i="34"/>
  <c r="K5" i="34" s="1"/>
  <c r="H4" i="34"/>
  <c r="J5" i="34"/>
  <c r="M4" i="34" l="1"/>
  <c r="K4" i="34"/>
  <c r="M7" i="34"/>
  <c r="K7" i="34"/>
  <c r="M5" i="34"/>
  <c r="C5" i="25"/>
  <c r="M6" i="34" l="1"/>
  <c r="K6" i="34"/>
  <c r="B21" i="7" l="1"/>
  <c r="B20" i="7" l="1"/>
  <c r="B19" i="7" l="1"/>
  <c r="C7" i="7" s="1"/>
  <c r="B18" i="7"/>
  <c r="B10" i="7"/>
  <c r="C6" i="7" l="1"/>
  <c r="C10" i="7"/>
  <c r="C4" i="7"/>
  <c r="C8" i="7"/>
  <c r="C11" i="7"/>
  <c r="C5" i="7"/>
  <c r="C9" i="7"/>
  <c r="C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" authorId="0" shapeId="0" xr:uid="{896D3763-987F-A045-9D93-964635FA09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total cement * maximum theoretical  CO2 uptake in kg co2 per kg of cement (CEM 1 - from EN 16757) * carbonation amount
</t>
        </r>
      </text>
    </comment>
    <comment ref="M6" authorId="0" shapeId="0" xr:uid="{D2EBFBB0-7EF6-434E-9FB4-00E2A70DBE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+ 0.09 g/m3 concrete for CO2 injection equipment (Monkman &amp; MacDonald 2017)</t>
        </r>
      </text>
    </comment>
    <comment ref="M7" authorId="0" shapeId="0" xr:uid="{1DB11D49-F828-CD4D-87D5-BFB9BE0001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+ 0.09 g/m3 concrete for CO2 injection equipment (Monkman &amp; MacDonald 2017)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<sst xmlns="http://schemas.openxmlformats.org/spreadsheetml/2006/main" count="395" uniqueCount="168">
  <si>
    <t>meta-notes</t>
  </si>
  <si>
    <t>electricity demand</t>
  </si>
  <si>
    <t>biofuel cofire rate</t>
  </si>
  <si>
    <t>biofuel type</t>
  </si>
  <si>
    <t>fossil fuel type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</si>
  <si>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</si>
  <si>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</si>
  <si>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</si>
  <si>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</si>
  <si>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</si>
  <si>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</si>
  <si>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</si>
  <si>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</si>
  <si>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</si>
  <si>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</si>
  <si>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</si>
  <si>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</si>
  <si>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</si>
  <si>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</si>
  <si>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</si>
  <si>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</si>
  <si>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</si>
  <si>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</si>
  <si>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</si>
  <si>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meta-units</t>
  </si>
  <si>
    <t>short ton in metric tonnes</t>
  </si>
  <si>
    <t>Scenario</t>
  </si>
  <si>
    <t>fuel energy demand</t>
  </si>
  <si>
    <t xml:space="preserve"> </t>
  </si>
  <si>
    <t>CaCO3</t>
  </si>
  <si>
    <t>kg / kg meal</t>
  </si>
  <si>
    <t>GJ/t meal</t>
  </si>
  <si>
    <t>calcination eff</t>
  </si>
  <si>
    <t>Clinker</t>
  </si>
  <si>
    <t>kg clinker/kg cement</t>
  </si>
  <si>
    <t>meal CaCO3</t>
  </si>
  <si>
    <t>kg/kg meal in</t>
  </si>
  <si>
    <t>clinker recovery eff</t>
  </si>
  <si>
    <t>gypsum</t>
  </si>
  <si>
    <t>kg gypsum/kg cement</t>
  </si>
  <si>
    <t>fly ash</t>
  </si>
  <si>
    <t>kg fly ash/kg cement</t>
  </si>
  <si>
    <t>clinker heat</t>
  </si>
  <si>
    <t>GJ / t clinker</t>
  </si>
  <si>
    <t>heat recovery eff</t>
  </si>
  <si>
    <t>coal bituminous - IPCC</t>
  </si>
  <si>
    <t>Clay</t>
  </si>
  <si>
    <t>Marl</t>
  </si>
  <si>
    <t>blast furnace slag</t>
  </si>
  <si>
    <t>kg blast furnace slag/kg cement</t>
  </si>
  <si>
    <t>meal2clinker</t>
  </si>
  <si>
    <t>kg meal/kg clinker</t>
  </si>
  <si>
    <t>Sand</t>
  </si>
  <si>
    <t>Iron Ore</t>
  </si>
  <si>
    <t>Bauxite</t>
  </si>
  <si>
    <t>GJ/t clinker out</t>
  </si>
  <si>
    <t>Unspecified Mineral</t>
  </si>
  <si>
    <t>cement use</t>
  </si>
  <si>
    <t>sand use</t>
  </si>
  <si>
    <t>aggregate use</t>
  </si>
  <si>
    <t>water use</t>
  </si>
  <si>
    <t>CO2 use</t>
  </si>
  <si>
    <t>electricity use</t>
  </si>
  <si>
    <t>meta-source</t>
  </si>
  <si>
    <t>density</t>
  </si>
  <si>
    <t>t/m3</t>
  </si>
  <si>
    <t>slag-ash use</t>
  </si>
  <si>
    <t>BASE</t>
  </si>
  <si>
    <t>03AC</t>
  </si>
  <si>
    <t>03AC-BIO</t>
  </si>
  <si>
    <t>BASE-BIO</t>
  </si>
  <si>
    <t>10AC</t>
  </si>
  <si>
    <t>10AC-BIO</t>
  </si>
  <si>
    <t>Carbonation</t>
  </si>
  <si>
    <t>% of calc. CO2</t>
  </si>
  <si>
    <t>max theoretical CO2 uptake</t>
  </si>
  <si>
    <t>CO2 lost</t>
  </si>
  <si>
    <t>CO2 uptake eff</t>
  </si>
  <si>
    <t>CO2 to cement/t CO2 in</t>
  </si>
  <si>
    <t>electricity included in kiln system</t>
  </si>
  <si>
    <t>t / m3 concret</t>
  </si>
  <si>
    <t>t in concrete / m3 concret</t>
  </si>
  <si>
    <t>t lost/m3 concrete</t>
  </si>
  <si>
    <t>GJ/m3 concrete</t>
  </si>
  <si>
    <t>t CO2 / t cement</t>
  </si>
  <si>
    <t>km (for materials)</t>
  </si>
  <si>
    <t>factory water use</t>
  </si>
  <si>
    <t>t H2O / t concretre</t>
  </si>
  <si>
    <t>admixture use</t>
  </si>
  <si>
    <t>transport km</t>
  </si>
  <si>
    <t>CO2 origin</t>
  </si>
  <si>
    <t>% biogenic/atmospheric</t>
  </si>
  <si>
    <t>charcoal - Missouri</t>
  </si>
  <si>
    <t>10AC_StrLoss</t>
  </si>
  <si>
    <t>10AC-BIO_StrLoss</t>
  </si>
  <si>
    <t>10AC-BIO_StrGain</t>
  </si>
  <si>
    <t>10AC_StrGain</t>
  </si>
  <si>
    <t>2050-BASE</t>
  </si>
  <si>
    <t>2050-BASE-BIO</t>
  </si>
  <si>
    <t>the report was done in canada and this is the canadian standard volume</t>
  </si>
  <si>
    <t>CMU</t>
  </si>
  <si>
    <t>CMU15AC</t>
  </si>
  <si>
    <t>Shao2014</t>
  </si>
  <si>
    <t>CMU-BIO</t>
  </si>
  <si>
    <t>CMU15AC-BIO</t>
  </si>
  <si>
    <t>CMU15AC-BIO_StrGain</t>
  </si>
  <si>
    <t>CMU15AC_StrGain</t>
  </si>
  <si>
    <t>recycled aggregate</t>
  </si>
  <si>
    <t>% of aggregate</t>
  </si>
  <si>
    <t>waste cofire rate</t>
  </si>
  <si>
    <t>2018-RM</t>
  </si>
  <si>
    <t>2018-RM-BIO</t>
  </si>
  <si>
    <t>2018-CMU</t>
  </si>
  <si>
    <t>2018-CMU-BIO</t>
  </si>
  <si>
    <t>2050-RM</t>
  </si>
  <si>
    <t>2050-RM-BIO</t>
  </si>
  <si>
    <t>2050-CMU</t>
  </si>
  <si>
    <t>2050-CMU-BIO</t>
  </si>
  <si>
    <t>waste fuel type</t>
  </si>
  <si>
    <t>biosludge</t>
  </si>
  <si>
    <t>waste 2018</t>
  </si>
  <si>
    <t>waste 2050</t>
  </si>
  <si>
    <t>10AC_bioAC</t>
  </si>
  <si>
    <t>10AC-BIO_bioAC</t>
  </si>
  <si>
    <t>CMU15AC_bioAC</t>
  </si>
  <si>
    <t>CMU15AC-BIO_bioAC</t>
  </si>
  <si>
    <t>is CMU</t>
  </si>
  <si>
    <t>binary</t>
  </si>
  <si>
    <t>2050-BASE-opt</t>
  </si>
  <si>
    <t>2050-BASE-BIO-opt</t>
  </si>
  <si>
    <t>2050-RM-opt</t>
  </si>
  <si>
    <t>2050-RM-BIO-opt</t>
  </si>
  <si>
    <t>2050-CMU-opt</t>
  </si>
  <si>
    <t>2050-CMU-BIO-opt</t>
  </si>
  <si>
    <t>waste 2050 opt</t>
  </si>
  <si>
    <t>2050-RM-opt_StrGain</t>
  </si>
  <si>
    <t>2050-CMU-opt_StrGain</t>
  </si>
  <si>
    <t>water transport</t>
  </si>
  <si>
    <t>2050-10AC-opt_StrGain</t>
  </si>
  <si>
    <t>2050-CMU15AC-opt_StrGain</t>
  </si>
  <si>
    <t>binary - unused</t>
  </si>
  <si>
    <t>2050-10AC-BIO-opt_StrGain</t>
  </si>
  <si>
    <t>2050-CMU15AC-BIO-opt_StrGain</t>
  </si>
  <si>
    <t>2018-BASE</t>
  </si>
  <si>
    <t>2018-BASE-BIO</t>
  </si>
  <si>
    <t>IEAGHG</t>
  </si>
  <si>
    <t>IEAGHG biomix</t>
  </si>
  <si>
    <t>IEAGHG alternative mix</t>
  </si>
  <si>
    <t>CEMCAP</t>
  </si>
  <si>
    <t>coal - CEMCAP</t>
  </si>
  <si>
    <t>coal - IEAGHG</t>
  </si>
  <si>
    <t>TEA-IEAGHGMIX</t>
  </si>
  <si>
    <t>TEA-BASE</t>
  </si>
  <si>
    <t>TEA-CHARMIX</t>
  </si>
  <si>
    <t>TEA-WASTE</t>
  </si>
  <si>
    <t>cement content</t>
  </si>
  <si>
    <t>max CO2 uptake</t>
  </si>
  <si>
    <t>demo uptake</t>
  </si>
  <si>
    <t>CO2 emitted</t>
  </si>
  <si>
    <t>concrete density</t>
  </si>
  <si>
    <t>t cement / m3 concrete</t>
  </si>
  <si>
    <t>% calcination CO2</t>
  </si>
  <si>
    <t>CO2 / t demolished</t>
  </si>
  <si>
    <t>TEA-FUTURE-LO</t>
  </si>
  <si>
    <t>TEA-FUTURE-HI</t>
  </si>
  <si>
    <t>CHAR</t>
  </si>
  <si>
    <t>COAL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</si>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</sst>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ill="1" applyBorder="1"/>
    <xf numFmtId="166" fontId="3" fillId="0" borderId="0" xfId="1" applyNumberFormat="1" applyBorder="1"/>
    <xf numFmtId="0" fontId="7" fillId="0" borderId="0" xfId="2" applyFont="1" applyBorder="1"/>
    <xf numFmtId="0" fontId="8" fillId="0" borderId="0" xfId="2" applyFont="1" applyBorder="1"/>
    <xf numFmtId="166" fontId="0" fillId="0" borderId="0" xfId="0" applyNumberFormat="1"/>
    <xf numFmtId="0" fontId="3" fillId="0" borderId="0" xfId="0" applyFont="1"/>
    <xf numFmtId="0" fontId="10" fillId="0" borderId="0" xfId="0" applyFont="1"/>
    <xf numFmtId="0" fontId="0" fillId="0" borderId="0" xfId="0" applyFont="1"/>
    <xf numFmtId="0" fontId="2" fillId="0" borderId="0" xfId="2" applyFont="1" applyBorder="1"/>
    <xf numFmtId="0" fontId="0" fillId="0" borderId="0" xfId="0" applyFont="1" applyFill="1" applyBorder="1"/>
    <xf numFmtId="9" fontId="0" fillId="0" borderId="0" xfId="3" applyFont="1"/>
    <xf numFmtId="164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7" fontId="0" fillId="0" borderId="0" xfId="3" applyNumberFormat="1" applyFont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7" fillId="0" borderId="0" xfId="2" applyFont="1" applyBorder="1" applyAlignment="1">
      <alignment wrapText="1"/>
    </xf>
    <xf numFmtId="0" fontId="3" fillId="0" borderId="0" xfId="0" applyFont="1" applyAlignment="1">
      <alignment wrapText="1"/>
    </xf>
    <xf numFmtId="0" fontId="9" fillId="0" borderId="0" xfId="2" applyFont="1" applyBorder="1" applyAlignment="1">
      <alignment wrapText="1"/>
    </xf>
    <xf numFmtId="0" fontId="3" fillId="0" borderId="0" xfId="1" applyFont="1" applyAlignment="1">
      <alignment wrapText="1"/>
    </xf>
    <xf numFmtId="0" fontId="9" fillId="0" borderId="0" xfId="2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1" fillId="0" borderId="0" xfId="0" applyFont="1"/>
    <xf numFmtId="165" fontId="0" fillId="0" borderId="0" xfId="0" applyNumberFormat="1"/>
    <xf numFmtId="164" fontId="0" fillId="0" borderId="0" xfId="0" applyNumberFormat="1"/>
    <xf numFmtId="0" fontId="8" fillId="0" borderId="0" xfId="2" applyFont="1" applyBorder="1" applyAlignment="1">
      <alignment wrapText="1"/>
    </xf>
    <xf numFmtId="0" fontId="8" fillId="0" borderId="0" xfId="2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0" xfId="2" applyFont="1"/>
    <xf numFmtId="0" fontId="2" fillId="0" borderId="0" xfId="2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ColWidth="11.5" defaultRowHeight="15" x14ac:dyDescent="0.2"/>
  <cols>
    <col min="1" max="1" width="21.5" customWidth="1"/>
    <col min="8" max="8" width="20.83203125" customWidth="1"/>
  </cols>
  <sheetData>
    <row r="1" spans="1:10" x14ac:dyDescent="0.2">
      <c r="A1" s="21" t="s">
        <v>26</v>
      </c>
      <c r="B1" s="16" t="s">
        <v>29</v>
      </c>
      <c r="C1" s="16" t="s">
        <v>46</v>
      </c>
      <c r="D1" t="s">
        <v>47</v>
      </c>
      <c r="E1" t="s">
        <v>52</v>
      </c>
      <c r="F1" t="s">
        <v>53</v>
      </c>
      <c r="G1" t="s">
        <v>54</v>
      </c>
      <c r="H1" t="s">
        <v>56</v>
      </c>
      <c r="I1" s="19" t="s">
        <v>1</v>
      </c>
      <c r="J1" s="19" t="s">
        <v>89</v>
      </c>
    </row>
    <row r="2" spans="1:10" x14ac:dyDescent="0.2">
      <c r="A2" s="22" t="s">
        <v>24</v>
      </c>
      <c r="B2" s="16" t="s">
        <v>30</v>
      </c>
      <c r="C2" s="16" t="s">
        <v>30</v>
      </c>
      <c r="D2" s="16" t="s">
        <v>30</v>
      </c>
      <c r="E2" s="16"/>
      <c r="F2" s="16"/>
      <c r="G2" s="16"/>
      <c r="H2" s="16"/>
      <c r="I2" s="19" t="s">
        <v>31</v>
      </c>
    </row>
    <row r="3" spans="1:10" x14ac:dyDescent="0.2">
      <c r="A3" s="22" t="s">
        <v>0</v>
      </c>
      <c r="B3" s="16"/>
      <c r="C3" s="16"/>
      <c r="D3" s="16"/>
      <c r="E3" s="16"/>
      <c r="F3" s="16"/>
      <c r="G3" s="16"/>
      <c r="H3" s="16"/>
    </row>
    <row r="4" spans="1:10" x14ac:dyDescent="0.2">
      <c r="A4" s="19" t="s">
        <v>167</v>
      </c>
      <c r="B4">
        <v>0.77400000000000002</v>
      </c>
      <c r="C4">
        <f>1-SUM(B4, D4:G4)</f>
        <v>3.4699999999999953E-2</v>
      </c>
      <c r="D4">
        <v>0</v>
      </c>
      <c r="E4">
        <v>0.13500000000000001</v>
      </c>
      <c r="F4">
        <v>2.3199999999999998E-2</v>
      </c>
      <c r="G4">
        <v>3.3099999999999997E-2</v>
      </c>
      <c r="H4">
        <v>0</v>
      </c>
      <c r="I4">
        <f>12*Ref!$B$18</f>
        <v>4.3200000000000002E-2</v>
      </c>
      <c r="J4">
        <v>200</v>
      </c>
    </row>
    <row r="5" spans="1:10" x14ac:dyDescent="0.2">
      <c r="A5" s="19" t="s">
        <v>67</v>
      </c>
      <c r="B5">
        <v>0.77400000000000002</v>
      </c>
      <c r="C5">
        <f>1-SUM(B5, D5:G5)</f>
        <v>3.4699999999999953E-2</v>
      </c>
      <c r="D5">
        <v>0</v>
      </c>
      <c r="E5">
        <v>0.13500000000000001</v>
      </c>
      <c r="F5">
        <v>2.3199999999999998E-2</v>
      </c>
      <c r="G5">
        <v>3.3099999999999997E-2</v>
      </c>
      <c r="H5">
        <v>0</v>
      </c>
      <c r="I5">
        <f>12*Ref!$B$18</f>
        <v>4.3200000000000002E-2</v>
      </c>
      <c r="J5">
        <v>200</v>
      </c>
    </row>
    <row r="6" spans="1:10" x14ac:dyDescent="0.2">
      <c r="A6" s="19" t="s">
        <v>110</v>
      </c>
      <c r="B6">
        <v>0.77400000000000002</v>
      </c>
      <c r="C6">
        <f>1-SUM(B6, D6:G6)</f>
        <v>3.4699999999999953E-2</v>
      </c>
      <c r="D6">
        <v>0</v>
      </c>
      <c r="E6">
        <v>0.13500000000000001</v>
      </c>
      <c r="F6">
        <v>2.3199999999999998E-2</v>
      </c>
      <c r="G6">
        <v>3.3099999999999997E-2</v>
      </c>
      <c r="H6">
        <v>0</v>
      </c>
      <c r="I6">
        <f>23*Ref!$B$18</f>
        <v>8.2799999999999999E-2</v>
      </c>
      <c r="J6">
        <v>200</v>
      </c>
    </row>
    <row r="7" spans="1:10" x14ac:dyDescent="0.2">
      <c r="A7" s="19" t="s">
        <v>111</v>
      </c>
      <c r="B7">
        <v>0.77400000000000002</v>
      </c>
      <c r="C7">
        <f>1-SUM(B7, D7:G7)</f>
        <v>3.4699999999999953E-2</v>
      </c>
      <c r="D7">
        <v>0</v>
      </c>
      <c r="E7">
        <v>0.13500000000000001</v>
      </c>
      <c r="F7">
        <v>2.3199999999999998E-2</v>
      </c>
      <c r="G7">
        <v>3.3099999999999997E-2</v>
      </c>
      <c r="H7">
        <v>0</v>
      </c>
      <c r="I7">
        <f>23*Ref!$B$18</f>
        <v>8.2799999999999999E-2</v>
      </c>
      <c r="J7">
        <v>200</v>
      </c>
    </row>
    <row r="8" spans="1:10" x14ac:dyDescent="0.2">
      <c r="A8" t="s">
        <v>112</v>
      </c>
      <c r="B8">
        <v>0.77400000000000002</v>
      </c>
      <c r="C8">
        <f t="shared" ref="C8:C9" si="0">1-SUM(B8, D8:G8)</f>
        <v>3.4699999999999953E-2</v>
      </c>
      <c r="D8">
        <v>0</v>
      </c>
      <c r="E8">
        <v>0.13500000000000001</v>
      </c>
      <c r="F8">
        <v>2.3199999999999998E-2</v>
      </c>
      <c r="G8">
        <v>3.3099999999999997E-2</v>
      </c>
      <c r="H8">
        <v>0</v>
      </c>
      <c r="I8">
        <f>23*Ref!$B$18</f>
        <v>8.2799999999999999E-2</v>
      </c>
      <c r="J8">
        <v>200</v>
      </c>
    </row>
    <row r="9" spans="1:10" x14ac:dyDescent="0.2">
      <c r="A9" t="s">
        <v>113</v>
      </c>
      <c r="B9">
        <v>0.77400000000000002</v>
      </c>
      <c r="C9">
        <f t="shared" si="0"/>
        <v>3.4699999999999953E-2</v>
      </c>
      <c r="D9">
        <v>0</v>
      </c>
      <c r="E9">
        <v>0.13500000000000001</v>
      </c>
      <c r="F9">
        <v>2.3199999999999998E-2</v>
      </c>
      <c r="G9">
        <v>3.3099999999999997E-2</v>
      </c>
      <c r="H9">
        <v>0</v>
      </c>
      <c r="I9">
        <f>23*Ref!$B$18</f>
        <v>8.2799999999999999E-2</v>
      </c>
      <c r="J9">
        <v>200</v>
      </c>
    </row>
    <row r="10" spans="1:10" s="26" customFormat="1" x14ac:dyDescent="0.2">
      <c r="A10" s="19" t="s">
        <v>97</v>
      </c>
      <c r="B10">
        <v>0.77400000000000002</v>
      </c>
      <c r="C10">
        <f>1-SUM(B10, D10:G10)</f>
        <v>3.4699999999999953E-2</v>
      </c>
      <c r="D10">
        <v>0</v>
      </c>
      <c r="E10">
        <v>0.13500000000000001</v>
      </c>
      <c r="F10">
        <v>2.3199999999999998E-2</v>
      </c>
      <c r="G10">
        <v>3.3099999999999997E-2</v>
      </c>
      <c r="H10">
        <v>0</v>
      </c>
      <c r="I10">
        <f>12*Ref!$B$18</f>
        <v>4.3200000000000002E-2</v>
      </c>
      <c r="J10">
        <v>80</v>
      </c>
    </row>
    <row r="11" spans="1:10" s="26" customFormat="1" x14ac:dyDescent="0.2">
      <c r="A11" s="19" t="s">
        <v>98</v>
      </c>
      <c r="B11">
        <v>0.77400000000000002</v>
      </c>
      <c r="C11">
        <f t="shared" ref="C11" si="1">1-SUM(B11, D11:G11)</f>
        <v>3.4699999999999953E-2</v>
      </c>
      <c r="D11">
        <v>0</v>
      </c>
      <c r="E11">
        <v>0.13500000000000001</v>
      </c>
      <c r="F11">
        <v>2.3199999999999998E-2</v>
      </c>
      <c r="G11">
        <v>3.3099999999999997E-2</v>
      </c>
      <c r="H11">
        <v>0</v>
      </c>
      <c r="I11">
        <f>12*Ref!$B$18</f>
        <v>4.3200000000000002E-2</v>
      </c>
      <c r="J11">
        <v>80</v>
      </c>
    </row>
    <row r="12" spans="1:10" s="26" customFormat="1" x14ac:dyDescent="0.2">
      <c r="A12" t="s">
        <v>114</v>
      </c>
      <c r="B12">
        <v>0.77400000000000002</v>
      </c>
      <c r="C12">
        <f t="shared" ref="C12:C15" si="2">1-SUM(B12, D12:G12)</f>
        <v>3.4699999999999953E-2</v>
      </c>
      <c r="D12">
        <v>0</v>
      </c>
      <c r="E12">
        <v>0.13500000000000001</v>
      </c>
      <c r="F12">
        <v>2.3199999999999998E-2</v>
      </c>
      <c r="G12">
        <v>3.3099999999999997E-2</v>
      </c>
      <c r="H12">
        <v>0</v>
      </c>
      <c r="I12">
        <f>12*Ref!$B$18</f>
        <v>4.3200000000000002E-2</v>
      </c>
      <c r="J12">
        <v>80</v>
      </c>
    </row>
    <row r="13" spans="1:10" s="26" customFormat="1" x14ac:dyDescent="0.2">
      <c r="A13" t="s">
        <v>115</v>
      </c>
      <c r="B13">
        <v>0.77400000000000002</v>
      </c>
      <c r="C13">
        <f t="shared" si="2"/>
        <v>3.4699999999999953E-2</v>
      </c>
      <c r="D13">
        <v>0</v>
      </c>
      <c r="E13">
        <v>0.13500000000000001</v>
      </c>
      <c r="F13">
        <v>2.3199999999999998E-2</v>
      </c>
      <c r="G13">
        <v>3.3099999999999997E-2</v>
      </c>
      <c r="H13">
        <v>0</v>
      </c>
      <c r="I13">
        <f>12*Ref!$B$18</f>
        <v>4.3200000000000002E-2</v>
      </c>
      <c r="J13">
        <v>80</v>
      </c>
    </row>
    <row r="14" spans="1:10" s="26" customFormat="1" x14ac:dyDescent="0.2">
      <c r="A14" t="s">
        <v>116</v>
      </c>
      <c r="B14">
        <v>0.77400000000000002</v>
      </c>
      <c r="C14">
        <f t="shared" si="2"/>
        <v>3.4699999999999953E-2</v>
      </c>
      <c r="D14">
        <v>0</v>
      </c>
      <c r="E14">
        <v>0.13500000000000001</v>
      </c>
      <c r="F14">
        <v>2.3199999999999998E-2</v>
      </c>
      <c r="G14">
        <v>3.3099999999999997E-2</v>
      </c>
      <c r="H14">
        <v>0</v>
      </c>
      <c r="I14">
        <f>12*Ref!$B$18</f>
        <v>4.3200000000000002E-2</v>
      </c>
      <c r="J14">
        <v>80</v>
      </c>
    </row>
    <row r="15" spans="1:10" x14ac:dyDescent="0.2">
      <c r="A15" t="s">
        <v>117</v>
      </c>
      <c r="B15">
        <v>0.77400000000000002</v>
      </c>
      <c r="C15">
        <f t="shared" si="2"/>
        <v>3.4699999999999953E-2</v>
      </c>
      <c r="D15">
        <v>0</v>
      </c>
      <c r="E15">
        <v>0.13500000000000001</v>
      </c>
      <c r="F15">
        <v>2.3199999999999998E-2</v>
      </c>
      <c r="G15">
        <v>3.3099999999999997E-2</v>
      </c>
      <c r="H15">
        <v>0</v>
      </c>
      <c r="I15">
        <f>12*Ref!$B$18</f>
        <v>4.3200000000000002E-2</v>
      </c>
      <c r="J15">
        <v>80</v>
      </c>
    </row>
    <row r="16" spans="1:10" x14ac:dyDescent="0.2">
      <c r="A16" s="19" t="s">
        <v>128</v>
      </c>
      <c r="B16">
        <v>0.77400000000000002</v>
      </c>
      <c r="C16">
        <f>1-SUM(B16, D16:G16)</f>
        <v>3.4699999999999953E-2</v>
      </c>
      <c r="D16">
        <v>0</v>
      </c>
      <c r="E16">
        <v>0.13500000000000001</v>
      </c>
      <c r="F16">
        <v>2.3199999999999998E-2</v>
      </c>
      <c r="G16">
        <v>3.3099999999999997E-2</v>
      </c>
      <c r="H16">
        <v>0</v>
      </c>
      <c r="I16">
        <f>12*Ref!$B$18</f>
        <v>4.3200000000000002E-2</v>
      </c>
      <c r="J16" s="26">
        <v>0</v>
      </c>
    </row>
    <row r="17" spans="1:10" x14ac:dyDescent="0.2">
      <c r="A17" s="19" t="s">
        <v>129</v>
      </c>
      <c r="B17">
        <v>0.77400000000000002</v>
      </c>
      <c r="C17">
        <f t="shared" ref="C17:C21" si="3">1-SUM(B17, D17:G17)</f>
        <v>3.4699999999999953E-2</v>
      </c>
      <c r="D17">
        <v>0</v>
      </c>
      <c r="E17">
        <v>0.13500000000000001</v>
      </c>
      <c r="F17">
        <v>2.3199999999999998E-2</v>
      </c>
      <c r="G17">
        <v>3.3099999999999997E-2</v>
      </c>
      <c r="H17">
        <v>0</v>
      </c>
      <c r="I17">
        <f>12*Ref!$B$18</f>
        <v>4.3200000000000002E-2</v>
      </c>
      <c r="J17" s="26">
        <v>0</v>
      </c>
    </row>
    <row r="18" spans="1:10" x14ac:dyDescent="0.2">
      <c r="A18" t="s">
        <v>130</v>
      </c>
      <c r="B18">
        <v>0.77400000000000002</v>
      </c>
      <c r="C18">
        <f t="shared" si="3"/>
        <v>3.4699999999999953E-2</v>
      </c>
      <c r="D18">
        <v>0</v>
      </c>
      <c r="E18">
        <v>0.13500000000000001</v>
      </c>
      <c r="F18">
        <v>2.3199999999999998E-2</v>
      </c>
      <c r="G18">
        <v>3.3099999999999997E-2</v>
      </c>
      <c r="H18">
        <v>0</v>
      </c>
      <c r="I18">
        <f>12*Ref!$B$18</f>
        <v>4.3200000000000002E-2</v>
      </c>
      <c r="J18" s="26">
        <v>0</v>
      </c>
    </row>
    <row r="19" spans="1:10" x14ac:dyDescent="0.2">
      <c r="A19" t="s">
        <v>131</v>
      </c>
      <c r="B19">
        <v>0.77400000000000002</v>
      </c>
      <c r="C19">
        <f t="shared" si="3"/>
        <v>3.4699999999999953E-2</v>
      </c>
      <c r="D19">
        <v>0</v>
      </c>
      <c r="E19">
        <v>0.13500000000000001</v>
      </c>
      <c r="F19">
        <v>2.3199999999999998E-2</v>
      </c>
      <c r="G19">
        <v>3.3099999999999997E-2</v>
      </c>
      <c r="H19">
        <v>0</v>
      </c>
      <c r="I19">
        <f>12*Ref!$B$18</f>
        <v>4.3200000000000002E-2</v>
      </c>
      <c r="J19" s="26">
        <v>0</v>
      </c>
    </row>
    <row r="20" spans="1:10" x14ac:dyDescent="0.2">
      <c r="A20" t="s">
        <v>132</v>
      </c>
      <c r="B20">
        <v>0.77400000000000002</v>
      </c>
      <c r="C20">
        <f t="shared" si="3"/>
        <v>3.4699999999999953E-2</v>
      </c>
      <c r="D20">
        <v>0</v>
      </c>
      <c r="E20">
        <v>0.13500000000000001</v>
      </c>
      <c r="F20">
        <v>2.3199999999999998E-2</v>
      </c>
      <c r="G20">
        <v>3.3099999999999997E-2</v>
      </c>
      <c r="H20">
        <v>0</v>
      </c>
      <c r="I20">
        <f>12*Ref!$B$18</f>
        <v>4.3200000000000002E-2</v>
      </c>
      <c r="J20" s="26">
        <v>0</v>
      </c>
    </row>
    <row r="21" spans="1:10" x14ac:dyDescent="0.2">
      <c r="A21" t="s">
        <v>133</v>
      </c>
      <c r="B21">
        <v>0.77400000000000002</v>
      </c>
      <c r="C21">
        <f t="shared" si="3"/>
        <v>3.4699999999999953E-2</v>
      </c>
      <c r="D21">
        <v>0</v>
      </c>
      <c r="E21">
        <v>0.13500000000000001</v>
      </c>
      <c r="F21">
        <v>2.3199999999999998E-2</v>
      </c>
      <c r="G21">
        <v>3.3099999999999997E-2</v>
      </c>
      <c r="H21">
        <v>0</v>
      </c>
      <c r="I21">
        <f>12*Ref!$B$18</f>
        <v>4.3200000000000002E-2</v>
      </c>
      <c r="J21" s="26">
        <v>0</v>
      </c>
    </row>
    <row r="22" spans="1:10" x14ac:dyDescent="0.2">
      <c r="A22" t="s">
        <v>135</v>
      </c>
      <c r="B22">
        <v>0.77400000000000002</v>
      </c>
      <c r="C22">
        <f t="shared" ref="C22:C23" si="4">1-SUM(B22, D22:G22)</f>
        <v>3.4699999999999953E-2</v>
      </c>
      <c r="D22">
        <v>0</v>
      </c>
      <c r="E22">
        <v>0.13500000000000001</v>
      </c>
      <c r="F22">
        <v>2.3199999999999998E-2</v>
      </c>
      <c r="G22">
        <v>3.3099999999999997E-2</v>
      </c>
      <c r="H22">
        <v>0</v>
      </c>
      <c r="I22">
        <f>12*Ref!$B$18</f>
        <v>4.3200000000000002E-2</v>
      </c>
      <c r="J22" s="26">
        <v>0</v>
      </c>
    </row>
    <row r="23" spans="1:10" x14ac:dyDescent="0.2">
      <c r="A23" t="s">
        <v>136</v>
      </c>
      <c r="B23">
        <v>0.77400000000000002</v>
      </c>
      <c r="C23">
        <f t="shared" si="4"/>
        <v>3.4699999999999953E-2</v>
      </c>
      <c r="D23">
        <v>0</v>
      </c>
      <c r="E23">
        <v>0.13500000000000001</v>
      </c>
      <c r="F23">
        <v>2.3199999999999998E-2</v>
      </c>
      <c r="G23">
        <v>3.3099999999999997E-2</v>
      </c>
      <c r="H23">
        <v>0</v>
      </c>
      <c r="I23">
        <f>12*Ref!$B$18</f>
        <v>4.3200000000000002E-2</v>
      </c>
      <c r="J23" s="26">
        <v>0</v>
      </c>
    </row>
    <row r="24" spans="1:10" x14ac:dyDescent="0.2">
      <c r="A24" t="s">
        <v>141</v>
      </c>
      <c r="B24">
        <v>0.77400000000000002</v>
      </c>
      <c r="C24">
        <f t="shared" ref="C24:C25" si="5">1-SUM(B24, D24:G24)</f>
        <v>3.4699999999999953E-2</v>
      </c>
      <c r="D24">
        <v>0</v>
      </c>
      <c r="E24">
        <v>0.13500000000000001</v>
      </c>
      <c r="F24">
        <v>2.3199999999999998E-2</v>
      </c>
      <c r="G24">
        <v>3.3099999999999997E-2</v>
      </c>
      <c r="H24">
        <v>0</v>
      </c>
      <c r="I24">
        <f>12*Ref!$B$18</f>
        <v>4.3200000000000002E-2</v>
      </c>
      <c r="J24" s="26">
        <v>0</v>
      </c>
    </row>
    <row r="25" spans="1:10" x14ac:dyDescent="0.2">
      <c r="A25" t="s">
        <v>142</v>
      </c>
      <c r="B25">
        <v>0.77400000000000002</v>
      </c>
      <c r="C25">
        <f t="shared" si="5"/>
        <v>3.4699999999999953E-2</v>
      </c>
      <c r="D25">
        <v>0</v>
      </c>
      <c r="E25">
        <v>0.13500000000000001</v>
      </c>
      <c r="F25">
        <v>2.3199999999999998E-2</v>
      </c>
      <c r="G25">
        <v>3.3099999999999997E-2</v>
      </c>
      <c r="H25">
        <v>0</v>
      </c>
      <c r="I25">
        <f>12*Ref!$B$18</f>
        <v>4.3200000000000002E-2</v>
      </c>
      <c r="J25" s="26">
        <v>0</v>
      </c>
    </row>
    <row r="26" spans="1:10" x14ac:dyDescent="0.2">
      <c r="A26" t="s">
        <v>138</v>
      </c>
      <c r="B26">
        <v>0.77400000000000002</v>
      </c>
      <c r="C26">
        <f t="shared" ref="C26:C27" si="6">1-SUM(B26, D26:G26)</f>
        <v>3.4699999999999953E-2</v>
      </c>
      <c r="D26">
        <v>0</v>
      </c>
      <c r="E26">
        <v>0.13500000000000001</v>
      </c>
      <c r="F26">
        <v>2.3199999999999998E-2</v>
      </c>
      <c r="G26">
        <v>3.3099999999999997E-2</v>
      </c>
      <c r="H26">
        <v>0</v>
      </c>
      <c r="I26">
        <f>12*Ref!$B$18</f>
        <v>4.3200000000000002E-2</v>
      </c>
      <c r="J26" s="26">
        <v>0</v>
      </c>
    </row>
    <row r="27" spans="1:10" x14ac:dyDescent="0.2">
      <c r="A27" t="s">
        <v>139</v>
      </c>
      <c r="B27">
        <v>0.77400000000000002</v>
      </c>
      <c r="C27">
        <f t="shared" si="6"/>
        <v>3.4699999999999953E-2</v>
      </c>
      <c r="D27">
        <v>0</v>
      </c>
      <c r="E27">
        <v>0.13500000000000001</v>
      </c>
      <c r="F27">
        <v>2.3199999999999998E-2</v>
      </c>
      <c r="G27">
        <v>3.3099999999999997E-2</v>
      </c>
      <c r="H27">
        <v>0</v>
      </c>
      <c r="I27">
        <f>12*Ref!$B$18</f>
        <v>4.3200000000000002E-2</v>
      </c>
      <c r="J27" s="26">
        <v>0</v>
      </c>
    </row>
    <row r="28" spans="1:10" x14ac:dyDescent="0.2">
      <c r="A28" t="s">
        <v>145</v>
      </c>
      <c r="B28" s="26">
        <v>0.745</v>
      </c>
      <c r="C28">
        <f>1-B28</f>
        <v>0.255</v>
      </c>
      <c r="I28">
        <v>0</v>
      </c>
      <c r="J28">
        <v>0</v>
      </c>
    </row>
    <row r="29" spans="1:10" x14ac:dyDescent="0.2">
      <c r="A29" t="s">
        <v>148</v>
      </c>
      <c r="B29" s="26">
        <v>0.77339999999999998</v>
      </c>
      <c r="C29">
        <f>1-B29</f>
        <v>0.22660000000000002</v>
      </c>
      <c r="I29">
        <v>0</v>
      </c>
      <c r="J29">
        <v>0</v>
      </c>
    </row>
    <row r="30" spans="1:10" x14ac:dyDescent="0.2">
      <c r="A30" t="s">
        <v>152</v>
      </c>
      <c r="B30">
        <v>0.77400000000000002</v>
      </c>
      <c r="C30">
        <f>1-SUM(B30, D30:G30)</f>
        <v>3.4699999999999953E-2</v>
      </c>
      <c r="D30">
        <v>0</v>
      </c>
      <c r="E30">
        <v>0.13500000000000001</v>
      </c>
      <c r="F30">
        <v>2.3199999999999998E-2</v>
      </c>
      <c r="G30">
        <v>3.3099999999999997E-2</v>
      </c>
      <c r="H30">
        <v>0</v>
      </c>
      <c r="I30">
        <v>0</v>
      </c>
      <c r="J30">
        <v>200</v>
      </c>
    </row>
    <row r="31" spans="1:10" x14ac:dyDescent="0.2">
      <c r="A31" t="s">
        <v>163</v>
      </c>
      <c r="B31">
        <v>0.77400000000000002</v>
      </c>
      <c r="C31">
        <f>1-SUM(B31, D31:G31)</f>
        <v>3.4699999999999953E-2</v>
      </c>
      <c r="D31">
        <v>0</v>
      </c>
      <c r="E31">
        <v>0.13500000000000001</v>
      </c>
      <c r="F31">
        <v>2.3199999999999998E-2</v>
      </c>
      <c r="G31">
        <v>3.3099999999999997E-2</v>
      </c>
      <c r="H31">
        <v>0</v>
      </c>
      <c r="I31">
        <f>12*Ref!$B$18</f>
        <v>4.3200000000000002E-2</v>
      </c>
      <c r="J31">
        <v>80</v>
      </c>
    </row>
    <row r="32" spans="1:10" x14ac:dyDescent="0.2">
      <c r="A32" t="s">
        <v>164</v>
      </c>
      <c r="B32">
        <v>0.77400000000000002</v>
      </c>
      <c r="C32">
        <f>1-SUM(B32, D32:G32)</f>
        <v>3.4699999999999953E-2</v>
      </c>
      <c r="D32">
        <v>0</v>
      </c>
      <c r="E32">
        <v>0.13500000000000001</v>
      </c>
      <c r="F32">
        <v>2.3199999999999998E-2</v>
      </c>
      <c r="G32">
        <v>3.3099999999999997E-2</v>
      </c>
      <c r="H32">
        <v>0</v>
      </c>
      <c r="I32">
        <f>12*Ref!$B$18</f>
        <v>4.3200000000000002E-2</v>
      </c>
      <c r="J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4"/>
  <sheetViews>
    <sheetView zoomScale="130" zoomScaleNormal="13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.83203125" defaultRowHeight="15" x14ac:dyDescent="0.2"/>
  <cols>
    <col min="1" max="1" width="25" customWidth="1"/>
    <col min="2" max="2" width="10.5" customWidth="1"/>
    <col min="3" max="3" width="10" customWidth="1"/>
    <col min="4" max="4" width="8.1640625" customWidth="1"/>
    <col min="5" max="5" width="9.6640625" customWidth="1"/>
    <col min="6" max="6" width="18.33203125" bestFit="1" customWidth="1"/>
    <col min="7" max="7" width="15.33203125" bestFit="1" customWidth="1"/>
    <col min="8" max="8" width="8.83203125" style="35" bestFit="1" customWidth="1"/>
    <col min="9" max="9" width="18.83203125" bestFit="1" customWidth="1"/>
    <col min="10" max="10" width="8.83203125" customWidth="1"/>
    <col min="11" max="11" width="9.5" customWidth="1"/>
  </cols>
  <sheetData>
    <row r="1" spans="1:22" s="35" customFormat="1" ht="32" x14ac:dyDescent="0.2">
      <c r="A1" s="37" t="s">
        <v>26</v>
      </c>
      <c r="B1" s="38" t="s">
        <v>50</v>
      </c>
      <c r="C1" s="39" t="s">
        <v>35</v>
      </c>
      <c r="D1" s="39" t="s">
        <v>32</v>
      </c>
      <c r="E1" s="40" t="s">
        <v>27</v>
      </c>
      <c r="F1" s="41" t="s">
        <v>4</v>
      </c>
      <c r="G1" s="35" t="s">
        <v>3</v>
      </c>
      <c r="H1" s="35" t="s">
        <v>2</v>
      </c>
      <c r="I1" s="35" t="s">
        <v>118</v>
      </c>
      <c r="J1" s="35" t="s">
        <v>109</v>
      </c>
      <c r="K1" s="35" t="s">
        <v>1</v>
      </c>
      <c r="L1" s="42"/>
      <c r="M1" s="42"/>
      <c r="N1" s="42"/>
      <c r="O1" s="42"/>
      <c r="P1" s="42"/>
      <c r="Q1" s="42"/>
      <c r="R1" s="42"/>
    </row>
    <row r="2" spans="1:22" s="35" customFormat="1" ht="33" customHeight="1" x14ac:dyDescent="0.2">
      <c r="A2" s="46" t="s">
        <v>24</v>
      </c>
      <c r="B2" s="46" t="s">
        <v>51</v>
      </c>
      <c r="C2" s="46" t="s">
        <v>36</v>
      </c>
      <c r="D2" s="46"/>
      <c r="E2" s="47" t="s">
        <v>55</v>
      </c>
      <c r="K2" s="47" t="s">
        <v>55</v>
      </c>
      <c r="L2" s="42"/>
      <c r="M2" s="48"/>
      <c r="N2" s="48"/>
      <c r="O2" s="48"/>
      <c r="P2" s="48"/>
      <c r="Q2" s="42"/>
      <c r="R2" s="42"/>
      <c r="S2" s="48"/>
      <c r="T2" s="48"/>
      <c r="U2" s="48"/>
      <c r="V2" s="48"/>
    </row>
    <row r="3" spans="1:22" x14ac:dyDescent="0.2">
      <c r="A3" s="19" t="s">
        <v>167</v>
      </c>
      <c r="B3" s="26">
        <v>1.57</v>
      </c>
      <c r="C3" s="26">
        <v>0.77</v>
      </c>
      <c r="D3" s="26">
        <v>1</v>
      </c>
      <c r="E3" s="26">
        <v>3.3</v>
      </c>
      <c r="F3" s="26" t="s">
        <v>45</v>
      </c>
      <c r="G3" t="s">
        <v>92</v>
      </c>
      <c r="H3" s="36">
        <v>0</v>
      </c>
      <c r="I3" t="s">
        <v>119</v>
      </c>
      <c r="J3">
        <v>0</v>
      </c>
      <c r="K3">
        <f>23*Ref!$B$18</f>
        <v>8.2799999999999999E-2</v>
      </c>
    </row>
    <row r="4" spans="1:22" x14ac:dyDescent="0.2">
      <c r="A4" s="19" t="s">
        <v>67</v>
      </c>
      <c r="B4" s="26">
        <v>1.57</v>
      </c>
      <c r="C4" s="26">
        <v>0.77</v>
      </c>
      <c r="D4" s="26">
        <v>1</v>
      </c>
      <c r="E4" s="26">
        <v>3.3</v>
      </c>
      <c r="F4" s="26" t="s">
        <v>45</v>
      </c>
      <c r="G4" t="s">
        <v>92</v>
      </c>
      <c r="H4" s="36">
        <v>0</v>
      </c>
      <c r="I4" t="s">
        <v>119</v>
      </c>
      <c r="J4">
        <v>0</v>
      </c>
      <c r="K4">
        <f>23*Ref!$B$18</f>
        <v>8.2799999999999999E-2</v>
      </c>
    </row>
    <row r="5" spans="1:22" x14ac:dyDescent="0.2">
      <c r="A5" s="19" t="s">
        <v>70</v>
      </c>
      <c r="B5" s="26">
        <v>1.57</v>
      </c>
      <c r="C5" s="26">
        <v>0.77</v>
      </c>
      <c r="D5" s="26">
        <v>1</v>
      </c>
      <c r="E5" s="26">
        <v>3.3</v>
      </c>
      <c r="F5" s="26" t="s">
        <v>45</v>
      </c>
      <c r="G5" t="s">
        <v>92</v>
      </c>
      <c r="H5" s="36">
        <v>1</v>
      </c>
      <c r="I5" t="s">
        <v>119</v>
      </c>
      <c r="J5">
        <v>0</v>
      </c>
      <c r="K5">
        <f>23*Ref!$B$18</f>
        <v>8.2799999999999999E-2</v>
      </c>
    </row>
    <row r="6" spans="1:22" x14ac:dyDescent="0.2">
      <c r="A6" s="19" t="s">
        <v>69</v>
      </c>
      <c r="B6" s="26">
        <v>1.57</v>
      </c>
      <c r="C6" s="26">
        <v>0.77</v>
      </c>
      <c r="D6" s="26">
        <v>1</v>
      </c>
      <c r="E6" s="26">
        <v>3.3</v>
      </c>
      <c r="F6" s="26" t="s">
        <v>45</v>
      </c>
      <c r="G6" t="s">
        <v>92</v>
      </c>
      <c r="H6" s="36">
        <v>1</v>
      </c>
      <c r="I6" t="s">
        <v>119</v>
      </c>
      <c r="J6">
        <v>0</v>
      </c>
      <c r="K6">
        <f>23*Ref!$B$18</f>
        <v>8.2799999999999999E-2</v>
      </c>
    </row>
    <row r="7" spans="1:22" x14ac:dyDescent="0.2">
      <c r="A7" s="19" t="s">
        <v>72</v>
      </c>
      <c r="B7" s="26">
        <v>1.57</v>
      </c>
      <c r="C7" s="26">
        <v>0.77</v>
      </c>
      <c r="D7" s="26">
        <v>1</v>
      </c>
      <c r="E7" s="26">
        <v>3.3</v>
      </c>
      <c r="F7" s="26" t="s">
        <v>45</v>
      </c>
      <c r="G7" t="s">
        <v>92</v>
      </c>
      <c r="H7" s="36">
        <v>1</v>
      </c>
      <c r="I7" t="s">
        <v>119</v>
      </c>
      <c r="J7">
        <v>0</v>
      </c>
      <c r="K7">
        <f>23*Ref!$B$18</f>
        <v>8.2799999999999999E-2</v>
      </c>
    </row>
    <row r="8" spans="1:22" x14ac:dyDescent="0.2">
      <c r="A8" s="28" t="s">
        <v>94</v>
      </c>
      <c r="B8" s="26">
        <v>1.57</v>
      </c>
      <c r="C8" s="26">
        <v>0.77</v>
      </c>
      <c r="D8" s="26">
        <v>1</v>
      </c>
      <c r="E8" s="26">
        <v>3.3</v>
      </c>
      <c r="F8" s="26" t="s">
        <v>45</v>
      </c>
      <c r="G8" t="s">
        <v>92</v>
      </c>
      <c r="H8" s="36">
        <v>1</v>
      </c>
      <c r="I8" t="s">
        <v>119</v>
      </c>
      <c r="J8">
        <v>0</v>
      </c>
      <c r="K8">
        <f>23*Ref!$B$18</f>
        <v>8.2799999999999999E-2</v>
      </c>
    </row>
    <row r="9" spans="1:22" x14ac:dyDescent="0.2">
      <c r="A9" s="28" t="s">
        <v>95</v>
      </c>
      <c r="B9" s="26">
        <v>1.57</v>
      </c>
      <c r="C9" s="26">
        <v>0.77</v>
      </c>
      <c r="D9" s="26">
        <v>1</v>
      </c>
      <c r="E9" s="26">
        <v>3.3</v>
      </c>
      <c r="F9" s="26" t="s">
        <v>45</v>
      </c>
      <c r="G9" t="s">
        <v>92</v>
      </c>
      <c r="H9" s="36">
        <v>1</v>
      </c>
      <c r="I9" t="s">
        <v>119</v>
      </c>
      <c r="J9">
        <v>0</v>
      </c>
      <c r="K9">
        <f>23*Ref!$B$18</f>
        <v>8.2799999999999999E-2</v>
      </c>
    </row>
    <row r="10" spans="1:22" x14ac:dyDescent="0.2">
      <c r="A10" s="28" t="s">
        <v>123</v>
      </c>
      <c r="B10" s="26">
        <v>1.57</v>
      </c>
      <c r="C10" s="26">
        <v>0.77</v>
      </c>
      <c r="D10" s="26">
        <v>1</v>
      </c>
      <c r="E10" s="26">
        <v>3.3</v>
      </c>
      <c r="F10" s="26" t="s">
        <v>45</v>
      </c>
      <c r="G10" t="s">
        <v>92</v>
      </c>
      <c r="H10" s="36">
        <v>1</v>
      </c>
      <c r="I10" t="s">
        <v>119</v>
      </c>
      <c r="J10">
        <v>0</v>
      </c>
      <c r="K10">
        <f>23*Ref!$B$18</f>
        <v>8.2799999999999999E-2</v>
      </c>
    </row>
    <row r="11" spans="1:22" x14ac:dyDescent="0.2">
      <c r="A11" s="28" t="s">
        <v>103</v>
      </c>
      <c r="B11" s="26">
        <v>1.57</v>
      </c>
      <c r="C11" s="26">
        <v>0.77</v>
      </c>
      <c r="D11" s="26">
        <v>1</v>
      </c>
      <c r="E11" s="26">
        <v>3.3</v>
      </c>
      <c r="F11" s="26" t="s">
        <v>45</v>
      </c>
      <c r="G11" t="s">
        <v>92</v>
      </c>
      <c r="H11" s="36">
        <v>1</v>
      </c>
      <c r="I11" t="s">
        <v>119</v>
      </c>
      <c r="J11">
        <v>0</v>
      </c>
      <c r="K11">
        <f>23*Ref!$B$18</f>
        <v>8.2799999999999999E-2</v>
      </c>
    </row>
    <row r="12" spans="1:22" x14ac:dyDescent="0.2">
      <c r="A12" s="28" t="s">
        <v>104</v>
      </c>
      <c r="B12" s="26">
        <v>1.57</v>
      </c>
      <c r="C12" s="26">
        <v>0.77</v>
      </c>
      <c r="D12" s="26">
        <v>1</v>
      </c>
      <c r="E12" s="26">
        <v>3.3</v>
      </c>
      <c r="F12" s="26" t="s">
        <v>45</v>
      </c>
      <c r="G12" t="s">
        <v>92</v>
      </c>
      <c r="H12" s="36">
        <v>1</v>
      </c>
      <c r="I12" t="s">
        <v>119</v>
      </c>
      <c r="J12">
        <v>0</v>
      </c>
      <c r="K12">
        <f>23*Ref!$B$18</f>
        <v>8.2799999999999999E-2</v>
      </c>
    </row>
    <row r="13" spans="1:22" x14ac:dyDescent="0.2">
      <c r="A13" s="28" t="s">
        <v>105</v>
      </c>
      <c r="B13" s="26">
        <v>1.57</v>
      </c>
      <c r="C13" s="26">
        <v>0.77</v>
      </c>
      <c r="D13" s="26">
        <v>1</v>
      </c>
      <c r="E13" s="26">
        <v>3.3</v>
      </c>
      <c r="F13" s="26" t="s">
        <v>45</v>
      </c>
      <c r="G13" t="s">
        <v>92</v>
      </c>
      <c r="H13" s="36">
        <v>1</v>
      </c>
      <c r="I13" t="s">
        <v>119</v>
      </c>
      <c r="J13">
        <v>0</v>
      </c>
      <c r="K13">
        <f>23*Ref!$B$18</f>
        <v>8.2799999999999999E-2</v>
      </c>
    </row>
    <row r="14" spans="1:22" x14ac:dyDescent="0.2">
      <c r="A14" s="28" t="s">
        <v>125</v>
      </c>
      <c r="B14" s="26">
        <v>1.57</v>
      </c>
      <c r="C14" s="26">
        <v>0.77</v>
      </c>
      <c r="D14" s="26">
        <v>1</v>
      </c>
      <c r="E14" s="26">
        <v>3.3</v>
      </c>
      <c r="F14" s="26" t="s">
        <v>45</v>
      </c>
      <c r="G14" t="s">
        <v>92</v>
      </c>
      <c r="H14" s="36">
        <v>1</v>
      </c>
      <c r="I14" t="s">
        <v>119</v>
      </c>
      <c r="J14">
        <v>0</v>
      </c>
      <c r="K14">
        <f>23*Ref!$B$18</f>
        <v>8.2799999999999999E-2</v>
      </c>
    </row>
    <row r="15" spans="1:22" x14ac:dyDescent="0.2">
      <c r="A15" t="s">
        <v>110</v>
      </c>
      <c r="B15" s="26">
        <v>1.57</v>
      </c>
      <c r="C15" s="26">
        <v>0.77</v>
      </c>
      <c r="D15" s="26">
        <v>1</v>
      </c>
      <c r="E15" s="26">
        <v>3.7</v>
      </c>
      <c r="F15" s="26" t="s">
        <v>45</v>
      </c>
      <c r="G15" t="s">
        <v>92</v>
      </c>
      <c r="H15" s="36">
        <v>0</v>
      </c>
      <c r="I15" t="s">
        <v>120</v>
      </c>
      <c r="J15">
        <v>0.45</v>
      </c>
      <c r="K15">
        <f>26*Ref!$B$18</f>
        <v>9.3600000000000003E-2</v>
      </c>
    </row>
    <row r="16" spans="1:22" x14ac:dyDescent="0.2">
      <c r="A16" t="s">
        <v>111</v>
      </c>
      <c r="B16" s="26">
        <v>1.57</v>
      </c>
      <c r="C16" s="26">
        <v>0.77</v>
      </c>
      <c r="D16" s="26">
        <v>1</v>
      </c>
      <c r="E16" s="26">
        <v>3.7</v>
      </c>
      <c r="F16" s="26" t="s">
        <v>45</v>
      </c>
      <c r="G16" t="s">
        <v>92</v>
      </c>
      <c r="H16" s="36">
        <f>1-J16</f>
        <v>0.55000000000000004</v>
      </c>
      <c r="I16" t="s">
        <v>120</v>
      </c>
      <c r="J16">
        <v>0.45</v>
      </c>
      <c r="K16">
        <f>26*Ref!$B$18</f>
        <v>9.3600000000000003E-2</v>
      </c>
    </row>
    <row r="17" spans="1:11" x14ac:dyDescent="0.2">
      <c r="A17" t="s">
        <v>112</v>
      </c>
      <c r="B17" s="26">
        <v>1.57</v>
      </c>
      <c r="C17" s="26">
        <v>0.77</v>
      </c>
      <c r="D17" s="26">
        <v>1</v>
      </c>
      <c r="E17" s="26">
        <v>3.7</v>
      </c>
      <c r="F17" s="26" t="s">
        <v>45</v>
      </c>
      <c r="G17" t="s">
        <v>92</v>
      </c>
      <c r="H17" s="36">
        <v>0</v>
      </c>
      <c r="I17" t="s">
        <v>120</v>
      </c>
      <c r="J17">
        <v>0.45</v>
      </c>
      <c r="K17">
        <f>26*Ref!$B$18</f>
        <v>9.3600000000000003E-2</v>
      </c>
    </row>
    <row r="18" spans="1:11" x14ac:dyDescent="0.2">
      <c r="A18" t="s">
        <v>113</v>
      </c>
      <c r="B18" s="26">
        <v>1.57</v>
      </c>
      <c r="C18" s="26">
        <v>0.77</v>
      </c>
      <c r="D18" s="26">
        <v>1</v>
      </c>
      <c r="E18" s="26">
        <v>3.7</v>
      </c>
      <c r="F18" s="26" t="s">
        <v>45</v>
      </c>
      <c r="G18" t="s">
        <v>92</v>
      </c>
      <c r="H18" s="36">
        <f>1-J18</f>
        <v>0.55000000000000004</v>
      </c>
      <c r="I18" t="s">
        <v>120</v>
      </c>
      <c r="J18">
        <v>0.45</v>
      </c>
      <c r="K18">
        <f>26*Ref!$B$18</f>
        <v>9.3600000000000003E-2</v>
      </c>
    </row>
    <row r="19" spans="1:11" x14ac:dyDescent="0.2">
      <c r="A19" s="19" t="s">
        <v>97</v>
      </c>
      <c r="B19" s="26">
        <v>1.57</v>
      </c>
      <c r="C19" s="26">
        <v>0.77</v>
      </c>
      <c r="D19" s="26">
        <v>1</v>
      </c>
      <c r="E19" s="26">
        <v>3</v>
      </c>
      <c r="F19" s="26" t="s">
        <v>45</v>
      </c>
      <c r="G19" t="s">
        <v>92</v>
      </c>
      <c r="H19" s="36">
        <v>0</v>
      </c>
      <c r="I19" t="s">
        <v>119</v>
      </c>
      <c r="J19">
        <v>0</v>
      </c>
      <c r="K19">
        <f>23*Ref!$B$18</f>
        <v>8.2799999999999999E-2</v>
      </c>
    </row>
    <row r="20" spans="1:11" x14ac:dyDescent="0.2">
      <c r="A20" s="19" t="s">
        <v>98</v>
      </c>
      <c r="B20" s="26">
        <v>1.57</v>
      </c>
      <c r="C20" s="26">
        <v>0.77</v>
      </c>
      <c r="D20" s="26">
        <v>1</v>
      </c>
      <c r="E20" s="26">
        <v>3</v>
      </c>
      <c r="F20" s="26" t="s">
        <v>45</v>
      </c>
      <c r="G20" t="s">
        <v>92</v>
      </c>
      <c r="H20" s="36">
        <f>1-J20</f>
        <v>1</v>
      </c>
      <c r="I20" t="s">
        <v>119</v>
      </c>
      <c r="J20">
        <v>0</v>
      </c>
      <c r="K20">
        <f>23*Ref!$B$18</f>
        <v>8.2799999999999999E-2</v>
      </c>
    </row>
    <row r="21" spans="1:11" x14ac:dyDescent="0.2">
      <c r="A21" t="s">
        <v>114</v>
      </c>
      <c r="B21" s="26">
        <v>1.57</v>
      </c>
      <c r="C21" s="26">
        <v>0.77</v>
      </c>
      <c r="D21" s="26">
        <v>1</v>
      </c>
      <c r="E21" s="26">
        <v>3</v>
      </c>
      <c r="F21" s="26" t="s">
        <v>45</v>
      </c>
      <c r="G21" t="s">
        <v>92</v>
      </c>
      <c r="H21" s="36">
        <v>0</v>
      </c>
      <c r="I21" t="s">
        <v>121</v>
      </c>
      <c r="J21">
        <v>0.6</v>
      </c>
      <c r="K21">
        <f>23*Ref!$B$18</f>
        <v>8.2799999999999999E-2</v>
      </c>
    </row>
    <row r="22" spans="1:11" x14ac:dyDescent="0.2">
      <c r="A22" t="s">
        <v>115</v>
      </c>
      <c r="B22" s="26">
        <v>1.57</v>
      </c>
      <c r="C22" s="26">
        <v>0.77</v>
      </c>
      <c r="D22" s="26">
        <v>1</v>
      </c>
      <c r="E22" s="26">
        <v>3</v>
      </c>
      <c r="F22" s="26" t="s">
        <v>45</v>
      </c>
      <c r="G22" t="s">
        <v>92</v>
      </c>
      <c r="H22" s="36">
        <f>1-J22</f>
        <v>0.4</v>
      </c>
      <c r="I22" t="s">
        <v>121</v>
      </c>
      <c r="J22">
        <v>0.6</v>
      </c>
      <c r="K22">
        <f>23*Ref!$B$18</f>
        <v>8.2799999999999999E-2</v>
      </c>
    </row>
    <row r="23" spans="1:11" x14ac:dyDescent="0.2">
      <c r="A23" t="s">
        <v>116</v>
      </c>
      <c r="B23" s="26">
        <v>1.57</v>
      </c>
      <c r="C23" s="26">
        <v>0.77</v>
      </c>
      <c r="D23" s="26">
        <v>1</v>
      </c>
      <c r="E23" s="26">
        <v>3</v>
      </c>
      <c r="F23" s="26" t="s">
        <v>45</v>
      </c>
      <c r="G23" t="s">
        <v>92</v>
      </c>
      <c r="H23" s="36">
        <v>0</v>
      </c>
      <c r="I23" t="s">
        <v>121</v>
      </c>
      <c r="J23">
        <v>0.6</v>
      </c>
      <c r="K23">
        <f>23*Ref!$B$18</f>
        <v>8.2799999999999999E-2</v>
      </c>
    </row>
    <row r="24" spans="1:11" x14ac:dyDescent="0.2">
      <c r="A24" t="s">
        <v>117</v>
      </c>
      <c r="B24" s="26">
        <v>1.57</v>
      </c>
      <c r="C24" s="26">
        <v>0.77</v>
      </c>
      <c r="D24" s="26">
        <v>1</v>
      </c>
      <c r="E24" s="26">
        <v>3</v>
      </c>
      <c r="F24" s="26" t="s">
        <v>45</v>
      </c>
      <c r="G24" t="s">
        <v>92</v>
      </c>
      <c r="H24" s="36">
        <f>1-J24</f>
        <v>0.4</v>
      </c>
      <c r="I24" t="s">
        <v>121</v>
      </c>
      <c r="J24">
        <v>0.6</v>
      </c>
      <c r="K24">
        <f>23*Ref!$B$18</f>
        <v>8.2799999999999999E-2</v>
      </c>
    </row>
    <row r="25" spans="1:11" x14ac:dyDescent="0.2">
      <c r="A25" s="19" t="s">
        <v>128</v>
      </c>
      <c r="B25" s="26">
        <v>1.57</v>
      </c>
      <c r="C25" s="26">
        <v>0.77</v>
      </c>
      <c r="D25" s="26">
        <v>1</v>
      </c>
      <c r="E25" s="26">
        <v>2.8</v>
      </c>
      <c r="F25" s="26" t="s">
        <v>45</v>
      </c>
      <c r="G25" t="s">
        <v>92</v>
      </c>
      <c r="H25" s="36">
        <v>0</v>
      </c>
      <c r="I25" t="s">
        <v>119</v>
      </c>
      <c r="J25">
        <v>0</v>
      </c>
      <c r="K25">
        <f>23*Ref!$B$18</f>
        <v>8.2799999999999999E-2</v>
      </c>
    </row>
    <row r="26" spans="1:11" x14ac:dyDescent="0.2">
      <c r="A26" s="19" t="s">
        <v>129</v>
      </c>
      <c r="B26" s="26">
        <v>1.57</v>
      </c>
      <c r="C26" s="26">
        <v>0.77</v>
      </c>
      <c r="D26" s="26">
        <v>1</v>
      </c>
      <c r="E26" s="26">
        <v>2.8</v>
      </c>
      <c r="F26" s="26" t="s">
        <v>45</v>
      </c>
      <c r="G26" t="s">
        <v>92</v>
      </c>
      <c r="H26" s="36">
        <f>1-J26</f>
        <v>1</v>
      </c>
      <c r="I26" t="s">
        <v>119</v>
      </c>
      <c r="J26">
        <v>0</v>
      </c>
      <c r="K26">
        <f>23*Ref!$B$18</f>
        <v>8.2799999999999999E-2</v>
      </c>
    </row>
    <row r="27" spans="1:11" x14ac:dyDescent="0.2">
      <c r="A27" t="s">
        <v>130</v>
      </c>
      <c r="B27" s="26">
        <v>1.57</v>
      </c>
      <c r="C27" s="26">
        <v>0.77</v>
      </c>
      <c r="D27" s="26">
        <v>1</v>
      </c>
      <c r="E27" s="26">
        <v>2.8</v>
      </c>
      <c r="F27" s="26" t="s">
        <v>45</v>
      </c>
      <c r="G27" t="s">
        <v>92</v>
      </c>
      <c r="H27" s="36">
        <v>0</v>
      </c>
      <c r="I27" t="s">
        <v>134</v>
      </c>
      <c r="J27">
        <v>0.9</v>
      </c>
      <c r="K27">
        <f>23*Ref!$B$18</f>
        <v>8.2799999999999999E-2</v>
      </c>
    </row>
    <row r="28" spans="1:11" x14ac:dyDescent="0.2">
      <c r="A28" t="s">
        <v>131</v>
      </c>
      <c r="B28" s="26">
        <v>1.57</v>
      </c>
      <c r="C28" s="26">
        <v>0.77</v>
      </c>
      <c r="D28" s="26">
        <v>1</v>
      </c>
      <c r="E28" s="26">
        <v>2.8</v>
      </c>
      <c r="F28" s="26" t="s">
        <v>45</v>
      </c>
      <c r="G28" t="s">
        <v>92</v>
      </c>
      <c r="H28" s="36">
        <f>1-J28</f>
        <v>9.9999999999999978E-2</v>
      </c>
      <c r="I28" t="s">
        <v>134</v>
      </c>
      <c r="J28">
        <v>0.9</v>
      </c>
      <c r="K28">
        <f>23*Ref!$B$18</f>
        <v>8.2799999999999999E-2</v>
      </c>
    </row>
    <row r="29" spans="1:11" x14ac:dyDescent="0.2">
      <c r="A29" t="s">
        <v>132</v>
      </c>
      <c r="B29" s="26">
        <v>1.57</v>
      </c>
      <c r="C29" s="26">
        <v>0.77</v>
      </c>
      <c r="D29" s="26">
        <v>1</v>
      </c>
      <c r="E29" s="26">
        <v>2.8</v>
      </c>
      <c r="F29" s="26" t="s">
        <v>45</v>
      </c>
      <c r="G29" t="s">
        <v>92</v>
      </c>
      <c r="H29" s="36">
        <v>0</v>
      </c>
      <c r="I29" t="s">
        <v>134</v>
      </c>
      <c r="J29">
        <v>0.9</v>
      </c>
      <c r="K29">
        <f>23*Ref!$B$18</f>
        <v>8.2799999999999999E-2</v>
      </c>
    </row>
    <row r="30" spans="1:11" x14ac:dyDescent="0.2">
      <c r="A30" t="s">
        <v>133</v>
      </c>
      <c r="B30" s="26">
        <v>1.57</v>
      </c>
      <c r="C30" s="26">
        <v>0.77</v>
      </c>
      <c r="D30" s="26">
        <v>1</v>
      </c>
      <c r="E30" s="26">
        <v>2.8</v>
      </c>
      <c r="F30" s="26" t="s">
        <v>45</v>
      </c>
      <c r="G30" t="s">
        <v>92</v>
      </c>
      <c r="H30" s="36">
        <f>1-J30</f>
        <v>9.9999999999999978E-2</v>
      </c>
      <c r="I30" t="s">
        <v>134</v>
      </c>
      <c r="J30">
        <v>0.9</v>
      </c>
      <c r="K30">
        <f>23*Ref!$B$18</f>
        <v>8.2799999999999999E-2</v>
      </c>
    </row>
    <row r="31" spans="1:11" x14ac:dyDescent="0.2">
      <c r="A31" t="s">
        <v>135</v>
      </c>
      <c r="B31" s="26">
        <v>1.57</v>
      </c>
      <c r="C31" s="26">
        <v>0.77</v>
      </c>
      <c r="D31" s="26">
        <v>1</v>
      </c>
      <c r="E31" s="26">
        <v>2.8</v>
      </c>
      <c r="F31" s="26" t="s">
        <v>45</v>
      </c>
      <c r="G31" t="s">
        <v>92</v>
      </c>
      <c r="H31" s="36">
        <v>0</v>
      </c>
      <c r="I31" t="s">
        <v>134</v>
      </c>
      <c r="J31">
        <v>0.9</v>
      </c>
      <c r="K31">
        <f>23*Ref!$B$18</f>
        <v>8.2799999999999999E-2</v>
      </c>
    </row>
    <row r="32" spans="1:11" x14ac:dyDescent="0.2">
      <c r="A32" t="s">
        <v>136</v>
      </c>
      <c r="B32" s="26">
        <v>1.57</v>
      </c>
      <c r="C32" s="26">
        <v>0.77</v>
      </c>
      <c r="D32" s="26">
        <v>1</v>
      </c>
      <c r="E32" s="26">
        <v>2.8</v>
      </c>
      <c r="F32" s="26" t="s">
        <v>45</v>
      </c>
      <c r="G32" t="s">
        <v>92</v>
      </c>
      <c r="H32" s="36">
        <v>0</v>
      </c>
      <c r="I32" t="s">
        <v>134</v>
      </c>
      <c r="J32">
        <v>0.9</v>
      </c>
      <c r="K32">
        <f>23*Ref!$B$18</f>
        <v>8.2799999999999999E-2</v>
      </c>
    </row>
    <row r="33" spans="1:11" x14ac:dyDescent="0.2">
      <c r="A33" t="s">
        <v>141</v>
      </c>
      <c r="B33" s="26">
        <v>1.57</v>
      </c>
      <c r="C33" s="26">
        <v>0.77</v>
      </c>
      <c r="D33" s="26">
        <v>1</v>
      </c>
      <c r="E33" s="26">
        <v>2.8</v>
      </c>
      <c r="F33" s="26" t="s">
        <v>45</v>
      </c>
      <c r="G33" t="s">
        <v>92</v>
      </c>
      <c r="H33" s="36">
        <v>0</v>
      </c>
      <c r="I33" t="s">
        <v>134</v>
      </c>
      <c r="J33">
        <v>0.9</v>
      </c>
      <c r="K33">
        <f>23*Ref!$B$18</f>
        <v>8.2799999999999999E-2</v>
      </c>
    </row>
    <row r="34" spans="1:11" x14ac:dyDescent="0.2">
      <c r="A34" t="s">
        <v>142</v>
      </c>
      <c r="B34" s="26">
        <v>1.57</v>
      </c>
      <c r="C34" s="26">
        <v>0.77</v>
      </c>
      <c r="D34" s="26">
        <v>1</v>
      </c>
      <c r="E34" s="26">
        <v>2.8</v>
      </c>
      <c r="F34" s="26" t="s">
        <v>45</v>
      </c>
      <c r="G34" t="s">
        <v>92</v>
      </c>
      <c r="H34" s="36">
        <v>0</v>
      </c>
      <c r="I34" t="s">
        <v>134</v>
      </c>
      <c r="J34">
        <v>0.9</v>
      </c>
      <c r="K34">
        <f>23*Ref!$B$18</f>
        <v>8.2799999999999999E-2</v>
      </c>
    </row>
    <row r="35" spans="1:11" x14ac:dyDescent="0.2">
      <c r="A35" t="s">
        <v>145</v>
      </c>
      <c r="B35" s="26">
        <v>1.6</v>
      </c>
      <c r="C35" s="26">
        <v>0.745</v>
      </c>
      <c r="D35" s="26">
        <v>1</v>
      </c>
      <c r="E35" s="26">
        <v>3.28</v>
      </c>
      <c r="F35" t="s">
        <v>150</v>
      </c>
      <c r="G35" t="s">
        <v>146</v>
      </c>
      <c r="H35" s="35">
        <v>4.4999999999999998E-2</v>
      </c>
      <c r="I35" t="s">
        <v>147</v>
      </c>
      <c r="J35">
        <v>0.26</v>
      </c>
      <c r="K35">
        <f>65*Ref!$B$18</f>
        <v>0.23399999999999999</v>
      </c>
    </row>
    <row r="36" spans="1:11" x14ac:dyDescent="0.2">
      <c r="A36" t="s">
        <v>148</v>
      </c>
      <c r="B36" s="26">
        <v>1.6</v>
      </c>
      <c r="C36" s="26">
        <v>0.77339999999999998</v>
      </c>
      <c r="D36" s="26">
        <v>1</v>
      </c>
      <c r="E36" s="26">
        <v>3.1349999999999998</v>
      </c>
      <c r="F36" t="s">
        <v>149</v>
      </c>
      <c r="G36" t="s">
        <v>146</v>
      </c>
      <c r="H36" s="35">
        <v>0</v>
      </c>
      <c r="I36" t="s">
        <v>147</v>
      </c>
      <c r="J36">
        <v>0</v>
      </c>
      <c r="K36">
        <v>0</v>
      </c>
    </row>
    <row r="37" spans="1:11" x14ac:dyDescent="0.2">
      <c r="A37" t="s">
        <v>152</v>
      </c>
      <c r="B37" s="26">
        <v>1.57</v>
      </c>
      <c r="C37" s="26">
        <v>0.77</v>
      </c>
      <c r="D37" s="26">
        <v>1</v>
      </c>
      <c r="E37" s="26">
        <v>3.3</v>
      </c>
      <c r="F37" t="s">
        <v>149</v>
      </c>
      <c r="G37" t="s">
        <v>92</v>
      </c>
      <c r="H37" s="36">
        <v>0</v>
      </c>
      <c r="I37" t="s">
        <v>120</v>
      </c>
      <c r="J37">
        <v>0</v>
      </c>
      <c r="K37">
        <v>0</v>
      </c>
    </row>
    <row r="38" spans="1:11" x14ac:dyDescent="0.2">
      <c r="A38" t="s">
        <v>166</v>
      </c>
      <c r="B38" s="26">
        <v>1.57</v>
      </c>
      <c r="C38" s="26">
        <v>0.77</v>
      </c>
      <c r="D38" s="26">
        <v>1</v>
      </c>
      <c r="E38" s="26">
        <v>3.3</v>
      </c>
      <c r="F38" t="s">
        <v>149</v>
      </c>
      <c r="G38" t="s">
        <v>92</v>
      </c>
      <c r="H38" s="36">
        <v>0</v>
      </c>
      <c r="I38" t="s">
        <v>120</v>
      </c>
      <c r="J38">
        <v>0</v>
      </c>
      <c r="K38">
        <v>0</v>
      </c>
    </row>
    <row r="39" spans="1:11" x14ac:dyDescent="0.2">
      <c r="A39" t="s">
        <v>151</v>
      </c>
      <c r="B39" s="26">
        <v>1.57</v>
      </c>
      <c r="C39" s="26">
        <v>0.77</v>
      </c>
      <c r="D39" s="26">
        <v>1</v>
      </c>
      <c r="E39" s="26">
        <v>3.3</v>
      </c>
      <c r="F39" t="s">
        <v>149</v>
      </c>
      <c r="G39" t="s">
        <v>146</v>
      </c>
      <c r="H39" s="35">
        <v>4.4999999999999998E-2</v>
      </c>
      <c r="I39" t="s">
        <v>147</v>
      </c>
      <c r="J39">
        <v>0.26</v>
      </c>
      <c r="K39">
        <v>0</v>
      </c>
    </row>
    <row r="40" spans="1:11" x14ac:dyDescent="0.2">
      <c r="A40" t="s">
        <v>165</v>
      </c>
      <c r="B40" s="26">
        <v>1.57</v>
      </c>
      <c r="C40" s="26">
        <v>0.77</v>
      </c>
      <c r="D40" s="26">
        <v>1</v>
      </c>
      <c r="E40" s="26">
        <v>3.3</v>
      </c>
      <c r="F40" t="s">
        <v>149</v>
      </c>
      <c r="G40" t="s">
        <v>92</v>
      </c>
      <c r="H40" s="36">
        <v>1</v>
      </c>
      <c r="I40" t="s">
        <v>120</v>
      </c>
      <c r="J40">
        <v>0</v>
      </c>
      <c r="K40">
        <v>0</v>
      </c>
    </row>
    <row r="41" spans="1:11" x14ac:dyDescent="0.2">
      <c r="A41" t="s">
        <v>154</v>
      </c>
      <c r="B41" s="26">
        <v>1.57</v>
      </c>
      <c r="C41" s="26">
        <v>0.77</v>
      </c>
      <c r="D41" s="26">
        <v>1</v>
      </c>
      <c r="E41" s="26">
        <v>3.3</v>
      </c>
      <c r="F41" t="s">
        <v>149</v>
      </c>
      <c r="G41" t="s">
        <v>92</v>
      </c>
      <c r="H41" s="36">
        <v>0</v>
      </c>
      <c r="I41" t="s">
        <v>120</v>
      </c>
      <c r="J41">
        <v>0.45</v>
      </c>
      <c r="K41">
        <v>0</v>
      </c>
    </row>
    <row r="42" spans="1:11" x14ac:dyDescent="0.2">
      <c r="A42" t="s">
        <v>153</v>
      </c>
      <c r="B42" s="26">
        <v>1.57</v>
      </c>
      <c r="C42" s="26">
        <v>0.77</v>
      </c>
      <c r="D42" s="26">
        <v>1</v>
      </c>
      <c r="E42" s="26">
        <v>3.3</v>
      </c>
      <c r="F42" t="s">
        <v>149</v>
      </c>
      <c r="G42" t="s">
        <v>92</v>
      </c>
      <c r="H42" s="36">
        <v>0.55000000000000004</v>
      </c>
      <c r="I42" t="s">
        <v>120</v>
      </c>
      <c r="J42">
        <v>0.45</v>
      </c>
      <c r="K42">
        <v>0</v>
      </c>
    </row>
    <row r="43" spans="1:11" x14ac:dyDescent="0.2">
      <c r="A43" t="s">
        <v>163</v>
      </c>
      <c r="B43" s="26">
        <v>1.57</v>
      </c>
      <c r="C43" s="26">
        <v>0.77</v>
      </c>
      <c r="D43" s="26">
        <v>1</v>
      </c>
      <c r="E43" s="26">
        <v>3</v>
      </c>
      <c r="F43" t="s">
        <v>149</v>
      </c>
      <c r="G43" t="s">
        <v>92</v>
      </c>
      <c r="H43" s="36">
        <v>0</v>
      </c>
      <c r="I43" t="s">
        <v>121</v>
      </c>
      <c r="J43">
        <v>0.6</v>
      </c>
      <c r="K43">
        <f>23*Ref!$B$18</f>
        <v>8.2799999999999999E-2</v>
      </c>
    </row>
    <row r="44" spans="1:11" x14ac:dyDescent="0.2">
      <c r="A44" t="s">
        <v>164</v>
      </c>
      <c r="B44" s="26">
        <v>1.57</v>
      </c>
      <c r="C44" s="26">
        <v>0.77</v>
      </c>
      <c r="D44" s="26">
        <v>1</v>
      </c>
      <c r="E44" s="26">
        <v>2.8</v>
      </c>
      <c r="F44" t="s">
        <v>149</v>
      </c>
      <c r="G44" t="s">
        <v>92</v>
      </c>
      <c r="H44" s="36">
        <v>0</v>
      </c>
      <c r="I44" t="s">
        <v>121</v>
      </c>
      <c r="J44">
        <v>0.9</v>
      </c>
      <c r="K44">
        <f>23*Ref!$B$18</f>
        <v>8.2799999999999999E-2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A9" sqref="A9"/>
    </sheetView>
  </sheetViews>
  <sheetFormatPr baseColWidth="10" defaultColWidth="11.5" defaultRowHeight="15" x14ac:dyDescent="0.2"/>
  <cols>
    <col min="1" max="1" width="22" customWidth="1"/>
    <col min="2" max="2" width="18.5" bestFit="1" customWidth="1"/>
  </cols>
  <sheetData>
    <row r="1" spans="1:6" x14ac:dyDescent="0.2">
      <c r="A1" s="21" t="s">
        <v>26</v>
      </c>
      <c r="B1" s="24" t="s">
        <v>37</v>
      </c>
      <c r="C1" s="24" t="s">
        <v>42</v>
      </c>
      <c r="D1" s="24" t="s">
        <v>44</v>
      </c>
      <c r="E1" t="s">
        <v>1</v>
      </c>
      <c r="F1" t="s">
        <v>0</v>
      </c>
    </row>
    <row r="2" spans="1:6" x14ac:dyDescent="0.2">
      <c r="A2" s="22" t="s">
        <v>24</v>
      </c>
      <c r="C2" t="s">
        <v>43</v>
      </c>
    </row>
    <row r="3" spans="1:6" x14ac:dyDescent="0.2">
      <c r="A3" s="22" t="s">
        <v>0</v>
      </c>
    </row>
    <row r="4" spans="1:6" x14ac:dyDescent="0.2">
      <c r="A4" s="19" t="s">
        <v>167</v>
      </c>
      <c r="B4" s="26">
        <v>1</v>
      </c>
      <c r="C4" s="26">
        <v>0</v>
      </c>
      <c r="D4" s="26">
        <v>1</v>
      </c>
      <c r="E4" s="26">
        <v>0</v>
      </c>
      <c r="F4" t="s">
        <v>79</v>
      </c>
    </row>
    <row r="5" spans="1:6" x14ac:dyDescent="0.2">
      <c r="A5" s="19" t="s">
        <v>67</v>
      </c>
      <c r="B5" s="26">
        <v>1</v>
      </c>
      <c r="C5" s="26">
        <v>0</v>
      </c>
      <c r="D5" s="26">
        <v>1</v>
      </c>
      <c r="E5" s="26">
        <v>0</v>
      </c>
      <c r="F5" t="s">
        <v>79</v>
      </c>
    </row>
    <row r="6" spans="1:6" x14ac:dyDescent="0.2">
      <c r="A6" t="s">
        <v>152</v>
      </c>
      <c r="B6" s="26">
        <v>1</v>
      </c>
      <c r="C6" s="26">
        <v>0</v>
      </c>
      <c r="D6" s="26">
        <v>1</v>
      </c>
      <c r="E6" s="26">
        <v>0</v>
      </c>
      <c r="F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="140" zoomScaleNormal="140" workbookViewId="0">
      <selection activeCell="A10" sqref="A10"/>
    </sheetView>
  </sheetViews>
  <sheetFormatPr baseColWidth="10" defaultColWidth="11.5" defaultRowHeight="15" x14ac:dyDescent="0.2"/>
  <sheetData>
    <row r="1" spans="1:6" x14ac:dyDescent="0.2">
      <c r="A1" s="21" t="s">
        <v>26</v>
      </c>
      <c r="B1" t="s">
        <v>33</v>
      </c>
      <c r="C1" t="s">
        <v>1</v>
      </c>
      <c r="D1" t="s">
        <v>38</v>
      </c>
      <c r="E1" t="s">
        <v>40</v>
      </c>
      <c r="F1" t="s">
        <v>48</v>
      </c>
    </row>
    <row r="2" spans="1:6" x14ac:dyDescent="0.2">
      <c r="A2" s="22" t="s">
        <v>24</v>
      </c>
      <c r="B2" t="s">
        <v>34</v>
      </c>
      <c r="D2" t="s">
        <v>39</v>
      </c>
      <c r="E2" t="s">
        <v>41</v>
      </c>
      <c r="F2" t="s">
        <v>49</v>
      </c>
    </row>
    <row r="3" spans="1:6" x14ac:dyDescent="0.2">
      <c r="A3" s="22" t="s">
        <v>0</v>
      </c>
    </row>
    <row r="4" spans="1:6" x14ac:dyDescent="0.2">
      <c r="A4" s="19" t="s">
        <v>167</v>
      </c>
      <c r="B4" s="26">
        <v>0.95</v>
      </c>
      <c r="C4">
        <f>16*Ref!$B$18</f>
        <v>5.7599999999999998E-2</v>
      </c>
      <c r="D4" s="26">
        <v>0.05</v>
      </c>
      <c r="E4" s="26">
        <v>0</v>
      </c>
      <c r="F4" s="26">
        <v>0</v>
      </c>
    </row>
    <row r="5" spans="1:6" x14ac:dyDescent="0.2">
      <c r="A5" s="19" t="s">
        <v>67</v>
      </c>
      <c r="B5" s="26">
        <v>0.95</v>
      </c>
      <c r="C5">
        <f>16*Ref!$B$18</f>
        <v>5.7599999999999998E-2</v>
      </c>
      <c r="D5" s="26">
        <v>0.05</v>
      </c>
      <c r="E5" s="26">
        <v>0</v>
      </c>
      <c r="F5" s="26">
        <v>0</v>
      </c>
    </row>
    <row r="6" spans="1:6" x14ac:dyDescent="0.2">
      <c r="A6" s="19" t="s">
        <v>143</v>
      </c>
      <c r="B6" s="26">
        <v>0.95</v>
      </c>
      <c r="C6">
        <f>40*Ref!$B$18</f>
        <v>0.14399999999999999</v>
      </c>
      <c r="D6" s="26">
        <v>0.05</v>
      </c>
      <c r="E6" s="26">
        <v>0</v>
      </c>
      <c r="F6" s="26">
        <v>0</v>
      </c>
    </row>
    <row r="7" spans="1:6" x14ac:dyDescent="0.2">
      <c r="A7" s="19" t="s">
        <v>144</v>
      </c>
      <c r="B7" s="26">
        <v>0.95</v>
      </c>
      <c r="C7">
        <f>40*Ref!$B$18</f>
        <v>0.14399999999999999</v>
      </c>
      <c r="D7" s="26">
        <v>0.05</v>
      </c>
      <c r="E7" s="26">
        <v>0</v>
      </c>
      <c r="F7" s="26">
        <v>0</v>
      </c>
    </row>
    <row r="8" spans="1:6" x14ac:dyDescent="0.2">
      <c r="A8" s="19" t="s">
        <v>112</v>
      </c>
      <c r="B8" s="26">
        <v>0.95</v>
      </c>
      <c r="C8">
        <f>40*Ref!$B$18</f>
        <v>0.14399999999999999</v>
      </c>
      <c r="D8" s="26">
        <v>0.05</v>
      </c>
      <c r="E8" s="26">
        <v>0</v>
      </c>
      <c r="F8" s="26">
        <v>0</v>
      </c>
    </row>
    <row r="9" spans="1:6" x14ac:dyDescent="0.2">
      <c r="A9" s="19" t="s">
        <v>113</v>
      </c>
      <c r="B9" s="26">
        <v>0.95</v>
      </c>
      <c r="C9">
        <f>40*Ref!$B$18</f>
        <v>0.14399999999999999</v>
      </c>
      <c r="D9" s="26">
        <v>0.05</v>
      </c>
      <c r="E9" s="26">
        <v>0</v>
      </c>
      <c r="F9" s="26">
        <v>0</v>
      </c>
    </row>
    <row r="10" spans="1:6" x14ac:dyDescent="0.2">
      <c r="A10" t="s">
        <v>145</v>
      </c>
      <c r="B10" s="26">
        <v>0.73699999999999999</v>
      </c>
      <c r="C10">
        <f>(97-(65*B10))*Ref!$B$18</f>
        <v>0.17674199999999998</v>
      </c>
      <c r="D10" s="26">
        <v>0.05</v>
      </c>
      <c r="E10">
        <f>1-(B10+D10)</f>
        <v>0.21299999999999997</v>
      </c>
      <c r="F10" s="26">
        <v>0</v>
      </c>
    </row>
    <row r="11" spans="1:6" x14ac:dyDescent="0.2">
      <c r="A11" t="s">
        <v>148</v>
      </c>
      <c r="B11" s="26">
        <v>0.73699999999999999</v>
      </c>
      <c r="C11">
        <f>(97*Ref!$B$18)</f>
        <v>0.34920000000000001</v>
      </c>
      <c r="D11" s="26">
        <v>0.05</v>
      </c>
      <c r="E11">
        <f>1-(B11+D11)</f>
        <v>0.21299999999999997</v>
      </c>
      <c r="F11" s="26">
        <v>0</v>
      </c>
    </row>
    <row r="12" spans="1:6" x14ac:dyDescent="0.2">
      <c r="A12" t="s">
        <v>152</v>
      </c>
      <c r="B12" s="26">
        <v>0.73699999999999999</v>
      </c>
      <c r="C12">
        <f>(97*Ref!$B$18)</f>
        <v>0.34920000000000001</v>
      </c>
      <c r="D12" s="26">
        <v>0.05</v>
      </c>
      <c r="E12">
        <f t="shared" ref="E12" si="0">1-(B12+D12)</f>
        <v>0.21299999999999997</v>
      </c>
      <c r="F12" s="26">
        <v>0</v>
      </c>
    </row>
    <row r="13" spans="1:6" x14ac:dyDescent="0.2">
      <c r="A13" t="s">
        <v>163</v>
      </c>
      <c r="C13">
        <f>16*Ref!$B$18</f>
        <v>5.7599999999999998E-2</v>
      </c>
    </row>
    <row r="14" spans="1:6" x14ac:dyDescent="0.2">
      <c r="A14" t="s">
        <v>164</v>
      </c>
      <c r="C14">
        <f>16*Ref!$B$18</f>
        <v>5.7599999999999998E-2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A88C-4846-704F-87E5-A9C35CE958BB}">
  <dimension ref="A1:V46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baseColWidth="10" defaultRowHeight="15" x14ac:dyDescent="0.2"/>
  <cols>
    <col min="1" max="1" width="26.83203125" customWidth="1"/>
    <col min="2" max="4" width="12.6640625" bestFit="1" customWidth="1"/>
    <col min="5" max="5" width="12.6640625" style="26" customWidth="1"/>
    <col min="6" max="7" width="12.6640625" bestFit="1" customWidth="1"/>
    <col min="8" max="8" width="14.6640625" bestFit="1" customWidth="1"/>
    <col min="10" max="10" width="12.1640625" bestFit="1" customWidth="1"/>
    <col min="13" max="13" width="11.6640625" bestFit="1" customWidth="1"/>
    <col min="14" max="14" width="11.6640625" customWidth="1"/>
    <col min="20" max="20" width="10.83203125" style="43"/>
  </cols>
  <sheetData>
    <row r="1" spans="1:22" x14ac:dyDescent="0.2">
      <c r="A1" s="21" t="s">
        <v>26</v>
      </c>
      <c r="B1" t="s">
        <v>57</v>
      </c>
      <c r="C1" t="s">
        <v>58</v>
      </c>
      <c r="D1" t="s">
        <v>59</v>
      </c>
      <c r="E1" s="26" t="s">
        <v>107</v>
      </c>
      <c r="F1" t="s">
        <v>60</v>
      </c>
      <c r="G1" t="s">
        <v>66</v>
      </c>
      <c r="H1" t="s">
        <v>61</v>
      </c>
      <c r="I1" t="s">
        <v>88</v>
      </c>
      <c r="J1" t="s">
        <v>62</v>
      </c>
      <c r="K1" t="s">
        <v>64</v>
      </c>
      <c r="L1" t="s">
        <v>73</v>
      </c>
      <c r="M1" t="s">
        <v>76</v>
      </c>
      <c r="N1" t="s">
        <v>90</v>
      </c>
      <c r="O1" t="s">
        <v>75</v>
      </c>
      <c r="P1" t="s">
        <v>77</v>
      </c>
      <c r="Q1" t="s">
        <v>89</v>
      </c>
      <c r="R1" t="s">
        <v>86</v>
      </c>
      <c r="S1" t="s">
        <v>126</v>
      </c>
      <c r="T1" s="43" t="s">
        <v>137</v>
      </c>
      <c r="U1" t="s">
        <v>63</v>
      </c>
      <c r="V1" t="s">
        <v>0</v>
      </c>
    </row>
    <row r="2" spans="1:22" s="24" customFormat="1" x14ac:dyDescent="0.2">
      <c r="A2" s="27" t="s">
        <v>24</v>
      </c>
      <c r="B2" s="24" t="s">
        <v>80</v>
      </c>
      <c r="C2" s="24" t="s">
        <v>80</v>
      </c>
      <c r="D2" s="24" t="s">
        <v>80</v>
      </c>
      <c r="E2" s="26" t="s">
        <v>108</v>
      </c>
      <c r="F2" s="24" t="s">
        <v>80</v>
      </c>
      <c r="G2" s="24" t="s">
        <v>80</v>
      </c>
      <c r="H2" s="24" t="s">
        <v>81</v>
      </c>
      <c r="J2" s="24" t="s">
        <v>83</v>
      </c>
      <c r="K2" s="24" t="s">
        <v>65</v>
      </c>
      <c r="L2" s="24" t="s">
        <v>74</v>
      </c>
      <c r="M2" s="24" t="s">
        <v>82</v>
      </c>
      <c r="N2" s="26" t="s">
        <v>91</v>
      </c>
      <c r="O2" s="26" t="s">
        <v>84</v>
      </c>
      <c r="P2" s="24" t="s">
        <v>78</v>
      </c>
      <c r="Q2" s="26" t="s">
        <v>85</v>
      </c>
      <c r="R2" s="26" t="s">
        <v>87</v>
      </c>
      <c r="S2" s="25" t="s">
        <v>127</v>
      </c>
      <c r="T2" s="43" t="s">
        <v>140</v>
      </c>
    </row>
    <row r="3" spans="1:22" s="26" customFormat="1" x14ac:dyDescent="0.2">
      <c r="A3" s="28" t="s">
        <v>167</v>
      </c>
      <c r="B3" s="32">
        <v>0.34399999999999997</v>
      </c>
      <c r="C3" s="32">
        <v>0.85899999999999999</v>
      </c>
      <c r="D3" s="32">
        <v>0.96</v>
      </c>
      <c r="E3" s="26">
        <v>0</v>
      </c>
      <c r="F3" s="32">
        <v>0.20699999999999999</v>
      </c>
      <c r="G3" s="32">
        <v>0</v>
      </c>
      <c r="H3" s="30">
        <f t="shared" ref="H3" si="0">(B3*O3*L3)</f>
        <v>0</v>
      </c>
      <c r="I3" s="31">
        <v>1.1999999999999999E-3</v>
      </c>
      <c r="J3" s="26">
        <f>5*Ref!$B$18</f>
        <v>1.7999999999999999E-2</v>
      </c>
      <c r="K3" s="32">
        <f t="shared" ref="K3" si="1">SUM(B3:I3)</f>
        <v>2.3711999999999995</v>
      </c>
      <c r="L3" s="29">
        <v>0</v>
      </c>
      <c r="M3" s="26">
        <f>H3*((1-P3)/P3)</f>
        <v>0</v>
      </c>
      <c r="N3" s="26">
        <v>0</v>
      </c>
      <c r="O3" s="26">
        <v>0.49</v>
      </c>
      <c r="P3" s="26">
        <v>0.6</v>
      </c>
      <c r="Q3" s="26">
        <v>200</v>
      </c>
      <c r="R3" s="26">
        <v>0.04</v>
      </c>
      <c r="S3" s="26">
        <v>0</v>
      </c>
      <c r="T3" s="43">
        <v>0</v>
      </c>
    </row>
    <row r="4" spans="1:22" s="26" customFormat="1" x14ac:dyDescent="0.2">
      <c r="A4" s="28" t="s">
        <v>67</v>
      </c>
      <c r="B4" s="32">
        <v>0.34399999999999997</v>
      </c>
      <c r="C4" s="32">
        <v>0.85899999999999999</v>
      </c>
      <c r="D4" s="32">
        <v>0.96</v>
      </c>
      <c r="E4" s="26">
        <v>0</v>
      </c>
      <c r="F4" s="32">
        <v>0.20699999999999999</v>
      </c>
      <c r="G4" s="32">
        <v>0</v>
      </c>
      <c r="H4" s="30">
        <f t="shared" ref="H4:H35" si="2">(B4*O4*L4)</f>
        <v>0</v>
      </c>
      <c r="I4" s="31">
        <v>1.1999999999999999E-3</v>
      </c>
      <c r="J4" s="26">
        <f>5*Ref!$B$18</f>
        <v>1.7999999999999999E-2</v>
      </c>
      <c r="K4" s="32">
        <f t="shared" ref="K4:K35" si="3">SUM(B4:I4)</f>
        <v>2.3711999999999995</v>
      </c>
      <c r="L4" s="29">
        <v>0</v>
      </c>
      <c r="M4" s="26">
        <f>H4*((1-P4)/P4)</f>
        <v>0</v>
      </c>
      <c r="N4" s="26">
        <v>0</v>
      </c>
      <c r="O4" s="26">
        <v>0.49</v>
      </c>
      <c r="P4" s="26">
        <v>0.6</v>
      </c>
      <c r="Q4" s="26">
        <v>200</v>
      </c>
      <c r="R4" s="26">
        <v>0.04</v>
      </c>
      <c r="S4" s="26">
        <v>0</v>
      </c>
      <c r="T4" s="43">
        <v>0</v>
      </c>
    </row>
    <row r="5" spans="1:22" s="26" customFormat="1" x14ac:dyDescent="0.2">
      <c r="A5" s="28" t="s">
        <v>70</v>
      </c>
      <c r="B5" s="32">
        <v>0.34399999999999997</v>
      </c>
      <c r="C5" s="32">
        <v>0.85899999999999999</v>
      </c>
      <c r="D5" s="32">
        <v>0.96</v>
      </c>
      <c r="E5" s="26">
        <v>0</v>
      </c>
      <c r="F5" s="32">
        <v>0.20699999999999999</v>
      </c>
      <c r="G5" s="32">
        <v>0</v>
      </c>
      <c r="H5" s="31">
        <f t="shared" si="2"/>
        <v>0</v>
      </c>
      <c r="I5" s="31">
        <v>1.1999999999999999E-3</v>
      </c>
      <c r="J5" s="26">
        <f>5*Ref!$B$18</f>
        <v>1.7999999999999999E-2</v>
      </c>
      <c r="K5" s="32">
        <f t="shared" si="3"/>
        <v>2.3711999999999995</v>
      </c>
      <c r="L5" s="33">
        <v>0</v>
      </c>
      <c r="M5" s="26">
        <f>H5*((1-P5)/P5)</f>
        <v>0</v>
      </c>
      <c r="N5" s="26">
        <v>0</v>
      </c>
      <c r="O5" s="26">
        <v>0.49</v>
      </c>
      <c r="P5" s="26">
        <v>0.6</v>
      </c>
      <c r="Q5" s="26">
        <v>200</v>
      </c>
      <c r="R5" s="26">
        <v>0.04</v>
      </c>
      <c r="S5" s="26">
        <v>0</v>
      </c>
      <c r="T5" s="43">
        <v>0</v>
      </c>
    </row>
    <row r="6" spans="1:22" s="26" customFormat="1" x14ac:dyDescent="0.2">
      <c r="A6" s="28" t="s">
        <v>68</v>
      </c>
      <c r="B6" s="32">
        <f>0.344*0.95</f>
        <v>0.32679999999999998</v>
      </c>
      <c r="C6" s="32">
        <f>0.859+((0.344-B6)*(14/16.9))</f>
        <v>0.87324852071005921</v>
      </c>
      <c r="D6" s="32">
        <v>0.96</v>
      </c>
      <c r="E6" s="26">
        <v>0</v>
      </c>
      <c r="F6" s="32">
        <v>0.20699999999999999</v>
      </c>
      <c r="G6" s="32">
        <v>0</v>
      </c>
      <c r="H6" s="31">
        <f t="shared" si="2"/>
        <v>4.8039600000000001E-4</v>
      </c>
      <c r="I6" s="31">
        <v>1.1999999999999999E-3</v>
      </c>
      <c r="J6" s="26">
        <f>5.018*Ref!$B$18</f>
        <v>1.8064799999999999E-2</v>
      </c>
      <c r="K6" s="32">
        <f t="shared" si="3"/>
        <v>2.3687289167100589</v>
      </c>
      <c r="L6" s="33">
        <v>3.0000000000000001E-3</v>
      </c>
      <c r="M6" s="30">
        <f>H6*((1-P6)/P6)+(0.00000009)</f>
        <v>3.2035400000000007E-4</v>
      </c>
      <c r="N6" s="30">
        <v>0</v>
      </c>
      <c r="O6" s="26">
        <v>0.49</v>
      </c>
      <c r="P6" s="26">
        <v>0.6</v>
      </c>
      <c r="Q6" s="26">
        <v>200</v>
      </c>
      <c r="R6" s="26">
        <v>0.04</v>
      </c>
      <c r="S6" s="26">
        <v>0</v>
      </c>
      <c r="T6" s="43">
        <v>0</v>
      </c>
    </row>
    <row r="7" spans="1:22" s="26" customFormat="1" x14ac:dyDescent="0.2">
      <c r="A7" s="28" t="s">
        <v>69</v>
      </c>
      <c r="B7" s="32">
        <f>0.344*0.95</f>
        <v>0.32679999999999998</v>
      </c>
      <c r="C7" s="32">
        <f>0.859+((0.344-B7)*(14/16.9))</f>
        <v>0.87324852071005921</v>
      </c>
      <c r="D7" s="32">
        <v>0.96</v>
      </c>
      <c r="E7" s="26">
        <v>0</v>
      </c>
      <c r="F7" s="32">
        <v>0.20699999999999999</v>
      </c>
      <c r="G7" s="32">
        <v>0</v>
      </c>
      <c r="H7" s="31">
        <f t="shared" si="2"/>
        <v>4.8039600000000001E-4</v>
      </c>
      <c r="I7" s="31">
        <v>1.1999999999999999E-3</v>
      </c>
      <c r="J7" s="26">
        <f>5.018*Ref!$B$18</f>
        <v>1.8064799999999999E-2</v>
      </c>
      <c r="K7" s="32">
        <f t="shared" si="3"/>
        <v>2.3687289167100589</v>
      </c>
      <c r="L7" s="33">
        <v>3.0000000000000001E-3</v>
      </c>
      <c r="M7" s="30">
        <f>H7*((1-P7)/P7)+(0.00000009)</f>
        <v>3.2035400000000007E-4</v>
      </c>
      <c r="N7" s="30">
        <v>0</v>
      </c>
      <c r="O7" s="26">
        <v>0.49</v>
      </c>
      <c r="P7" s="26">
        <v>0.6</v>
      </c>
      <c r="Q7" s="26">
        <v>200</v>
      </c>
      <c r="R7" s="26">
        <v>0.04</v>
      </c>
      <c r="S7" s="26">
        <v>0</v>
      </c>
      <c r="T7" s="43">
        <v>0</v>
      </c>
    </row>
    <row r="8" spans="1:22" s="26" customFormat="1" x14ac:dyDescent="0.2">
      <c r="A8" s="28" t="s">
        <v>71</v>
      </c>
      <c r="B8" s="32">
        <v>0.34399999999999997</v>
      </c>
      <c r="C8" s="32">
        <v>0.85899999999999999</v>
      </c>
      <c r="D8" s="32">
        <v>0.96</v>
      </c>
      <c r="E8" s="26">
        <v>0</v>
      </c>
      <c r="F8" s="32">
        <v>0.20699999999999999</v>
      </c>
      <c r="G8" s="32">
        <v>0</v>
      </c>
      <c r="H8" s="31">
        <f t="shared" si="2"/>
        <v>1.6855999999999999E-2</v>
      </c>
      <c r="I8" s="31">
        <v>1.1999999999999999E-3</v>
      </c>
      <c r="J8" s="26">
        <f>5*Ref!$B$18+2.76*2*(D8+M8)*Ref!$B$18</f>
        <v>3.7300428287999995E-2</v>
      </c>
      <c r="K8" s="32">
        <f t="shared" si="3"/>
        <v>2.3880559999999997</v>
      </c>
      <c r="L8" s="33">
        <v>0.1</v>
      </c>
      <c r="M8" s="26">
        <f t="shared" ref="M8:M35" si="4">H8*((1-P8)/P8)</f>
        <v>1.1237333333333334E-2</v>
      </c>
      <c r="N8" s="26">
        <v>0</v>
      </c>
      <c r="O8" s="26">
        <v>0.49</v>
      </c>
      <c r="P8" s="26">
        <v>0.6</v>
      </c>
      <c r="Q8" s="26">
        <v>200</v>
      </c>
      <c r="R8" s="26">
        <v>0.04</v>
      </c>
      <c r="S8" s="26">
        <v>0</v>
      </c>
      <c r="T8" s="43">
        <v>1</v>
      </c>
    </row>
    <row r="9" spans="1:22" s="26" customFormat="1" x14ac:dyDescent="0.2">
      <c r="A9" s="28" t="s">
        <v>72</v>
      </c>
      <c r="B9" s="32">
        <v>0.34399999999999997</v>
      </c>
      <c r="C9" s="32">
        <v>0.85899999999999999</v>
      </c>
      <c r="D9" s="32">
        <v>0.96</v>
      </c>
      <c r="E9" s="26">
        <v>0</v>
      </c>
      <c r="F9" s="32">
        <v>0.20699999999999999</v>
      </c>
      <c r="G9" s="32">
        <v>0</v>
      </c>
      <c r="H9" s="31">
        <f t="shared" si="2"/>
        <v>1.6855999999999999E-2</v>
      </c>
      <c r="I9" s="31">
        <v>1.1999999999999999E-3</v>
      </c>
      <c r="J9" s="26">
        <f>5*Ref!$B$18+2.76*2*(D9+M9)*Ref!$B$18</f>
        <v>3.7300428287999995E-2</v>
      </c>
      <c r="K9" s="32">
        <f t="shared" si="3"/>
        <v>2.3880559999999997</v>
      </c>
      <c r="L9" s="33">
        <v>0.1</v>
      </c>
      <c r="M9" s="26">
        <f t="shared" si="4"/>
        <v>1.1237333333333334E-2</v>
      </c>
      <c r="N9" s="26">
        <v>0</v>
      </c>
      <c r="O9" s="26">
        <v>0.49</v>
      </c>
      <c r="P9" s="26">
        <v>0.6</v>
      </c>
      <c r="Q9" s="26">
        <v>200</v>
      </c>
      <c r="R9" s="26">
        <v>0.04</v>
      </c>
      <c r="S9" s="26">
        <v>0</v>
      </c>
      <c r="T9" s="43">
        <v>1</v>
      </c>
    </row>
    <row r="10" spans="1:22" s="26" customFormat="1" x14ac:dyDescent="0.2">
      <c r="A10" s="28" t="s">
        <v>122</v>
      </c>
      <c r="B10" s="32">
        <v>0.34399999999999997</v>
      </c>
      <c r="C10" s="32">
        <v>0.85899999999999999</v>
      </c>
      <c r="D10" s="32">
        <v>0.96</v>
      </c>
      <c r="E10" s="26">
        <v>0</v>
      </c>
      <c r="F10" s="32">
        <v>0.20699999999999999</v>
      </c>
      <c r="G10" s="32">
        <v>0</v>
      </c>
      <c r="H10" s="31">
        <f t="shared" si="2"/>
        <v>1.6855999999999999E-2</v>
      </c>
      <c r="I10" s="31">
        <v>1.1999999999999999E-3</v>
      </c>
      <c r="J10" s="26">
        <f>5*Ref!$B$18+2.76*2*(D10+M10)*Ref!$B$18</f>
        <v>3.7300428287999995E-2</v>
      </c>
      <c r="K10" s="32">
        <f t="shared" si="3"/>
        <v>2.3880559999999997</v>
      </c>
      <c r="L10" s="33">
        <v>0.1</v>
      </c>
      <c r="M10" s="26">
        <f t="shared" si="4"/>
        <v>1.1237333333333334E-2</v>
      </c>
      <c r="N10" s="26">
        <v>1</v>
      </c>
      <c r="O10" s="26">
        <v>0.49</v>
      </c>
      <c r="P10" s="26">
        <v>0.6</v>
      </c>
      <c r="Q10" s="26">
        <v>200</v>
      </c>
      <c r="R10" s="26">
        <v>0.04</v>
      </c>
      <c r="S10" s="26">
        <v>0</v>
      </c>
      <c r="T10" s="43">
        <v>1</v>
      </c>
    </row>
    <row r="11" spans="1:22" s="26" customFormat="1" x14ac:dyDescent="0.2">
      <c r="A11" s="28" t="s">
        <v>123</v>
      </c>
      <c r="B11" s="32">
        <v>0.34399999999999997</v>
      </c>
      <c r="C11" s="32">
        <v>0.85899999999999999</v>
      </c>
      <c r="D11" s="32">
        <v>0.96</v>
      </c>
      <c r="E11" s="26">
        <v>0</v>
      </c>
      <c r="F11" s="32">
        <v>0.20699999999999999</v>
      </c>
      <c r="G11" s="32">
        <v>0</v>
      </c>
      <c r="H11" s="31">
        <f t="shared" si="2"/>
        <v>1.6855999999999999E-2</v>
      </c>
      <c r="I11" s="31">
        <v>1.1999999999999999E-3</v>
      </c>
      <c r="J11" s="26">
        <f>5*Ref!$B$18+2.76*2*(D11+M11)*Ref!$B$18</f>
        <v>3.7300428287999995E-2</v>
      </c>
      <c r="K11" s="32">
        <f t="shared" si="3"/>
        <v>2.3880559999999997</v>
      </c>
      <c r="L11" s="33">
        <v>0.1</v>
      </c>
      <c r="M11" s="26">
        <f t="shared" si="4"/>
        <v>1.1237333333333334E-2</v>
      </c>
      <c r="N11" s="26">
        <v>1</v>
      </c>
      <c r="O11" s="26">
        <v>0.49</v>
      </c>
      <c r="P11" s="26">
        <v>0.6</v>
      </c>
      <c r="Q11" s="26">
        <v>200</v>
      </c>
      <c r="R11" s="26">
        <v>0.04</v>
      </c>
      <c r="S11" s="26">
        <v>0</v>
      </c>
      <c r="T11" s="43">
        <v>1</v>
      </c>
    </row>
    <row r="12" spans="1:22" x14ac:dyDescent="0.2">
      <c r="A12" s="28" t="s">
        <v>93</v>
      </c>
      <c r="B12" s="32">
        <f>0.344*1.1</f>
        <v>0.37840000000000001</v>
      </c>
      <c r="C12" s="32">
        <f>0.859+((0.344-B12)*(14/16.9))</f>
        <v>0.83050295857988166</v>
      </c>
      <c r="D12" s="32">
        <v>0.96</v>
      </c>
      <c r="E12" s="26">
        <v>0</v>
      </c>
      <c r="F12" s="32">
        <v>0.20699999999999999</v>
      </c>
      <c r="G12" s="32">
        <v>0</v>
      </c>
      <c r="H12" s="31">
        <f t="shared" si="2"/>
        <v>1.8541600000000002E-2</v>
      </c>
      <c r="I12" s="31">
        <v>1.1999999999999999E-3</v>
      </c>
      <c r="J12" s="26">
        <f>5*Ref!$B$18+2.76*2*(D12+M12)*Ref!$B$18</f>
        <v>3.7322759116799997E-2</v>
      </c>
      <c r="K12" s="32">
        <f t="shared" si="3"/>
        <v>2.3956445585798809</v>
      </c>
      <c r="L12" s="33">
        <v>0.1</v>
      </c>
      <c r="M12" s="26">
        <f t="shared" si="4"/>
        <v>1.2361066666666668E-2</v>
      </c>
      <c r="N12" s="26">
        <v>0</v>
      </c>
      <c r="O12" s="26">
        <v>0.49</v>
      </c>
      <c r="P12" s="26">
        <v>0.6</v>
      </c>
      <c r="Q12" s="26">
        <v>200</v>
      </c>
      <c r="R12" s="26">
        <v>0.04</v>
      </c>
      <c r="S12" s="26">
        <v>0</v>
      </c>
      <c r="T12" s="43">
        <v>1</v>
      </c>
    </row>
    <row r="13" spans="1:22" x14ac:dyDescent="0.2">
      <c r="A13" s="28" t="s">
        <v>94</v>
      </c>
      <c r="B13" s="32">
        <f>0.344*1.1</f>
        <v>0.37840000000000001</v>
      </c>
      <c r="C13" s="32">
        <f>0.859+((0.344-B13)*(14/16.9))</f>
        <v>0.83050295857988166</v>
      </c>
      <c r="D13" s="32">
        <v>0.96</v>
      </c>
      <c r="E13" s="26">
        <v>0</v>
      </c>
      <c r="F13" s="32">
        <v>0.20699999999999999</v>
      </c>
      <c r="G13" s="32">
        <v>0</v>
      </c>
      <c r="H13" s="31">
        <f t="shared" si="2"/>
        <v>1.8541600000000002E-2</v>
      </c>
      <c r="I13" s="31">
        <v>1.1999999999999999E-3</v>
      </c>
      <c r="J13" s="26">
        <f>5*Ref!$B$18+2.76*2*(D13+M13)*Ref!$B$18</f>
        <v>3.7322759116799997E-2</v>
      </c>
      <c r="K13" s="32">
        <f t="shared" si="3"/>
        <v>2.3956445585798809</v>
      </c>
      <c r="L13" s="33">
        <v>0.1</v>
      </c>
      <c r="M13" s="26">
        <f t="shared" si="4"/>
        <v>1.2361066666666668E-2</v>
      </c>
      <c r="N13" s="26">
        <v>0</v>
      </c>
      <c r="O13" s="26">
        <v>0.49</v>
      </c>
      <c r="P13" s="26">
        <v>0.6</v>
      </c>
      <c r="Q13" s="26">
        <v>200</v>
      </c>
      <c r="R13" s="26">
        <v>0.04</v>
      </c>
      <c r="S13" s="26">
        <v>0</v>
      </c>
      <c r="T13" s="43">
        <v>1</v>
      </c>
    </row>
    <row r="14" spans="1:22" x14ac:dyDescent="0.2">
      <c r="A14" s="28" t="s">
        <v>96</v>
      </c>
      <c r="B14" s="32">
        <f>0.344*0.9</f>
        <v>0.30959999999999999</v>
      </c>
      <c r="C14" s="32">
        <f>0.859+((0.344-B14)*(14/16.9))</f>
        <v>0.88749704142011832</v>
      </c>
      <c r="D14" s="32">
        <v>0.96</v>
      </c>
      <c r="E14" s="26">
        <v>0</v>
      </c>
      <c r="F14" s="32">
        <v>0.20699999999999999</v>
      </c>
      <c r="G14" s="32">
        <v>0</v>
      </c>
      <c r="H14" s="31">
        <f t="shared" si="2"/>
        <v>1.5170399999999999E-2</v>
      </c>
      <c r="I14" s="31">
        <v>1.1999999999999999E-3</v>
      </c>
      <c r="J14" s="26">
        <f>5*Ref!$B$18+2.76*2*(D14+M14)*Ref!$B$18</f>
        <v>3.7278097459199994E-2</v>
      </c>
      <c r="K14" s="32">
        <f t="shared" si="3"/>
        <v>2.3804674414201181</v>
      </c>
      <c r="L14" s="33">
        <v>0.1</v>
      </c>
      <c r="M14" s="26">
        <f t="shared" si="4"/>
        <v>1.01136E-2</v>
      </c>
      <c r="N14" s="26">
        <v>0</v>
      </c>
      <c r="O14" s="26">
        <v>0.49</v>
      </c>
      <c r="P14" s="26">
        <v>0.6</v>
      </c>
      <c r="Q14" s="26">
        <v>200</v>
      </c>
      <c r="R14" s="26">
        <v>0.04</v>
      </c>
      <c r="S14" s="26">
        <v>0</v>
      </c>
      <c r="T14" s="43">
        <v>1</v>
      </c>
    </row>
    <row r="15" spans="1:22" x14ac:dyDescent="0.2">
      <c r="A15" s="28" t="s">
        <v>95</v>
      </c>
      <c r="B15" s="32">
        <f>0.344*0.9</f>
        <v>0.30959999999999999</v>
      </c>
      <c r="C15" s="32">
        <f>0.859+((0.344-B15)*(14/16.9))</f>
        <v>0.88749704142011832</v>
      </c>
      <c r="D15" s="32">
        <v>0.96</v>
      </c>
      <c r="E15" s="26">
        <v>0</v>
      </c>
      <c r="F15" s="32">
        <v>0.20699999999999999</v>
      </c>
      <c r="G15" s="32">
        <v>0</v>
      </c>
      <c r="H15" s="31">
        <f t="shared" si="2"/>
        <v>1.5170399999999999E-2</v>
      </c>
      <c r="I15" s="31">
        <v>1.1999999999999999E-3</v>
      </c>
      <c r="J15" s="26">
        <f>5*Ref!$B$18+2.76*2*(D15+M15)*Ref!$B$18</f>
        <v>3.7278097459199994E-2</v>
      </c>
      <c r="K15" s="32">
        <f t="shared" si="3"/>
        <v>2.3804674414201181</v>
      </c>
      <c r="L15" s="33">
        <v>0.1</v>
      </c>
      <c r="M15" s="26">
        <f t="shared" si="4"/>
        <v>1.01136E-2</v>
      </c>
      <c r="N15" s="26">
        <v>0</v>
      </c>
      <c r="O15" s="26">
        <v>0.49</v>
      </c>
      <c r="P15" s="26">
        <v>0.6</v>
      </c>
      <c r="Q15" s="26">
        <v>200</v>
      </c>
      <c r="R15" s="26">
        <v>0.04</v>
      </c>
      <c r="S15" s="26">
        <v>0</v>
      </c>
      <c r="T15" s="43">
        <v>1</v>
      </c>
    </row>
    <row r="16" spans="1:22" x14ac:dyDescent="0.2">
      <c r="A16" s="28" t="s">
        <v>100</v>
      </c>
      <c r="B16" s="23">
        <f t="shared" ref="B16:B21" si="5">1.6/0.00788/1000</f>
        <v>0.20304568527918784</v>
      </c>
      <c r="C16" s="23">
        <f t="shared" ref="C16:C21" si="6">8.3/0.00788/1000</f>
        <v>1.0532994923857868</v>
      </c>
      <c r="D16" s="23">
        <f t="shared" ref="D16:D23" si="7">5.5/0.00788/1000</f>
        <v>0.69796954314720816</v>
      </c>
      <c r="E16" s="26">
        <v>0</v>
      </c>
      <c r="F16" s="23">
        <f t="shared" ref="F16:F23" si="8">0.9/0.00788/1000</f>
        <v>0.11421319796954314</v>
      </c>
      <c r="G16" s="32">
        <v>0</v>
      </c>
      <c r="H16" s="31">
        <f t="shared" si="2"/>
        <v>0</v>
      </c>
      <c r="I16" s="31">
        <v>0</v>
      </c>
      <c r="J16" s="31">
        <f>(2*K16+5)*Ref!$B$18</f>
        <v>3.2893401015228425E-2</v>
      </c>
      <c r="K16" s="32">
        <f t="shared" si="3"/>
        <v>2.0685279187817258</v>
      </c>
      <c r="L16" s="33">
        <v>0</v>
      </c>
      <c r="M16" s="26">
        <f t="shared" si="4"/>
        <v>0</v>
      </c>
      <c r="N16" s="26">
        <v>0</v>
      </c>
      <c r="O16" s="26">
        <v>0.49</v>
      </c>
      <c r="P16" s="26">
        <v>0.6</v>
      </c>
      <c r="Q16" s="26">
        <v>200</v>
      </c>
      <c r="R16" s="26">
        <v>0.04</v>
      </c>
      <c r="S16" s="26">
        <v>1</v>
      </c>
      <c r="T16" s="43">
        <v>1</v>
      </c>
      <c r="U16" t="s">
        <v>102</v>
      </c>
      <c r="V16" t="s">
        <v>99</v>
      </c>
    </row>
    <row r="17" spans="1:22" x14ac:dyDescent="0.2">
      <c r="A17" s="28" t="s">
        <v>103</v>
      </c>
      <c r="B17" s="23">
        <f t="shared" si="5"/>
        <v>0.20304568527918784</v>
      </c>
      <c r="C17" s="23">
        <f t="shared" si="6"/>
        <v>1.0532994923857868</v>
      </c>
      <c r="D17" s="23">
        <f t="shared" si="7"/>
        <v>0.69796954314720816</v>
      </c>
      <c r="E17" s="26">
        <v>0</v>
      </c>
      <c r="F17" s="23">
        <f t="shared" si="8"/>
        <v>0.11421319796954314</v>
      </c>
      <c r="G17" s="32">
        <v>0</v>
      </c>
      <c r="H17" s="31">
        <f t="shared" si="2"/>
        <v>0</v>
      </c>
      <c r="I17" s="31">
        <v>0</v>
      </c>
      <c r="J17" s="31">
        <f>(2*K17+5)*Ref!$B$18</f>
        <v>3.2893401015228425E-2</v>
      </c>
      <c r="K17" s="32">
        <f t="shared" si="3"/>
        <v>2.0685279187817258</v>
      </c>
      <c r="L17" s="33">
        <v>0</v>
      </c>
      <c r="M17" s="26">
        <f t="shared" si="4"/>
        <v>0</v>
      </c>
      <c r="N17" s="26">
        <v>0</v>
      </c>
      <c r="O17" s="26">
        <v>0.49</v>
      </c>
      <c r="P17" s="26">
        <v>0.6</v>
      </c>
      <c r="Q17" s="26">
        <v>200</v>
      </c>
      <c r="R17" s="26">
        <v>0.04</v>
      </c>
      <c r="S17" s="26">
        <v>1</v>
      </c>
      <c r="T17" s="43">
        <v>1</v>
      </c>
      <c r="U17" t="s">
        <v>102</v>
      </c>
      <c r="V17" t="s">
        <v>99</v>
      </c>
    </row>
    <row r="18" spans="1:22" x14ac:dyDescent="0.2">
      <c r="A18" s="28" t="s">
        <v>101</v>
      </c>
      <c r="B18" s="23">
        <f t="shared" si="5"/>
        <v>0.20304568527918784</v>
      </c>
      <c r="C18" s="23">
        <f t="shared" si="6"/>
        <v>1.0532994923857868</v>
      </c>
      <c r="D18" s="23">
        <f t="shared" si="7"/>
        <v>0.69796954314720816</v>
      </c>
      <c r="E18" s="26">
        <v>0</v>
      </c>
      <c r="F18" s="23">
        <f t="shared" si="8"/>
        <v>0.11421319796954314</v>
      </c>
      <c r="G18" s="32">
        <v>0</v>
      </c>
      <c r="H18" s="31">
        <f t="shared" si="2"/>
        <v>1.4923857868020305E-2</v>
      </c>
      <c r="I18" s="31">
        <v>0</v>
      </c>
      <c r="J18" s="31">
        <f>(2*K18+5)*Ref!$B$18</f>
        <v>3.3000852791878164E-2</v>
      </c>
      <c r="K18" s="32">
        <f t="shared" si="3"/>
        <v>2.083451776649746</v>
      </c>
      <c r="L18" s="34">
        <v>0.15</v>
      </c>
      <c r="M18" s="26">
        <f t="shared" si="4"/>
        <v>9.9492385786802053E-3</v>
      </c>
      <c r="N18" s="26">
        <v>0</v>
      </c>
      <c r="O18" s="26">
        <v>0.49</v>
      </c>
      <c r="P18" s="26">
        <v>0.6</v>
      </c>
      <c r="Q18" s="26">
        <v>200</v>
      </c>
      <c r="R18" s="26">
        <v>0.04</v>
      </c>
      <c r="S18" s="26">
        <v>1</v>
      </c>
      <c r="T18" s="43">
        <v>1</v>
      </c>
    </row>
    <row r="19" spans="1:22" x14ac:dyDescent="0.2">
      <c r="A19" s="28" t="s">
        <v>104</v>
      </c>
      <c r="B19" s="23">
        <f t="shared" si="5"/>
        <v>0.20304568527918784</v>
      </c>
      <c r="C19" s="23">
        <f t="shared" si="6"/>
        <v>1.0532994923857868</v>
      </c>
      <c r="D19" s="23">
        <f t="shared" si="7"/>
        <v>0.69796954314720816</v>
      </c>
      <c r="E19" s="26">
        <v>0</v>
      </c>
      <c r="F19" s="23">
        <f t="shared" si="8"/>
        <v>0.11421319796954314</v>
      </c>
      <c r="G19" s="32">
        <v>0</v>
      </c>
      <c r="H19" s="31">
        <f t="shared" si="2"/>
        <v>1.4923857868020305E-2</v>
      </c>
      <c r="I19" s="31">
        <v>0</v>
      </c>
      <c r="J19" s="31">
        <f>(2*K19+5)*Ref!$B$18</f>
        <v>3.3000852791878164E-2</v>
      </c>
      <c r="K19" s="32">
        <f t="shared" si="3"/>
        <v>2.083451776649746</v>
      </c>
      <c r="L19" s="34">
        <v>0.15</v>
      </c>
      <c r="M19" s="26">
        <f t="shared" si="4"/>
        <v>9.9492385786802053E-3</v>
      </c>
      <c r="N19" s="26">
        <v>0</v>
      </c>
      <c r="O19" s="26">
        <v>0.49</v>
      </c>
      <c r="P19" s="26">
        <v>0.6</v>
      </c>
      <c r="Q19" s="26">
        <v>200</v>
      </c>
      <c r="R19" s="26">
        <v>0.04</v>
      </c>
      <c r="S19" s="26">
        <v>1</v>
      </c>
      <c r="T19" s="43">
        <v>1</v>
      </c>
    </row>
    <row r="20" spans="1:22" x14ac:dyDescent="0.2">
      <c r="A20" s="28" t="s">
        <v>124</v>
      </c>
      <c r="B20" s="23">
        <f t="shared" si="5"/>
        <v>0.20304568527918784</v>
      </c>
      <c r="C20" s="23">
        <f t="shared" si="6"/>
        <v>1.0532994923857868</v>
      </c>
      <c r="D20" s="23">
        <f t="shared" si="7"/>
        <v>0.69796954314720816</v>
      </c>
      <c r="E20" s="26">
        <v>0</v>
      </c>
      <c r="F20" s="23">
        <f t="shared" si="8"/>
        <v>0.11421319796954314</v>
      </c>
      <c r="G20" s="32">
        <v>0</v>
      </c>
      <c r="H20" s="31">
        <f t="shared" si="2"/>
        <v>1.4923857868020305E-2</v>
      </c>
      <c r="I20" s="31">
        <v>0</v>
      </c>
      <c r="J20" s="31">
        <f>(2*K20+5)*Ref!$B$18</f>
        <v>3.3000852791878164E-2</v>
      </c>
      <c r="K20" s="32">
        <f t="shared" si="3"/>
        <v>2.083451776649746</v>
      </c>
      <c r="L20" s="34">
        <v>0.15</v>
      </c>
      <c r="M20" s="26">
        <f t="shared" si="4"/>
        <v>9.9492385786802053E-3</v>
      </c>
      <c r="N20" s="26">
        <v>1</v>
      </c>
      <c r="O20" s="26">
        <v>0.49</v>
      </c>
      <c r="P20" s="26">
        <v>0.6</v>
      </c>
      <c r="Q20" s="26">
        <v>200</v>
      </c>
      <c r="R20" s="26">
        <v>0.04</v>
      </c>
      <c r="S20" s="26">
        <v>1</v>
      </c>
      <c r="T20" s="43">
        <v>1</v>
      </c>
    </row>
    <row r="21" spans="1:22" x14ac:dyDescent="0.2">
      <c r="A21" s="28" t="s">
        <v>125</v>
      </c>
      <c r="B21" s="23">
        <f t="shared" si="5"/>
        <v>0.20304568527918784</v>
      </c>
      <c r="C21" s="23">
        <f t="shared" si="6"/>
        <v>1.0532994923857868</v>
      </c>
      <c r="D21" s="23">
        <f t="shared" si="7"/>
        <v>0.69796954314720816</v>
      </c>
      <c r="E21" s="26">
        <v>0</v>
      </c>
      <c r="F21" s="23">
        <f t="shared" si="8"/>
        <v>0.11421319796954314</v>
      </c>
      <c r="G21" s="32">
        <v>0</v>
      </c>
      <c r="H21" s="31">
        <f t="shared" si="2"/>
        <v>1.4923857868020305E-2</v>
      </c>
      <c r="I21" s="31">
        <v>0</v>
      </c>
      <c r="J21" s="31">
        <f>(2*K21+5)*Ref!$B$18</f>
        <v>3.3000852791878164E-2</v>
      </c>
      <c r="K21" s="32">
        <f t="shared" si="3"/>
        <v>2.083451776649746</v>
      </c>
      <c r="L21" s="34">
        <v>0.15</v>
      </c>
      <c r="M21" s="26">
        <f t="shared" si="4"/>
        <v>9.9492385786802053E-3</v>
      </c>
      <c r="N21" s="26">
        <v>1</v>
      </c>
      <c r="O21" s="26">
        <v>0.49</v>
      </c>
      <c r="P21" s="26">
        <v>0.6</v>
      </c>
      <c r="Q21" s="26">
        <v>200</v>
      </c>
      <c r="R21" s="26">
        <v>0.04</v>
      </c>
      <c r="S21" s="26">
        <v>1</v>
      </c>
      <c r="T21" s="43">
        <v>1</v>
      </c>
    </row>
    <row r="22" spans="1:22" x14ac:dyDescent="0.2">
      <c r="A22" s="28" t="s">
        <v>106</v>
      </c>
      <c r="B22" s="32">
        <f>0.203*0.9</f>
        <v>0.18270000000000003</v>
      </c>
      <c r="C22" s="32">
        <f>1.0533+((0.203-B22)*(14.4/16.9))</f>
        <v>1.0705970414201182</v>
      </c>
      <c r="D22" s="23">
        <f t="shared" si="7"/>
        <v>0.69796954314720816</v>
      </c>
      <c r="E22" s="26">
        <v>0</v>
      </c>
      <c r="F22" s="23">
        <f t="shared" si="8"/>
        <v>0.11421319796954314</v>
      </c>
      <c r="G22" s="32">
        <v>0</v>
      </c>
      <c r="H22" s="31">
        <f t="shared" si="2"/>
        <v>1.3428450000000003E-2</v>
      </c>
      <c r="I22" s="31">
        <v>0</v>
      </c>
      <c r="J22" s="31">
        <f>(2*K22+5)*Ref!$B$18</f>
        <v>3.2968139274265465E-2</v>
      </c>
      <c r="K22" s="32">
        <f t="shared" si="3"/>
        <v>2.07890823253687</v>
      </c>
      <c r="L22" s="34">
        <v>0.15</v>
      </c>
      <c r="M22" s="26">
        <f t="shared" si="4"/>
        <v>8.9523000000000033E-3</v>
      </c>
      <c r="N22" s="26">
        <v>0</v>
      </c>
      <c r="O22" s="26">
        <v>0.49</v>
      </c>
      <c r="P22" s="26">
        <v>0.6</v>
      </c>
      <c r="Q22" s="26">
        <v>200</v>
      </c>
      <c r="R22" s="26">
        <v>0.04</v>
      </c>
      <c r="S22" s="26">
        <v>1</v>
      </c>
      <c r="T22" s="43">
        <v>1</v>
      </c>
    </row>
    <row r="23" spans="1:22" x14ac:dyDescent="0.2">
      <c r="A23" s="28" t="s">
        <v>105</v>
      </c>
      <c r="B23" s="32">
        <f>0.203*0.9</f>
        <v>0.18270000000000003</v>
      </c>
      <c r="C23" s="32">
        <f>1.0533+((0.203-B23)*(14.4/16.9))</f>
        <v>1.0705970414201182</v>
      </c>
      <c r="D23" s="23">
        <f t="shared" si="7"/>
        <v>0.69796954314720816</v>
      </c>
      <c r="E23" s="26">
        <v>0</v>
      </c>
      <c r="F23" s="23">
        <f t="shared" si="8"/>
        <v>0.11421319796954314</v>
      </c>
      <c r="G23" s="32">
        <v>0</v>
      </c>
      <c r="H23" s="31">
        <f t="shared" si="2"/>
        <v>1.3428450000000003E-2</v>
      </c>
      <c r="I23" s="31">
        <v>0</v>
      </c>
      <c r="J23" s="31">
        <f>(2*K23+5)*Ref!$B$18</f>
        <v>3.2968139274265465E-2</v>
      </c>
      <c r="K23" s="32">
        <f t="shared" si="3"/>
        <v>2.07890823253687</v>
      </c>
      <c r="L23" s="34">
        <v>0.15</v>
      </c>
      <c r="M23" s="26">
        <f t="shared" si="4"/>
        <v>8.9523000000000033E-3</v>
      </c>
      <c r="N23" s="26">
        <v>0</v>
      </c>
      <c r="O23" s="26">
        <v>0.49</v>
      </c>
      <c r="P23" s="26">
        <v>0.6</v>
      </c>
      <c r="Q23" s="26">
        <v>200</v>
      </c>
      <c r="R23" s="26">
        <v>0.04</v>
      </c>
      <c r="S23" s="26">
        <v>1</v>
      </c>
      <c r="T23" s="43">
        <v>1</v>
      </c>
    </row>
    <row r="24" spans="1:22" x14ac:dyDescent="0.2">
      <c r="A24" t="s">
        <v>110</v>
      </c>
      <c r="B24" s="32">
        <v>0.34399999999999997</v>
      </c>
      <c r="C24" s="32">
        <v>0.85899999999999999</v>
      </c>
      <c r="D24" s="32">
        <v>0.96</v>
      </c>
      <c r="E24" s="26">
        <v>0</v>
      </c>
      <c r="F24" s="32">
        <v>0.20699999999999999</v>
      </c>
      <c r="G24" s="32">
        <v>0</v>
      </c>
      <c r="H24" s="30">
        <f t="shared" si="2"/>
        <v>0</v>
      </c>
      <c r="I24" s="31">
        <v>1.1999999999999999E-3</v>
      </c>
      <c r="J24" s="26">
        <f>5*Ref!$B$18</f>
        <v>1.7999999999999999E-2</v>
      </c>
      <c r="K24" s="32">
        <f t="shared" si="3"/>
        <v>2.3711999999999995</v>
      </c>
      <c r="L24" s="29">
        <v>0</v>
      </c>
      <c r="M24" s="26">
        <f t="shared" si="4"/>
        <v>0</v>
      </c>
      <c r="N24" s="26">
        <v>0</v>
      </c>
      <c r="O24" s="26">
        <v>0.49</v>
      </c>
      <c r="P24" s="26">
        <v>0.6</v>
      </c>
      <c r="Q24" s="26">
        <v>200</v>
      </c>
      <c r="R24" s="26">
        <v>0.04</v>
      </c>
      <c r="S24" s="26">
        <v>0</v>
      </c>
      <c r="T24" s="43">
        <v>0</v>
      </c>
    </row>
    <row r="25" spans="1:22" x14ac:dyDescent="0.2">
      <c r="A25" t="s">
        <v>111</v>
      </c>
      <c r="B25" s="32">
        <v>0.34399999999999997</v>
      </c>
      <c r="C25" s="32">
        <v>0.85899999999999999</v>
      </c>
      <c r="D25" s="32">
        <v>0.96</v>
      </c>
      <c r="E25" s="26">
        <v>0</v>
      </c>
      <c r="F25" s="32">
        <v>0.20699999999999999</v>
      </c>
      <c r="G25" s="32">
        <v>0</v>
      </c>
      <c r="H25" s="31">
        <f t="shared" si="2"/>
        <v>0</v>
      </c>
      <c r="I25" s="31">
        <v>1.1999999999999999E-3</v>
      </c>
      <c r="J25" s="26">
        <f>5*Ref!$B$18</f>
        <v>1.7999999999999999E-2</v>
      </c>
      <c r="K25" s="32">
        <f t="shared" si="3"/>
        <v>2.3711999999999995</v>
      </c>
      <c r="L25" s="33">
        <v>0</v>
      </c>
      <c r="M25" s="26">
        <f t="shared" si="4"/>
        <v>0</v>
      </c>
      <c r="N25" s="26">
        <v>0</v>
      </c>
      <c r="O25" s="26">
        <v>0.49</v>
      </c>
      <c r="P25" s="26">
        <v>0.6</v>
      </c>
      <c r="Q25" s="26">
        <v>200</v>
      </c>
      <c r="R25" s="26">
        <v>0.04</v>
      </c>
      <c r="S25" s="26">
        <v>0</v>
      </c>
      <c r="T25" s="43">
        <v>0</v>
      </c>
    </row>
    <row r="26" spans="1:22" x14ac:dyDescent="0.2">
      <c r="A26" t="s">
        <v>112</v>
      </c>
      <c r="B26" s="23">
        <f>1.6/0.00788/1000</f>
        <v>0.20304568527918784</v>
      </c>
      <c r="C26" s="23">
        <f>8.3/0.00788/1000</f>
        <v>1.0532994923857868</v>
      </c>
      <c r="D26" s="23">
        <f t="shared" ref="D26:D27" si="9">5.5/0.00788/1000</f>
        <v>0.69796954314720816</v>
      </c>
      <c r="E26" s="26">
        <v>0</v>
      </c>
      <c r="F26" s="23">
        <f t="shared" ref="F26:F27" si="10">0.9/0.00788/1000</f>
        <v>0.11421319796954314</v>
      </c>
      <c r="G26" s="32">
        <v>0</v>
      </c>
      <c r="H26" s="31">
        <f t="shared" si="2"/>
        <v>0</v>
      </c>
      <c r="I26" s="31">
        <v>0</v>
      </c>
      <c r="J26" s="31">
        <f>(2*K26+5)*Ref!$B$18</f>
        <v>3.2893401015228425E-2</v>
      </c>
      <c r="K26" s="32">
        <f t="shared" si="3"/>
        <v>2.0685279187817258</v>
      </c>
      <c r="L26" s="33">
        <v>0</v>
      </c>
      <c r="M26" s="26">
        <f t="shared" si="4"/>
        <v>0</v>
      </c>
      <c r="N26" s="26">
        <v>0</v>
      </c>
      <c r="O26" s="26">
        <v>0.49</v>
      </c>
      <c r="P26" s="26">
        <v>0.6</v>
      </c>
      <c r="Q26" s="26">
        <v>200</v>
      </c>
      <c r="R26" s="26">
        <v>0.04</v>
      </c>
      <c r="S26" s="26">
        <v>1</v>
      </c>
      <c r="T26" s="43">
        <v>1</v>
      </c>
    </row>
    <row r="27" spans="1:22" x14ac:dyDescent="0.2">
      <c r="A27" t="s">
        <v>113</v>
      </c>
      <c r="B27" s="23">
        <f>1.6/0.00788/1000</f>
        <v>0.20304568527918784</v>
      </c>
      <c r="C27" s="23">
        <f>8.3/0.00788/1000</f>
        <v>1.0532994923857868</v>
      </c>
      <c r="D27" s="23">
        <f t="shared" si="9"/>
        <v>0.69796954314720816</v>
      </c>
      <c r="E27" s="26">
        <v>0</v>
      </c>
      <c r="F27" s="23">
        <f t="shared" si="10"/>
        <v>0.11421319796954314</v>
      </c>
      <c r="G27" s="32">
        <v>0</v>
      </c>
      <c r="H27" s="31">
        <f t="shared" si="2"/>
        <v>0</v>
      </c>
      <c r="I27" s="31">
        <v>0</v>
      </c>
      <c r="J27" s="31">
        <f>(2*K27+5)*Ref!$B$18</f>
        <v>3.2893401015228425E-2</v>
      </c>
      <c r="K27" s="32">
        <f t="shared" si="3"/>
        <v>2.0685279187817258</v>
      </c>
      <c r="L27" s="33">
        <v>0</v>
      </c>
      <c r="M27" s="26">
        <f t="shared" si="4"/>
        <v>0</v>
      </c>
      <c r="N27" s="26">
        <v>0</v>
      </c>
      <c r="O27" s="26">
        <v>0.49</v>
      </c>
      <c r="P27" s="26">
        <v>0.6</v>
      </c>
      <c r="Q27" s="26">
        <v>200</v>
      </c>
      <c r="R27" s="26">
        <v>0.04</v>
      </c>
      <c r="S27" s="26">
        <v>1</v>
      </c>
      <c r="T27" s="43">
        <v>1</v>
      </c>
    </row>
    <row r="28" spans="1:22" x14ac:dyDescent="0.2">
      <c r="A28" t="s">
        <v>97</v>
      </c>
      <c r="B28" s="44">
        <v>0.34399999999999997</v>
      </c>
      <c r="C28" s="44">
        <v>0.85899999999999999</v>
      </c>
      <c r="D28" s="44">
        <v>0.96</v>
      </c>
      <c r="E28" s="26">
        <v>0.1</v>
      </c>
      <c r="F28" s="44">
        <v>0.20699999999999999</v>
      </c>
      <c r="G28" s="44">
        <v>0</v>
      </c>
      <c r="H28" s="45">
        <f t="shared" si="2"/>
        <v>0</v>
      </c>
      <c r="I28" s="23">
        <v>1.1999999999999999E-3</v>
      </c>
      <c r="J28">
        <f>5*Ref!$B$18</f>
        <v>1.7999999999999999E-2</v>
      </c>
      <c r="K28" s="44">
        <f t="shared" si="3"/>
        <v>2.4711999999999996</v>
      </c>
      <c r="L28" s="29">
        <v>0</v>
      </c>
      <c r="M28">
        <f t="shared" si="4"/>
        <v>0</v>
      </c>
      <c r="N28">
        <v>0</v>
      </c>
      <c r="O28">
        <v>0.49</v>
      </c>
      <c r="P28">
        <v>0.6</v>
      </c>
      <c r="Q28">
        <f t="shared" ref="Q28:Q33" si="11">200*0.4</f>
        <v>80</v>
      </c>
      <c r="R28">
        <v>0.04</v>
      </c>
      <c r="S28">
        <v>0</v>
      </c>
      <c r="T28" s="43">
        <v>0</v>
      </c>
    </row>
    <row r="29" spans="1:22" x14ac:dyDescent="0.2">
      <c r="A29" t="s">
        <v>98</v>
      </c>
      <c r="B29" s="44">
        <v>0.34399999999999997</v>
      </c>
      <c r="C29" s="44">
        <v>0.85899999999999999</v>
      </c>
      <c r="D29" s="44">
        <v>0.96</v>
      </c>
      <c r="E29" s="26">
        <v>0.1</v>
      </c>
      <c r="F29" s="44">
        <v>0.20699999999999999</v>
      </c>
      <c r="G29" s="44">
        <v>0</v>
      </c>
      <c r="H29" s="23">
        <f t="shared" si="2"/>
        <v>0</v>
      </c>
      <c r="I29" s="23">
        <v>1.1999999999999999E-3</v>
      </c>
      <c r="J29">
        <f>5*Ref!$B$18</f>
        <v>1.7999999999999999E-2</v>
      </c>
      <c r="K29" s="44">
        <f t="shared" si="3"/>
        <v>2.4711999999999996</v>
      </c>
      <c r="L29" s="33">
        <v>0</v>
      </c>
      <c r="M29">
        <f t="shared" si="4"/>
        <v>0</v>
      </c>
      <c r="N29">
        <v>0</v>
      </c>
      <c r="O29">
        <v>0.49</v>
      </c>
      <c r="P29">
        <v>0.6</v>
      </c>
      <c r="Q29">
        <f t="shared" si="11"/>
        <v>80</v>
      </c>
      <c r="R29">
        <v>0.04</v>
      </c>
      <c r="S29">
        <v>0</v>
      </c>
      <c r="T29" s="43">
        <v>0</v>
      </c>
    </row>
    <row r="30" spans="1:22" x14ac:dyDescent="0.2">
      <c r="A30" t="s">
        <v>114</v>
      </c>
      <c r="B30" s="44">
        <v>0.34399999999999997</v>
      </c>
      <c r="C30" s="44">
        <v>0.85899999999999999</v>
      </c>
      <c r="D30" s="44">
        <v>0.96</v>
      </c>
      <c r="E30" s="26">
        <v>0.1</v>
      </c>
      <c r="F30" s="44">
        <v>0.20699999999999999</v>
      </c>
      <c r="G30" s="44">
        <v>0</v>
      </c>
      <c r="H30" s="45">
        <f t="shared" si="2"/>
        <v>0</v>
      </c>
      <c r="I30" s="23">
        <v>1.1999999999999999E-3</v>
      </c>
      <c r="J30">
        <f>5*Ref!$B$18</f>
        <v>1.7999999999999999E-2</v>
      </c>
      <c r="K30" s="44">
        <f t="shared" si="3"/>
        <v>2.4711999999999996</v>
      </c>
      <c r="L30" s="29">
        <v>0</v>
      </c>
      <c r="M30">
        <f t="shared" si="4"/>
        <v>0</v>
      </c>
      <c r="N30">
        <v>0</v>
      </c>
      <c r="O30">
        <v>0.49</v>
      </c>
      <c r="P30">
        <v>0.6</v>
      </c>
      <c r="Q30">
        <f t="shared" si="11"/>
        <v>80</v>
      </c>
      <c r="R30">
        <v>0.04</v>
      </c>
      <c r="S30">
        <v>0</v>
      </c>
      <c r="T30" s="43">
        <v>0</v>
      </c>
    </row>
    <row r="31" spans="1:22" x14ac:dyDescent="0.2">
      <c r="A31" t="s">
        <v>115</v>
      </c>
      <c r="B31" s="44">
        <v>0.34399999999999997</v>
      </c>
      <c r="C31" s="44">
        <v>0.85899999999999999</v>
      </c>
      <c r="D31" s="44">
        <v>0.96</v>
      </c>
      <c r="E31" s="26">
        <v>0.1</v>
      </c>
      <c r="F31" s="44">
        <v>0.20699999999999999</v>
      </c>
      <c r="G31" s="44">
        <v>0</v>
      </c>
      <c r="H31" s="23">
        <f t="shared" si="2"/>
        <v>0</v>
      </c>
      <c r="I31" s="23">
        <v>1.1999999999999999E-3</v>
      </c>
      <c r="J31">
        <f>5*Ref!$B$18</f>
        <v>1.7999999999999999E-2</v>
      </c>
      <c r="K31" s="44">
        <f t="shared" si="3"/>
        <v>2.4711999999999996</v>
      </c>
      <c r="L31" s="33">
        <v>0</v>
      </c>
      <c r="M31">
        <f t="shared" si="4"/>
        <v>0</v>
      </c>
      <c r="N31">
        <v>0</v>
      </c>
      <c r="O31">
        <v>0.49</v>
      </c>
      <c r="P31">
        <v>0.6</v>
      </c>
      <c r="Q31">
        <f t="shared" si="11"/>
        <v>80</v>
      </c>
      <c r="R31">
        <v>0.04</v>
      </c>
      <c r="S31">
        <v>0</v>
      </c>
      <c r="T31" s="43">
        <v>0</v>
      </c>
    </row>
    <row r="32" spans="1:22" x14ac:dyDescent="0.2">
      <c r="A32" t="s">
        <v>116</v>
      </c>
      <c r="B32" s="23">
        <f>1.6/0.00788/1000</f>
        <v>0.20304568527918784</v>
      </c>
      <c r="C32" s="23">
        <f>8.3/0.00788/1000</f>
        <v>1.0532994923857868</v>
      </c>
      <c r="D32" s="23">
        <f t="shared" ref="D32:D33" si="12">5.5/0.00788/1000</f>
        <v>0.69796954314720816</v>
      </c>
      <c r="E32" s="26">
        <v>0.1</v>
      </c>
      <c r="F32" s="23">
        <f t="shared" ref="F32:F33" si="13">0.9/0.00788/1000</f>
        <v>0.11421319796954314</v>
      </c>
      <c r="G32" s="32">
        <v>0</v>
      </c>
      <c r="H32" s="31">
        <f t="shared" si="2"/>
        <v>0</v>
      </c>
      <c r="I32" s="31">
        <v>0</v>
      </c>
      <c r="J32" s="31">
        <f>(2*K32+5)*Ref!$B$18</f>
        <v>3.3613401015228424E-2</v>
      </c>
      <c r="K32" s="32">
        <f t="shared" si="3"/>
        <v>2.1685279187817259</v>
      </c>
      <c r="L32" s="33">
        <v>0</v>
      </c>
      <c r="M32" s="26">
        <f t="shared" si="4"/>
        <v>0</v>
      </c>
      <c r="N32" s="26">
        <v>0</v>
      </c>
      <c r="O32" s="26">
        <v>0.49</v>
      </c>
      <c r="P32" s="26">
        <v>0.6</v>
      </c>
      <c r="Q32" s="26">
        <f t="shared" si="11"/>
        <v>80</v>
      </c>
      <c r="R32" s="26">
        <v>0.04</v>
      </c>
      <c r="S32" s="26">
        <v>1</v>
      </c>
      <c r="T32" s="43">
        <v>1</v>
      </c>
    </row>
    <row r="33" spans="1:20" x14ac:dyDescent="0.2">
      <c r="A33" t="s">
        <v>117</v>
      </c>
      <c r="B33" s="23">
        <f>1.6/0.00788/1000</f>
        <v>0.20304568527918784</v>
      </c>
      <c r="C33" s="23">
        <f>8.3/0.00788/1000</f>
        <v>1.0532994923857868</v>
      </c>
      <c r="D33" s="23">
        <f t="shared" si="12"/>
        <v>0.69796954314720816</v>
      </c>
      <c r="E33" s="26">
        <v>0.1</v>
      </c>
      <c r="F33" s="23">
        <f t="shared" si="13"/>
        <v>0.11421319796954314</v>
      </c>
      <c r="G33" s="32">
        <v>0</v>
      </c>
      <c r="H33" s="31">
        <f t="shared" si="2"/>
        <v>0</v>
      </c>
      <c r="I33" s="31">
        <v>0</v>
      </c>
      <c r="J33" s="31">
        <f>(2*K33+5)*Ref!$B$18</f>
        <v>3.3613401015228424E-2</v>
      </c>
      <c r="K33" s="32">
        <f t="shared" si="3"/>
        <v>2.1685279187817259</v>
      </c>
      <c r="L33" s="33">
        <v>0</v>
      </c>
      <c r="M33" s="26">
        <f t="shared" si="4"/>
        <v>0</v>
      </c>
      <c r="N33" s="26">
        <v>0</v>
      </c>
      <c r="O33" s="26">
        <v>0.49</v>
      </c>
      <c r="P33" s="26">
        <v>0.6</v>
      </c>
      <c r="Q33" s="26">
        <f t="shared" si="11"/>
        <v>80</v>
      </c>
      <c r="R33" s="26">
        <v>0.04</v>
      </c>
      <c r="S33" s="26">
        <v>1</v>
      </c>
      <c r="T33" s="43">
        <v>1</v>
      </c>
    </row>
    <row r="34" spans="1:20" x14ac:dyDescent="0.2">
      <c r="A34" s="19" t="s">
        <v>128</v>
      </c>
      <c r="B34" s="32">
        <v>0.34399999999999997</v>
      </c>
      <c r="C34" s="32">
        <v>0.85899999999999999</v>
      </c>
      <c r="D34" s="32">
        <v>0.96</v>
      </c>
      <c r="E34" s="26">
        <v>0.25</v>
      </c>
      <c r="F34" s="32">
        <v>0.20699999999999999</v>
      </c>
      <c r="G34" s="32">
        <v>0</v>
      </c>
      <c r="H34" s="30">
        <f t="shared" si="2"/>
        <v>0</v>
      </c>
      <c r="I34" s="31">
        <v>1.1999999999999999E-3</v>
      </c>
      <c r="J34" s="26">
        <f>5*Ref!$B$18</f>
        <v>1.7999999999999999E-2</v>
      </c>
      <c r="K34" s="32">
        <f t="shared" si="3"/>
        <v>2.6211999999999995</v>
      </c>
      <c r="L34" s="29">
        <v>0</v>
      </c>
      <c r="M34" s="26">
        <f t="shared" si="4"/>
        <v>0</v>
      </c>
      <c r="N34" s="26">
        <v>0</v>
      </c>
      <c r="O34" s="26">
        <v>0.49</v>
      </c>
      <c r="P34" s="26">
        <v>0.6</v>
      </c>
      <c r="Q34" s="26">
        <v>0</v>
      </c>
      <c r="R34" s="26">
        <v>0.04</v>
      </c>
      <c r="S34" s="26">
        <v>0</v>
      </c>
      <c r="T34" s="43">
        <v>0</v>
      </c>
    </row>
    <row r="35" spans="1:20" x14ac:dyDescent="0.2">
      <c r="A35" s="19" t="s">
        <v>129</v>
      </c>
      <c r="B35" s="32">
        <v>0.34399999999999997</v>
      </c>
      <c r="C35" s="32">
        <v>0.85899999999999999</v>
      </c>
      <c r="D35" s="32">
        <v>0.96</v>
      </c>
      <c r="E35" s="26">
        <v>0.25</v>
      </c>
      <c r="F35" s="32">
        <v>0.20699999999999999</v>
      </c>
      <c r="G35" s="32">
        <v>0</v>
      </c>
      <c r="H35" s="31">
        <f t="shared" si="2"/>
        <v>0</v>
      </c>
      <c r="I35" s="31">
        <v>1.1999999999999999E-3</v>
      </c>
      <c r="J35" s="26">
        <f>5*Ref!$B$18</f>
        <v>1.7999999999999999E-2</v>
      </c>
      <c r="K35" s="32">
        <f t="shared" si="3"/>
        <v>2.6211999999999995</v>
      </c>
      <c r="L35" s="33">
        <v>0</v>
      </c>
      <c r="M35" s="26">
        <f t="shared" si="4"/>
        <v>0</v>
      </c>
      <c r="N35" s="26">
        <v>0</v>
      </c>
      <c r="O35" s="26">
        <v>0.49</v>
      </c>
      <c r="P35" s="26">
        <v>0.6</v>
      </c>
      <c r="Q35" s="26">
        <v>0</v>
      </c>
      <c r="R35" s="26">
        <v>0.04</v>
      </c>
      <c r="S35" s="26">
        <v>0</v>
      </c>
      <c r="T35" s="43">
        <v>0</v>
      </c>
    </row>
    <row r="36" spans="1:20" x14ac:dyDescent="0.2">
      <c r="A36" t="s">
        <v>130</v>
      </c>
      <c r="B36" s="32">
        <v>0.34399999999999997</v>
      </c>
      <c r="C36" s="32">
        <v>0.85899999999999999</v>
      </c>
      <c r="D36" s="32">
        <v>0.96</v>
      </c>
      <c r="E36" s="26">
        <v>0.25</v>
      </c>
      <c r="F36" s="32">
        <v>0.20699999999999999</v>
      </c>
      <c r="G36" s="32">
        <v>0</v>
      </c>
      <c r="H36" s="30">
        <f t="shared" ref="H36:H41" si="14">(B36*O36*L36)</f>
        <v>0</v>
      </c>
      <c r="I36" s="31">
        <v>1.1999999999999999E-3</v>
      </c>
      <c r="J36" s="26">
        <f>5*Ref!$B$18</f>
        <v>1.7999999999999999E-2</v>
      </c>
      <c r="K36" s="32">
        <f t="shared" ref="K36:K41" si="15">SUM(B36:I36)</f>
        <v>2.6211999999999995</v>
      </c>
      <c r="L36" s="29">
        <v>0</v>
      </c>
      <c r="M36" s="26">
        <f t="shared" ref="M36:M41" si="16">H36*((1-P36)/P36)</f>
        <v>0</v>
      </c>
      <c r="N36" s="26">
        <v>0</v>
      </c>
      <c r="O36" s="26">
        <v>0.49</v>
      </c>
      <c r="P36" s="26">
        <v>0.6</v>
      </c>
      <c r="Q36" s="26">
        <v>0</v>
      </c>
      <c r="R36" s="26">
        <v>0.04</v>
      </c>
      <c r="S36" s="26">
        <v>0</v>
      </c>
      <c r="T36" s="43">
        <v>0</v>
      </c>
    </row>
    <row r="37" spans="1:20" x14ac:dyDescent="0.2">
      <c r="A37" t="s">
        <v>138</v>
      </c>
      <c r="B37" s="32">
        <f>0.344*0.9</f>
        <v>0.30959999999999999</v>
      </c>
      <c r="C37" s="32">
        <f t="shared" ref="C37" si="17">0.859+((0.344-B37)*(14/16.9))</f>
        <v>0.88749704142011832</v>
      </c>
      <c r="D37" s="32">
        <v>0.96</v>
      </c>
      <c r="E37" s="26">
        <v>0.25</v>
      </c>
      <c r="F37" s="32">
        <v>0.20699999999999999</v>
      </c>
      <c r="G37" s="32">
        <v>0</v>
      </c>
      <c r="H37" s="31">
        <f t="shared" si="14"/>
        <v>1.5170399999999999E-2</v>
      </c>
      <c r="I37" s="31">
        <v>1.1999999999999999E-3</v>
      </c>
      <c r="J37" s="26">
        <f>5*Ref!$B$18+2.76*2*(D37+M37)*Ref!$B$18</f>
        <v>3.7278097459199994E-2</v>
      </c>
      <c r="K37" s="32">
        <f t="shared" si="15"/>
        <v>2.6304674414201181</v>
      </c>
      <c r="L37" s="33">
        <v>0.1</v>
      </c>
      <c r="M37" s="26">
        <f t="shared" si="16"/>
        <v>1.01136E-2</v>
      </c>
      <c r="N37" s="26">
        <v>0</v>
      </c>
      <c r="O37" s="26">
        <v>0.49</v>
      </c>
      <c r="P37" s="26">
        <v>0.6</v>
      </c>
      <c r="Q37" s="26">
        <v>0</v>
      </c>
      <c r="R37" s="26">
        <v>0.04</v>
      </c>
      <c r="S37" s="26">
        <v>0</v>
      </c>
      <c r="T37" s="43">
        <v>1</v>
      </c>
    </row>
    <row r="38" spans="1:20" x14ac:dyDescent="0.2">
      <c r="A38" t="s">
        <v>141</v>
      </c>
      <c r="B38" s="32">
        <f>0.344*0.9</f>
        <v>0.30959999999999999</v>
      </c>
      <c r="C38" s="32">
        <f t="shared" ref="C38" si="18">0.859+((0.344-B38)*(14/16.9))</f>
        <v>0.88749704142011832</v>
      </c>
      <c r="D38" s="32">
        <v>0.96</v>
      </c>
      <c r="E38" s="26">
        <v>0.25</v>
      </c>
      <c r="F38" s="32">
        <v>0.20699999999999999</v>
      </c>
      <c r="G38" s="32">
        <v>0</v>
      </c>
      <c r="H38" s="31">
        <f t="shared" ref="H38" si="19">(B38*O38*L38)</f>
        <v>1.5170399999999999E-2</v>
      </c>
      <c r="I38" s="31">
        <v>1.1999999999999999E-3</v>
      </c>
      <c r="J38" s="26">
        <f>5*Ref!$B$18+2.76*2*(D38+M38)*Ref!$B$18</f>
        <v>3.7278097459199994E-2</v>
      </c>
      <c r="K38" s="32">
        <f t="shared" ref="K38" si="20">SUM(B38:I38)</f>
        <v>2.6304674414201181</v>
      </c>
      <c r="L38" s="33">
        <v>0.1</v>
      </c>
      <c r="M38" s="26">
        <f t="shared" ref="M38" si="21">H38*((1-P38)/P38)</f>
        <v>1.01136E-2</v>
      </c>
      <c r="N38" s="26">
        <v>0</v>
      </c>
      <c r="O38" s="26">
        <v>0.49</v>
      </c>
      <c r="P38" s="26">
        <v>0.6</v>
      </c>
      <c r="Q38" s="26">
        <v>0</v>
      </c>
      <c r="R38" s="26">
        <v>0.04</v>
      </c>
      <c r="S38" s="26">
        <v>0</v>
      </c>
      <c r="T38" s="43">
        <v>1</v>
      </c>
    </row>
    <row r="39" spans="1:20" x14ac:dyDescent="0.2">
      <c r="A39" t="s">
        <v>131</v>
      </c>
      <c r="B39" s="32">
        <v>0.34399999999999997</v>
      </c>
      <c r="C39" s="32">
        <v>0.85899999999999999</v>
      </c>
      <c r="D39" s="32">
        <v>0.96</v>
      </c>
      <c r="E39" s="26">
        <v>0.25</v>
      </c>
      <c r="F39" s="32">
        <v>0.20699999999999999</v>
      </c>
      <c r="G39" s="32">
        <v>0</v>
      </c>
      <c r="H39" s="31">
        <f t="shared" si="14"/>
        <v>0</v>
      </c>
      <c r="I39" s="31">
        <v>1.1999999999999999E-3</v>
      </c>
      <c r="J39" s="26">
        <f>5*Ref!$B$18</f>
        <v>1.7999999999999999E-2</v>
      </c>
      <c r="K39" s="32">
        <f t="shared" si="15"/>
        <v>2.6211999999999995</v>
      </c>
      <c r="L39" s="33">
        <v>0</v>
      </c>
      <c r="M39" s="26">
        <f t="shared" si="16"/>
        <v>0</v>
      </c>
      <c r="N39" s="26">
        <v>0</v>
      </c>
      <c r="O39" s="26">
        <v>0.49</v>
      </c>
      <c r="P39" s="26">
        <v>0.6</v>
      </c>
      <c r="Q39" s="26">
        <v>0</v>
      </c>
      <c r="R39" s="26">
        <v>0.04</v>
      </c>
      <c r="S39" s="26">
        <v>0</v>
      </c>
      <c r="T39" s="43">
        <v>0</v>
      </c>
    </row>
    <row r="40" spans="1:20" x14ac:dyDescent="0.2">
      <c r="A40" t="s">
        <v>132</v>
      </c>
      <c r="B40" s="23">
        <f>1.6/0.00788/1000</f>
        <v>0.20304568527918784</v>
      </c>
      <c r="C40" s="23">
        <f>8.3/0.00788/1000</f>
        <v>1.0532994923857868</v>
      </c>
      <c r="D40" s="23">
        <f>5.5/0.00788/1000</f>
        <v>0.69796954314720816</v>
      </c>
      <c r="E40" s="26">
        <v>0.25</v>
      </c>
      <c r="F40" s="23">
        <f>0.9/0.00788/1000</f>
        <v>0.11421319796954314</v>
      </c>
      <c r="G40" s="32">
        <v>0</v>
      </c>
      <c r="H40" s="31">
        <f t="shared" si="14"/>
        <v>0</v>
      </c>
      <c r="I40" s="31">
        <v>0</v>
      </c>
      <c r="J40" s="31">
        <f>(2*K40+5)*Ref!$B$18</f>
        <v>3.4693401015228428E-2</v>
      </c>
      <c r="K40" s="32">
        <f t="shared" si="15"/>
        <v>2.3185279187817258</v>
      </c>
      <c r="L40" s="33">
        <v>0</v>
      </c>
      <c r="M40" s="26">
        <f t="shared" si="16"/>
        <v>0</v>
      </c>
      <c r="N40" s="26">
        <v>0</v>
      </c>
      <c r="O40" s="26">
        <v>0.49</v>
      </c>
      <c r="P40" s="26">
        <v>0.6</v>
      </c>
      <c r="Q40" s="26">
        <v>0</v>
      </c>
      <c r="R40" s="26">
        <v>0.04</v>
      </c>
      <c r="S40" s="26">
        <v>1</v>
      </c>
      <c r="T40" s="43">
        <v>1</v>
      </c>
    </row>
    <row r="41" spans="1:20" x14ac:dyDescent="0.2">
      <c r="A41" t="s">
        <v>139</v>
      </c>
      <c r="B41" s="32">
        <f>0.203*0.9</f>
        <v>0.18270000000000003</v>
      </c>
      <c r="C41" s="32">
        <f>1.0533+((0.203-B41)*(14.4/16.9))</f>
        <v>1.0705970414201182</v>
      </c>
      <c r="D41" s="23">
        <f>5.5/0.00788/1000</f>
        <v>0.69796954314720816</v>
      </c>
      <c r="E41" s="26">
        <v>0.25</v>
      </c>
      <c r="F41" s="23">
        <f>0.9/0.00788/1000</f>
        <v>0.11421319796954314</v>
      </c>
      <c r="G41" s="32">
        <v>0</v>
      </c>
      <c r="H41" s="31">
        <f t="shared" si="14"/>
        <v>1.3428450000000003E-2</v>
      </c>
      <c r="I41" s="31">
        <v>0</v>
      </c>
      <c r="J41" s="31">
        <f>(2*K41+5)*Ref!$B$18</f>
        <v>3.4768139274265461E-2</v>
      </c>
      <c r="K41" s="32">
        <f t="shared" si="15"/>
        <v>2.32890823253687</v>
      </c>
      <c r="L41" s="34">
        <v>0.15</v>
      </c>
      <c r="M41" s="26">
        <f t="shared" si="16"/>
        <v>8.9523000000000033E-3</v>
      </c>
      <c r="N41" s="26">
        <v>0</v>
      </c>
      <c r="O41" s="26">
        <v>0.49</v>
      </c>
      <c r="P41" s="26">
        <v>0.6</v>
      </c>
      <c r="Q41" s="26">
        <v>0</v>
      </c>
      <c r="R41" s="26">
        <v>0.04</v>
      </c>
      <c r="S41" s="26">
        <v>1</v>
      </c>
      <c r="T41" s="43">
        <v>1</v>
      </c>
    </row>
    <row r="42" spans="1:20" x14ac:dyDescent="0.2">
      <c r="A42" t="s">
        <v>142</v>
      </c>
      <c r="B42" s="32">
        <f>0.203*0.9</f>
        <v>0.18270000000000003</v>
      </c>
      <c r="C42" s="32">
        <f>1.0533+((0.203-B42)*(14.4/16.9))</f>
        <v>1.0705970414201182</v>
      </c>
      <c r="D42" s="23">
        <f>5.5/0.00788/1000</f>
        <v>0.69796954314720816</v>
      </c>
      <c r="E42" s="26">
        <v>0.25</v>
      </c>
      <c r="F42" s="23">
        <f>0.9/0.00788/1000</f>
        <v>0.11421319796954314</v>
      </c>
      <c r="G42" s="32">
        <v>0</v>
      </c>
      <c r="H42" s="31">
        <f t="shared" ref="H42" si="22">(B42*O42*L42)</f>
        <v>1.3428450000000003E-2</v>
      </c>
      <c r="I42" s="31">
        <v>0</v>
      </c>
      <c r="J42" s="31">
        <f>(2*K42+5)*Ref!$B$18</f>
        <v>3.4768139274265461E-2</v>
      </c>
      <c r="K42" s="32">
        <f t="shared" ref="K42" si="23">SUM(B42:I42)</f>
        <v>2.32890823253687</v>
      </c>
      <c r="L42" s="34">
        <v>0.15</v>
      </c>
      <c r="M42" s="26">
        <f t="shared" ref="M42" si="24">H42*((1-P42)/P42)</f>
        <v>8.9523000000000033E-3</v>
      </c>
      <c r="N42" s="26">
        <v>0</v>
      </c>
      <c r="O42" s="26">
        <v>0.49</v>
      </c>
      <c r="P42" s="26">
        <v>0.6</v>
      </c>
      <c r="Q42" s="26">
        <v>0</v>
      </c>
      <c r="R42" s="26">
        <v>0.04</v>
      </c>
      <c r="S42" s="26">
        <v>1</v>
      </c>
      <c r="T42" s="43">
        <v>1</v>
      </c>
    </row>
    <row r="43" spans="1:20" x14ac:dyDescent="0.2">
      <c r="A43" t="s">
        <v>133</v>
      </c>
      <c r="B43" s="23">
        <f>1.6/0.00788/1000</f>
        <v>0.20304568527918784</v>
      </c>
      <c r="C43" s="23">
        <f>8.3/0.00788/1000</f>
        <v>1.0532994923857868</v>
      </c>
      <c r="D43" s="23">
        <f>5.5/0.00788/1000</f>
        <v>0.69796954314720816</v>
      </c>
      <c r="E43" s="26">
        <v>0.25</v>
      </c>
      <c r="F43" s="23">
        <f>0.9/0.00788/1000</f>
        <v>0.11421319796954314</v>
      </c>
      <c r="G43" s="32">
        <v>0</v>
      </c>
      <c r="H43" s="31">
        <f>(B43*O43*L43)</f>
        <v>0</v>
      </c>
      <c r="I43" s="31">
        <v>0</v>
      </c>
      <c r="J43" s="31">
        <f>(2*K43+5)*Ref!$B$18</f>
        <v>3.4693401015228428E-2</v>
      </c>
      <c r="K43" s="32">
        <f>SUM(B43:I43)</f>
        <v>2.3185279187817258</v>
      </c>
      <c r="L43" s="33">
        <v>0</v>
      </c>
      <c r="M43" s="26">
        <f>H43*((1-P43)/P43)</f>
        <v>0</v>
      </c>
      <c r="N43" s="26">
        <v>0</v>
      </c>
      <c r="O43" s="26">
        <v>0.49</v>
      </c>
      <c r="P43" s="26">
        <v>0.6</v>
      </c>
      <c r="Q43" s="26">
        <v>0</v>
      </c>
      <c r="R43" s="26">
        <v>0.04</v>
      </c>
      <c r="S43" s="26">
        <v>1</v>
      </c>
      <c r="T43" s="43">
        <v>1</v>
      </c>
    </row>
    <row r="44" spans="1:20" s="26" customFormat="1" x14ac:dyDescent="0.2">
      <c r="A44" s="28" t="s">
        <v>152</v>
      </c>
      <c r="B44" s="32">
        <v>0.34399999999999997</v>
      </c>
      <c r="C44" s="32">
        <v>0.85899999999999999</v>
      </c>
      <c r="D44" s="32">
        <v>0.96</v>
      </c>
      <c r="E44" s="26">
        <v>0</v>
      </c>
      <c r="F44" s="32">
        <v>0.20699999999999999</v>
      </c>
      <c r="G44" s="32">
        <v>0</v>
      </c>
      <c r="H44" s="30">
        <f t="shared" ref="H44:H46" si="25">(B44*O44*L44)</f>
        <v>0</v>
      </c>
      <c r="I44" s="31">
        <v>1.1999999999999999E-3</v>
      </c>
      <c r="J44" s="26">
        <f>5*Ref!$B$18</f>
        <v>1.7999999999999999E-2</v>
      </c>
      <c r="K44" s="32">
        <f t="shared" ref="K44:K46" si="26">SUM(B44:I44)</f>
        <v>2.3711999999999995</v>
      </c>
      <c r="L44" s="29">
        <v>0</v>
      </c>
      <c r="M44" s="26">
        <f>H44*((1-P44)/P44)</f>
        <v>0</v>
      </c>
      <c r="N44" s="26">
        <v>0</v>
      </c>
      <c r="O44" s="26">
        <v>0.49</v>
      </c>
      <c r="P44" s="26">
        <v>0.6</v>
      </c>
      <c r="Q44" s="26">
        <v>200</v>
      </c>
      <c r="R44" s="26">
        <v>0.04</v>
      </c>
      <c r="S44" s="26">
        <v>0</v>
      </c>
      <c r="T44" s="43">
        <v>0</v>
      </c>
    </row>
    <row r="45" spans="1:20" x14ac:dyDescent="0.2">
      <c r="A45" t="s">
        <v>163</v>
      </c>
      <c r="B45" s="44">
        <v>0.34399999999999997</v>
      </c>
      <c r="C45" s="44">
        <v>0.85899999999999999</v>
      </c>
      <c r="D45" s="44">
        <v>0.96</v>
      </c>
      <c r="E45" s="26">
        <v>0.1</v>
      </c>
      <c r="F45" s="44">
        <v>0.20699999999999999</v>
      </c>
      <c r="G45" s="44">
        <v>0</v>
      </c>
      <c r="H45" s="45">
        <f t="shared" si="25"/>
        <v>0</v>
      </c>
      <c r="I45" s="23">
        <v>1.1999999999999999E-3</v>
      </c>
      <c r="J45">
        <f>5*Ref!$B$18</f>
        <v>1.7999999999999999E-2</v>
      </c>
      <c r="K45" s="44">
        <f t="shared" si="26"/>
        <v>2.4711999999999996</v>
      </c>
      <c r="L45" s="29">
        <v>0</v>
      </c>
      <c r="M45">
        <f t="shared" ref="M45:M46" si="27">H45*((1-P45)/P45)</f>
        <v>0</v>
      </c>
      <c r="N45">
        <v>0</v>
      </c>
      <c r="O45">
        <v>0.49</v>
      </c>
      <c r="P45">
        <v>0.6</v>
      </c>
      <c r="Q45">
        <f t="shared" ref="Q45:Q46" si="28">200*0.4</f>
        <v>80</v>
      </c>
      <c r="R45">
        <v>0.04</v>
      </c>
      <c r="S45">
        <v>0</v>
      </c>
    </row>
    <row r="46" spans="1:20" x14ac:dyDescent="0.2">
      <c r="A46" t="s">
        <v>164</v>
      </c>
      <c r="B46" s="44">
        <v>0.34399999999999997</v>
      </c>
      <c r="C46" s="44">
        <v>0.85899999999999999</v>
      </c>
      <c r="D46" s="44">
        <v>0.96</v>
      </c>
      <c r="E46" s="26">
        <v>0.1</v>
      </c>
      <c r="F46" s="44">
        <v>0.20699999999999999</v>
      </c>
      <c r="G46" s="44">
        <v>0</v>
      </c>
      <c r="H46" s="45">
        <f t="shared" si="25"/>
        <v>0</v>
      </c>
      <c r="I46" s="23">
        <v>1.1999999999999999E-3</v>
      </c>
      <c r="J46">
        <f>5*Ref!$B$18</f>
        <v>1.7999999999999999E-2</v>
      </c>
      <c r="K46" s="44">
        <f t="shared" si="26"/>
        <v>2.4711999999999996</v>
      </c>
      <c r="L46" s="29">
        <v>0</v>
      </c>
      <c r="M46">
        <f t="shared" si="27"/>
        <v>0</v>
      </c>
      <c r="N46">
        <v>0</v>
      </c>
      <c r="O46">
        <v>0.49</v>
      </c>
      <c r="P46">
        <v>0.6</v>
      </c>
      <c r="Q46">
        <f t="shared" si="28"/>
        <v>80</v>
      </c>
      <c r="R46">
        <v>0.04</v>
      </c>
      <c r="S46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F07A-1C7A-D64D-B917-0BBB7946121A}">
  <dimension ref="A1:F8"/>
  <sheetViews>
    <sheetView tabSelected="1" workbookViewId="0">
      <selection activeCell="G19" sqref="G19"/>
    </sheetView>
  </sheetViews>
  <sheetFormatPr baseColWidth="10" defaultRowHeight="15" x14ac:dyDescent="0.2"/>
  <sheetData>
    <row r="1" spans="1:6" x14ac:dyDescent="0.2">
      <c r="A1" s="49" t="s">
        <v>26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</row>
    <row r="2" spans="1:6" x14ac:dyDescent="0.2">
      <c r="A2" s="50" t="s">
        <v>24</v>
      </c>
      <c r="B2" t="s">
        <v>160</v>
      </c>
      <c r="C2" t="s">
        <v>84</v>
      </c>
      <c r="D2" t="s">
        <v>161</v>
      </c>
      <c r="E2" t="s">
        <v>162</v>
      </c>
      <c r="F2" t="s">
        <v>65</v>
      </c>
    </row>
    <row r="3" spans="1:6" x14ac:dyDescent="0.2">
      <c r="A3" t="s">
        <v>167</v>
      </c>
      <c r="B3">
        <v>0.34399999999999997</v>
      </c>
      <c r="C3">
        <v>0.49</v>
      </c>
      <c r="D3">
        <v>0.6</v>
      </c>
      <c r="E3">
        <v>8.8999999999999999E-3</v>
      </c>
      <c r="F3">
        <v>2.371</v>
      </c>
    </row>
    <row r="4" spans="1:6" x14ac:dyDescent="0.2">
      <c r="A4" t="s">
        <v>67</v>
      </c>
      <c r="B4">
        <v>0.34399999999999997</v>
      </c>
      <c r="C4">
        <v>0.49</v>
      </c>
      <c r="D4">
        <v>0.6</v>
      </c>
      <c r="E4">
        <v>8.8999999999999999E-3</v>
      </c>
      <c r="F4">
        <v>2.371</v>
      </c>
    </row>
    <row r="5" spans="1:6" x14ac:dyDescent="0.2">
      <c r="A5" t="s">
        <v>112</v>
      </c>
      <c r="B5">
        <v>0.20300000000000001</v>
      </c>
      <c r="C5">
        <v>0.49</v>
      </c>
      <c r="D5">
        <v>0.5</v>
      </c>
      <c r="E5">
        <v>8.8999999999999999E-3</v>
      </c>
      <c r="F5">
        <v>2.069</v>
      </c>
    </row>
    <row r="6" spans="1:6" x14ac:dyDescent="0.2">
      <c r="A6" t="s">
        <v>113</v>
      </c>
      <c r="B6">
        <v>0.20300000000000001</v>
      </c>
      <c r="C6">
        <v>0.49</v>
      </c>
      <c r="D6">
        <v>0.5</v>
      </c>
      <c r="E6">
        <v>8.8999999999999999E-3</v>
      </c>
      <c r="F6">
        <v>2.069</v>
      </c>
    </row>
    <row r="7" spans="1:6" x14ac:dyDescent="0.2">
      <c r="A7" t="s">
        <v>116</v>
      </c>
      <c r="B7">
        <v>0.20300000000000001</v>
      </c>
      <c r="C7">
        <v>0.49</v>
      </c>
      <c r="D7">
        <v>0.5</v>
      </c>
      <c r="E7">
        <v>8.8999999999999999E-3</v>
      </c>
      <c r="F7">
        <v>2.069</v>
      </c>
    </row>
    <row r="8" spans="1:6" x14ac:dyDescent="0.2">
      <c r="A8" t="s">
        <v>117</v>
      </c>
      <c r="B8">
        <v>0.20300000000000001</v>
      </c>
      <c r="C8">
        <v>0.49</v>
      </c>
      <c r="D8">
        <v>0.5</v>
      </c>
      <c r="E8">
        <v>8.8999999999999999E-3</v>
      </c>
      <c r="F8">
        <v>2.069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selection activeCell="H36" sqref="H36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1" t="s">
        <v>5</v>
      </c>
      <c r="B1" s="2"/>
      <c r="C1" s="2"/>
    </row>
    <row r="2" spans="1:8" x14ac:dyDescent="0.2">
      <c r="A2" s="1" t="s">
        <v>6</v>
      </c>
      <c r="B2" s="2"/>
      <c r="C2" s="2"/>
    </row>
    <row r="3" spans="1:8" x14ac:dyDescent="0.2">
      <c r="A3" s="3"/>
      <c r="B3" s="4" t="s">
        <v>7</v>
      </c>
      <c r="C3" s="5" t="s">
        <v>8</v>
      </c>
    </row>
    <row r="4" spans="1:8" x14ac:dyDescent="0.2">
      <c r="A4" s="6" t="s">
        <v>9</v>
      </c>
      <c r="B4" s="7">
        <v>12</v>
      </c>
      <c r="C4" s="8">
        <f>(B4*$B$19)/1000/1000</f>
        <v>5.3537967341839917E-4</v>
      </c>
    </row>
    <row r="5" spans="1:8" x14ac:dyDescent="0.2">
      <c r="A5" s="6" t="s">
        <v>10</v>
      </c>
      <c r="B5" s="7">
        <v>16.042459999999998</v>
      </c>
      <c r="C5" s="8">
        <f t="shared" ref="C5:C12" si="0">(B5*$B$19)/1000/1000</f>
        <v>7.1573391630231102E-4</v>
      </c>
    </row>
    <row r="6" spans="1:8" x14ac:dyDescent="0.2">
      <c r="A6" s="6" t="s">
        <v>11</v>
      </c>
      <c r="B6" s="7">
        <v>28.010100000000001</v>
      </c>
      <c r="C6" s="8">
        <f t="shared" si="0"/>
        <v>1.2496698492013921E-3</v>
      </c>
    </row>
    <row r="7" spans="1:8" x14ac:dyDescent="0.2">
      <c r="A7" s="6" t="s">
        <v>12</v>
      </c>
      <c r="B7" s="7">
        <v>44.009500000000003</v>
      </c>
      <c r="C7" s="8">
        <f t="shared" si="0"/>
        <v>1.963482644775587E-3</v>
      </c>
    </row>
    <row r="8" spans="1:8" x14ac:dyDescent="0.2">
      <c r="A8" s="6" t="s">
        <v>13</v>
      </c>
      <c r="B8" s="7">
        <v>2.0158800000000001</v>
      </c>
      <c r="C8" s="8">
        <f t="shared" si="0"/>
        <v>8.9938431337556905E-5</v>
      </c>
    </row>
    <row r="9" spans="1:8" x14ac:dyDescent="0.2">
      <c r="A9" s="6" t="s">
        <v>14</v>
      </c>
      <c r="B9" s="7">
        <v>18.015280000000001</v>
      </c>
      <c r="C9" s="8">
        <f t="shared" si="0"/>
        <v>8.0375122691175155E-4</v>
      </c>
    </row>
    <row r="10" spans="1:8" x14ac:dyDescent="0.2">
      <c r="A10" s="6" t="s">
        <v>15</v>
      </c>
      <c r="B10" s="7">
        <f>(78.12+92.15+106.7)/3</f>
        <v>92.323333333333338</v>
      </c>
      <c r="C10" s="8">
        <f t="shared" si="0"/>
        <v>4.1190030040748338E-3</v>
      </c>
    </row>
    <row r="11" spans="1:8" x14ac:dyDescent="0.2">
      <c r="A11" s="6" t="s">
        <v>16</v>
      </c>
      <c r="B11" s="7">
        <v>28.013400000000001</v>
      </c>
      <c r="C11" s="8">
        <f t="shared" si="0"/>
        <v>1.2498170786115822E-3</v>
      </c>
    </row>
    <row r="12" spans="1:8" x14ac:dyDescent="0.2">
      <c r="A12" s="6" t="s">
        <v>17</v>
      </c>
      <c r="B12" s="7">
        <v>31.998799999999999</v>
      </c>
      <c r="C12" s="8">
        <f t="shared" si="0"/>
        <v>1.4276255911483892E-3</v>
      </c>
    </row>
    <row r="13" spans="1:8" x14ac:dyDescent="0.2">
      <c r="A13" s="9"/>
      <c r="B13" s="10"/>
      <c r="C13" s="11"/>
    </row>
    <row r="14" spans="1:8" x14ac:dyDescent="0.2">
      <c r="A14" s="2"/>
      <c r="B14" s="12"/>
      <c r="C14" s="12"/>
    </row>
    <row r="15" spans="1:8" x14ac:dyDescent="0.2">
      <c r="A15" s="1" t="s">
        <v>18</v>
      </c>
      <c r="B15" s="12"/>
      <c r="C15" s="12"/>
    </row>
    <row r="16" spans="1:8" x14ac:dyDescent="0.2">
      <c r="A16" s="15"/>
      <c r="B16" s="13" t="s">
        <v>19</v>
      </c>
      <c r="C16" s="13"/>
      <c r="H16" s="23"/>
    </row>
    <row r="17" spans="1:8" x14ac:dyDescent="0.2">
      <c r="A17" s="15" t="s">
        <v>20</v>
      </c>
      <c r="B17" s="18">
        <v>3.6</v>
      </c>
      <c r="C17" s="7"/>
    </row>
    <row r="18" spans="1:8" x14ac:dyDescent="0.2">
      <c r="A18" s="15" t="s">
        <v>21</v>
      </c>
      <c r="B18" s="20">
        <f>B17/1000</f>
        <v>3.5999999999999999E-3</v>
      </c>
      <c r="C18" s="7"/>
      <c r="D18" s="18"/>
      <c r="E18" s="23"/>
    </row>
    <row r="19" spans="1:8" x14ac:dyDescent="0.2">
      <c r="A19" s="15" t="s">
        <v>22</v>
      </c>
      <c r="B19" s="7">
        <f>1/0.022414</f>
        <v>44.614972784866602</v>
      </c>
      <c r="C19" s="7"/>
    </row>
    <row r="20" spans="1:8" x14ac:dyDescent="0.2">
      <c r="A20" s="14" t="s">
        <v>23</v>
      </c>
      <c r="B20" s="16">
        <f>1.163</f>
        <v>1.163</v>
      </c>
      <c r="E20" s="23"/>
    </row>
    <row r="21" spans="1:8" x14ac:dyDescent="0.2">
      <c r="A21" s="14" t="s">
        <v>25</v>
      </c>
      <c r="B21" s="17">
        <f>2000/2204.62</f>
        <v>0.90718581887127947</v>
      </c>
    </row>
    <row r="28" spans="1:8" x14ac:dyDescent="0.2">
      <c r="H28" t="s">
        <v>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cement_meal</vt:lpstr>
      <vt:lpstr>cement_kiln-system</vt:lpstr>
      <vt:lpstr>cement_cooler</vt:lpstr>
      <vt:lpstr>cement_mixer</vt:lpstr>
      <vt:lpstr>concrete-vol</vt:lpstr>
      <vt:lpstr>concrete_demo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2022-03-08T12:37:56Z</dcterms:modified>
</cp:coreProperties>
</file>