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0" yWindow="465" windowWidth="28800" windowHeight="17535" tabRatio="598" activeTab="2"/>
  </bookViews>
  <sheets>
    <sheet name="Lime" sheetId="2" r:id="rId1"/>
    <sheet name="Charcoal" sheetId="22" r:id="rId2"/>
    <sheet name="Syngas" sheetId="20" r:id="rId3"/>
    <sheet name="Oxygen" sheetId="8" r:id="rId4"/>
    <sheet name="Electricity" sheetId="9" r:id="rId5"/>
    <sheet name="Heat" sheetId="18" r:id="rId6"/>
    <sheet name="CO2 Capture" sheetId="12" r:id="rId7"/>
    <sheet name="CO2 Cap Aux" sheetId="23" r:id="rId8"/>
    <sheet name="CO2 Compress" sheetId="24" r:id="rId9"/>
    <sheet name="CO2 Storage" sheetId="13" r:id="rId10"/>
    <sheet name="Ref" sheetId="7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22" l="1"/>
  <c r="P7" i="22"/>
  <c r="N8" i="22"/>
  <c r="K14" i="20" l="1"/>
  <c r="K11" i="20"/>
  <c r="K13" i="20" s="1"/>
  <c r="K8" i="20"/>
  <c r="K10" i="20" s="1"/>
  <c r="J14" i="20"/>
  <c r="J11" i="20"/>
  <c r="J13" i="20" s="1"/>
  <c r="J8" i="20"/>
  <c r="J10" i="20" s="1"/>
  <c r="J12" i="20"/>
  <c r="I13" i="20"/>
  <c r="I12" i="20"/>
  <c r="I10" i="20"/>
  <c r="I9" i="20"/>
  <c r="I17" i="22"/>
  <c r="I19" i="22" s="1"/>
  <c r="H17" i="22"/>
  <c r="H19" i="22" s="1"/>
  <c r="I14" i="22"/>
  <c r="I16" i="22" s="1"/>
  <c r="H14" i="22"/>
  <c r="H16" i="22" s="1"/>
  <c r="I11" i="22"/>
  <c r="I13" i="22" s="1"/>
  <c r="H11" i="22"/>
  <c r="H13" i="22" s="1"/>
  <c r="G19" i="22"/>
  <c r="G18" i="22"/>
  <c r="G16" i="22"/>
  <c r="G15" i="22"/>
  <c r="G13" i="22"/>
  <c r="G12" i="22"/>
  <c r="F19" i="22"/>
  <c r="F18" i="22"/>
  <c r="F17" i="22"/>
  <c r="F16" i="22"/>
  <c r="F15" i="22"/>
  <c r="F14" i="22"/>
  <c r="F13" i="22"/>
  <c r="F12" i="22"/>
  <c r="F11" i="22"/>
  <c r="F10" i="22"/>
  <c r="F20" i="22" s="1"/>
  <c r="O10" i="22"/>
  <c r="M10" i="22"/>
  <c r="L10" i="22"/>
  <c r="K10" i="22"/>
  <c r="H12" i="22" l="1"/>
  <c r="K12" i="20"/>
  <c r="K9" i="20"/>
  <c r="J9" i="20"/>
  <c r="H18" i="22"/>
  <c r="I18" i="22"/>
  <c r="H15" i="22"/>
  <c r="I15" i="22"/>
  <c r="I12" i="22"/>
  <c r="D20" i="2"/>
  <c r="C20" i="2"/>
  <c r="W20" i="22"/>
  <c r="O20" i="22"/>
  <c r="M20" i="22"/>
  <c r="L20" i="22"/>
  <c r="K20" i="22"/>
  <c r="C20" i="22"/>
  <c r="G20" i="23"/>
  <c r="F20" i="23"/>
  <c r="E20" i="23"/>
  <c r="D20" i="23"/>
  <c r="C20" i="23"/>
  <c r="G20" i="12"/>
  <c r="F20" i="12"/>
  <c r="E20" i="12"/>
  <c r="D20" i="12"/>
  <c r="C20" i="12"/>
  <c r="H20" i="18"/>
  <c r="G20" i="18"/>
  <c r="F20" i="18"/>
  <c r="E20" i="18"/>
  <c r="C20" i="18"/>
  <c r="E23" i="9"/>
  <c r="C23" i="8"/>
  <c r="D20" i="24"/>
  <c r="C20" i="24"/>
  <c r="E20" i="13"/>
  <c r="D20" i="13"/>
  <c r="C20" i="13"/>
  <c r="B19" i="13" l="1"/>
  <c r="B18" i="13"/>
  <c r="B16" i="13"/>
  <c r="B15" i="13"/>
  <c r="B13" i="13"/>
  <c r="B12" i="13"/>
  <c r="B10" i="13"/>
  <c r="B9" i="13"/>
  <c r="B7" i="13"/>
  <c r="B6" i="13"/>
  <c r="B19" i="24"/>
  <c r="B18" i="24"/>
  <c r="B16" i="24"/>
  <c r="B15" i="24"/>
  <c r="B13" i="24"/>
  <c r="B12" i="24"/>
  <c r="B10" i="24"/>
  <c r="B9" i="24"/>
  <c r="B7" i="24"/>
  <c r="B6" i="24"/>
  <c r="B19" i="23"/>
  <c r="B18" i="23"/>
  <c r="B16" i="23"/>
  <c r="B15" i="23"/>
  <c r="B13" i="23"/>
  <c r="B12" i="23"/>
  <c r="B10" i="23"/>
  <c r="B9" i="23"/>
  <c r="B7" i="23"/>
  <c r="B6" i="23"/>
  <c r="B19" i="12"/>
  <c r="B18" i="12"/>
  <c r="B16" i="12"/>
  <c r="B15" i="12"/>
  <c r="B13" i="12"/>
  <c r="B12" i="12"/>
  <c r="B10" i="12"/>
  <c r="B9" i="12"/>
  <c r="B7" i="12"/>
  <c r="B6" i="12"/>
  <c r="B19" i="18"/>
  <c r="B18" i="18"/>
  <c r="B16" i="18"/>
  <c r="B15" i="18"/>
  <c r="B13" i="18"/>
  <c r="B12" i="18"/>
  <c r="B10" i="18"/>
  <c r="B9" i="18"/>
  <c r="B7" i="18"/>
  <c r="B6" i="18"/>
  <c r="B22" i="9"/>
  <c r="B21" i="9"/>
  <c r="B19" i="9"/>
  <c r="B18" i="9"/>
  <c r="B16" i="9"/>
  <c r="B15" i="9"/>
  <c r="B13" i="9"/>
  <c r="B12" i="9"/>
  <c r="B10" i="9"/>
  <c r="B9" i="9"/>
  <c r="B22" i="8"/>
  <c r="B21" i="8"/>
  <c r="B19" i="8"/>
  <c r="B18" i="8"/>
  <c r="B16" i="8"/>
  <c r="B15" i="8"/>
  <c r="B13" i="8"/>
  <c r="B12" i="8"/>
  <c r="B10" i="8"/>
  <c r="B9" i="8"/>
  <c r="B13" i="20"/>
  <c r="B12" i="20"/>
  <c r="B10" i="20"/>
  <c r="B9" i="20"/>
  <c r="B19" i="22"/>
  <c r="B18" i="22"/>
  <c r="B16" i="22"/>
  <c r="B15" i="22"/>
  <c r="B13" i="22"/>
  <c r="B12" i="22"/>
  <c r="B19" i="2"/>
  <c r="B18" i="2"/>
  <c r="B16" i="2"/>
  <c r="B15" i="2"/>
  <c r="B13" i="2"/>
  <c r="B12" i="2"/>
  <c r="B10" i="2"/>
  <c r="B9" i="2"/>
  <c r="B7" i="2"/>
  <c r="B6" i="2"/>
  <c r="G14" i="12" l="1"/>
  <c r="F14" i="12"/>
  <c r="E11" i="12" l="1"/>
  <c r="E17" i="12"/>
  <c r="C19" i="24" l="1"/>
  <c r="C18" i="24"/>
  <c r="C16" i="24"/>
  <c r="C15" i="24"/>
  <c r="C13" i="24"/>
  <c r="C12" i="24"/>
  <c r="C10" i="24"/>
  <c r="C9" i="24"/>
  <c r="C7" i="24"/>
  <c r="C6" i="24"/>
  <c r="G17" i="23" l="1"/>
  <c r="F17" i="23"/>
  <c r="F19" i="23" s="1"/>
  <c r="G14" i="23"/>
  <c r="G16" i="23" s="1"/>
  <c r="F14" i="23"/>
  <c r="F16" i="23" s="1"/>
  <c r="G11" i="23"/>
  <c r="G12" i="23" s="1"/>
  <c r="F11" i="23"/>
  <c r="F13" i="23" s="1"/>
  <c r="G8" i="23"/>
  <c r="G9" i="23" s="1"/>
  <c r="F8" i="23"/>
  <c r="F10" i="23" s="1"/>
  <c r="G19" i="23"/>
  <c r="D19" i="23"/>
  <c r="C19" i="23"/>
  <c r="G18" i="23"/>
  <c r="D18" i="23"/>
  <c r="C18" i="23"/>
  <c r="D16" i="23"/>
  <c r="C16" i="23"/>
  <c r="D15" i="23"/>
  <c r="C15" i="23"/>
  <c r="G15" i="23"/>
  <c r="D13" i="23"/>
  <c r="C13" i="23"/>
  <c r="D12" i="23"/>
  <c r="C12" i="23"/>
  <c r="D10" i="23"/>
  <c r="C10" i="23"/>
  <c r="D9" i="23"/>
  <c r="C9" i="23"/>
  <c r="D7" i="23"/>
  <c r="C7" i="23"/>
  <c r="D6" i="23"/>
  <c r="C6" i="23"/>
  <c r="G5" i="23"/>
  <c r="G7" i="23" s="1"/>
  <c r="F5" i="23"/>
  <c r="F6" i="23" s="1"/>
  <c r="G10" i="23" l="1"/>
  <c r="G13" i="23"/>
  <c r="F18" i="23"/>
  <c r="F12" i="23"/>
  <c r="G6" i="23"/>
  <c r="F7" i="23"/>
  <c r="F9" i="23"/>
  <c r="F15" i="23"/>
  <c r="O19" i="22" l="1"/>
  <c r="L19" i="22"/>
  <c r="K19" i="22"/>
  <c r="D19" i="22"/>
  <c r="C19" i="22"/>
  <c r="O18" i="22"/>
  <c r="L18" i="22"/>
  <c r="K18" i="22"/>
  <c r="D18" i="22"/>
  <c r="C18" i="22"/>
  <c r="O17" i="22"/>
  <c r="L17" i="22"/>
  <c r="K17" i="22"/>
  <c r="D17" i="22"/>
  <c r="C17" i="22"/>
  <c r="O16" i="22"/>
  <c r="L16" i="22"/>
  <c r="K16" i="22"/>
  <c r="D16" i="22"/>
  <c r="C16" i="22"/>
  <c r="O15" i="22"/>
  <c r="L15" i="22"/>
  <c r="K15" i="22"/>
  <c r="D15" i="22"/>
  <c r="C15" i="22"/>
  <c r="O14" i="22"/>
  <c r="L14" i="22"/>
  <c r="K14" i="22"/>
  <c r="D14" i="22"/>
  <c r="C14" i="22"/>
  <c r="N5" i="22" l="1"/>
  <c r="N6" i="22"/>
  <c r="N7" i="22"/>
  <c r="O13" i="22" l="1"/>
  <c r="L13" i="22"/>
  <c r="K13" i="22"/>
  <c r="D13" i="22"/>
  <c r="C13" i="22"/>
  <c r="O12" i="22"/>
  <c r="L12" i="22"/>
  <c r="K12" i="22"/>
  <c r="D12" i="22"/>
  <c r="C12" i="22"/>
  <c r="O11" i="22"/>
  <c r="L11" i="22"/>
  <c r="K11" i="22"/>
  <c r="D11" i="22"/>
  <c r="C11" i="22"/>
  <c r="E5" i="22" l="1"/>
  <c r="M5" i="22"/>
  <c r="L6" i="22"/>
  <c r="J6" i="22" s="1"/>
  <c r="V10" i="22"/>
  <c r="V20" i="22" s="1"/>
  <c r="U10" i="22"/>
  <c r="U20" i="22" s="1"/>
  <c r="T10" i="22"/>
  <c r="T20" i="22" s="1"/>
  <c r="P10" i="22"/>
  <c r="P20" i="22" s="1"/>
  <c r="E4" i="22"/>
  <c r="J8" i="22"/>
  <c r="J9" i="22"/>
  <c r="J10" i="22" s="1"/>
  <c r="J20" i="22" s="1"/>
  <c r="J19" i="22" l="1"/>
  <c r="J15" i="22"/>
  <c r="J18" i="22"/>
  <c r="J14" i="22"/>
  <c r="J17" i="22"/>
  <c r="J16" i="22"/>
  <c r="J13" i="22"/>
  <c r="J12" i="22"/>
  <c r="J11" i="22"/>
  <c r="N9" i="22"/>
  <c r="N10" i="22" s="1"/>
  <c r="N20" i="22" s="1"/>
  <c r="E9" i="22"/>
  <c r="E10" i="22" s="1"/>
  <c r="E20" i="22" s="1"/>
  <c r="E8" i="22"/>
  <c r="D5" i="22"/>
  <c r="D10" i="22" s="1"/>
  <c r="D20" i="22" s="1"/>
  <c r="N16" i="22" l="1"/>
  <c r="N14" i="22"/>
  <c r="N19" i="22"/>
  <c r="N15" i="22"/>
  <c r="N18" i="22"/>
  <c r="N17" i="22"/>
  <c r="E17" i="22"/>
  <c r="E16" i="22"/>
  <c r="E18" i="22"/>
  <c r="E19" i="22"/>
  <c r="E15" i="22"/>
  <c r="E14" i="22"/>
  <c r="N13" i="22"/>
  <c r="N12" i="22"/>
  <c r="N11" i="22"/>
  <c r="E11" i="22"/>
  <c r="E13" i="22"/>
  <c r="E12" i="22"/>
  <c r="J4" i="22"/>
  <c r="M6" i="22"/>
  <c r="E6" i="22"/>
  <c r="L7" i="22"/>
  <c r="J7" i="22" s="1"/>
  <c r="L5" i="22"/>
  <c r="E7" i="22"/>
  <c r="J5" i="22" l="1"/>
  <c r="G8" i="12" l="1"/>
  <c r="G5" i="12"/>
  <c r="N11" i="20" l="1"/>
  <c r="N8" i="20"/>
  <c r="P8" i="20" l="1"/>
  <c r="P11" i="20"/>
  <c r="E19" i="13"/>
  <c r="E18" i="13"/>
  <c r="E16" i="13"/>
  <c r="E15" i="13"/>
  <c r="E13" i="13"/>
  <c r="E12" i="13"/>
  <c r="E10" i="13"/>
  <c r="E9" i="13"/>
  <c r="E7" i="13"/>
  <c r="E6" i="13"/>
  <c r="P5" i="20" l="1"/>
  <c r="P4" i="20"/>
  <c r="E6" i="9"/>
  <c r="E5" i="9"/>
  <c r="C6" i="8"/>
  <c r="C5" i="8"/>
  <c r="N6" i="20"/>
  <c r="P6" i="20" s="1"/>
  <c r="M5" i="20"/>
  <c r="G5" i="20"/>
  <c r="E7" i="9" l="1"/>
  <c r="C4" i="9"/>
  <c r="C23" i="9" s="1"/>
  <c r="C7" i="8"/>
  <c r="R7" i="20"/>
  <c r="Q7" i="20"/>
  <c r="O7" i="20"/>
  <c r="N7" i="20"/>
  <c r="P7" i="20" s="1"/>
  <c r="M7" i="20"/>
  <c r="L7" i="20"/>
  <c r="F7" i="20"/>
  <c r="E7" i="20"/>
  <c r="D7" i="20"/>
  <c r="C7" i="20"/>
  <c r="C5" i="9" l="1"/>
  <c r="C6" i="9"/>
  <c r="C7" i="9"/>
  <c r="R13" i="20"/>
  <c r="R12" i="20"/>
  <c r="R10" i="20"/>
  <c r="R9" i="20"/>
  <c r="Q13" i="20" l="1"/>
  <c r="Q12" i="20"/>
  <c r="Q10" i="20"/>
  <c r="Q9" i="20"/>
  <c r="M12" i="20" l="1"/>
  <c r="C19" i="2" l="1"/>
  <c r="C18" i="2"/>
  <c r="C16" i="2"/>
  <c r="C15" i="2"/>
  <c r="G19" i="12" l="1"/>
  <c r="G18" i="12"/>
  <c r="G16" i="12"/>
  <c r="G15" i="12"/>
  <c r="G13" i="12"/>
  <c r="G12" i="12"/>
  <c r="L10" i="20"/>
  <c r="H10" i="20"/>
  <c r="F10" i="20"/>
  <c r="D10" i="20"/>
  <c r="C10" i="20"/>
  <c r="P9" i="20"/>
  <c r="L9" i="20"/>
  <c r="H9" i="20"/>
  <c r="F9" i="20"/>
  <c r="D9" i="20"/>
  <c r="C9" i="20"/>
  <c r="P10" i="20"/>
  <c r="N9" i="20"/>
  <c r="M9" i="20"/>
  <c r="G9" i="20"/>
  <c r="C13" i="20"/>
  <c r="C12" i="20"/>
  <c r="D13" i="20"/>
  <c r="D12" i="20"/>
  <c r="F13" i="20"/>
  <c r="F12" i="20"/>
  <c r="G13" i="20"/>
  <c r="G12" i="20"/>
  <c r="H13" i="20"/>
  <c r="H12" i="20"/>
  <c r="L13" i="20"/>
  <c r="L12" i="20"/>
  <c r="M13" i="20"/>
  <c r="N13" i="20"/>
  <c r="N12" i="20"/>
  <c r="P13" i="20"/>
  <c r="P12" i="20"/>
  <c r="M10" i="20" l="1"/>
  <c r="N10" i="20"/>
  <c r="G10" i="20"/>
  <c r="G10" i="12" l="1"/>
  <c r="G9" i="12"/>
  <c r="G7" i="12"/>
  <c r="G6" i="12"/>
  <c r="C19" i="18"/>
  <c r="E18" i="18"/>
  <c r="C18" i="18"/>
  <c r="D19" i="18"/>
  <c r="C16" i="18"/>
  <c r="E15" i="18"/>
  <c r="C15" i="18"/>
  <c r="D16" i="18"/>
  <c r="F19" i="12"/>
  <c r="D19" i="12"/>
  <c r="C19" i="12"/>
  <c r="F18" i="12"/>
  <c r="D18" i="12"/>
  <c r="C18" i="12"/>
  <c r="F16" i="12"/>
  <c r="D16" i="12"/>
  <c r="C16" i="12"/>
  <c r="F15" i="12"/>
  <c r="D15" i="12"/>
  <c r="C15" i="12"/>
  <c r="C18" i="13"/>
  <c r="C19" i="13"/>
  <c r="D19" i="13"/>
  <c r="D18" i="13"/>
  <c r="D16" i="13"/>
  <c r="D15" i="13"/>
  <c r="C14" i="13"/>
  <c r="C15" i="13" s="1"/>
  <c r="E9" i="18"/>
  <c r="E10" i="18" s="1"/>
  <c r="E6" i="18"/>
  <c r="E7" i="18" s="1"/>
  <c r="E9" i="9"/>
  <c r="C16" i="13" l="1"/>
  <c r="D15" i="18"/>
  <c r="D18" i="18"/>
  <c r="C7" i="2"/>
  <c r="C6" i="2"/>
  <c r="E22" i="9"/>
  <c r="D22" i="9"/>
  <c r="C22" i="9"/>
  <c r="E21" i="9"/>
  <c r="D21" i="9"/>
  <c r="C21" i="9"/>
  <c r="E19" i="9"/>
  <c r="D19" i="9"/>
  <c r="C19" i="9"/>
  <c r="E18" i="9"/>
  <c r="D18" i="9"/>
  <c r="C18" i="9"/>
  <c r="C22" i="8"/>
  <c r="C21" i="8"/>
  <c r="C19" i="8"/>
  <c r="C18" i="8"/>
  <c r="D4" i="9" l="1"/>
  <c r="D23" i="9" s="1"/>
  <c r="D8" i="18"/>
  <c r="D5" i="18"/>
  <c r="D20" i="18" s="1"/>
  <c r="F5" i="12"/>
  <c r="D13" i="13" l="1"/>
  <c r="D12" i="13"/>
  <c r="C11" i="13"/>
  <c r="D9" i="13"/>
  <c r="C8" i="13"/>
  <c r="C10" i="13" s="1"/>
  <c r="F13" i="12"/>
  <c r="E13" i="12"/>
  <c r="D13" i="12"/>
  <c r="C13" i="12"/>
  <c r="F12" i="12"/>
  <c r="E12" i="12"/>
  <c r="D12" i="12"/>
  <c r="C12" i="12"/>
  <c r="F10" i="12"/>
  <c r="D10" i="12"/>
  <c r="C10" i="12"/>
  <c r="F9" i="12"/>
  <c r="D9" i="12"/>
  <c r="C9" i="12"/>
  <c r="D13" i="18"/>
  <c r="C13" i="18"/>
  <c r="D12" i="18"/>
  <c r="C12" i="18"/>
  <c r="D10" i="18"/>
  <c r="C10" i="18"/>
  <c r="D9" i="18"/>
  <c r="C9" i="18"/>
  <c r="C16" i="8"/>
  <c r="C15" i="8"/>
  <c r="C13" i="8"/>
  <c r="C12" i="8"/>
  <c r="E16" i="9"/>
  <c r="D16" i="9"/>
  <c r="C16" i="9"/>
  <c r="E15" i="9"/>
  <c r="D15" i="9"/>
  <c r="C15" i="9"/>
  <c r="E13" i="9"/>
  <c r="D13" i="9"/>
  <c r="C13" i="9"/>
  <c r="E12" i="9"/>
  <c r="D12" i="9"/>
  <c r="C12" i="9"/>
  <c r="C9" i="13" l="1"/>
  <c r="C13" i="13"/>
  <c r="C12" i="13"/>
  <c r="C13" i="2" l="1"/>
  <c r="C12" i="2"/>
  <c r="C9" i="2"/>
  <c r="C10" i="2"/>
  <c r="D7" i="13" l="1"/>
  <c r="C7" i="13"/>
  <c r="D6" i="13"/>
  <c r="C6" i="13"/>
  <c r="F7" i="12"/>
  <c r="D7" i="12"/>
  <c r="C7" i="12"/>
  <c r="F6" i="12"/>
  <c r="D6" i="12"/>
  <c r="C6" i="12"/>
  <c r="D7" i="18"/>
  <c r="C7" i="18"/>
  <c r="D6" i="18"/>
  <c r="C6" i="18"/>
  <c r="E10" i="9"/>
  <c r="D10" i="9"/>
  <c r="D9" i="9"/>
  <c r="C9" i="8" l="1"/>
  <c r="C10" i="8"/>
  <c r="B21" i="7" l="1"/>
  <c r="B20" i="7" l="1"/>
  <c r="B19" i="7" l="1"/>
  <c r="C7" i="7" s="1"/>
  <c r="B18" i="7"/>
  <c r="I4" i="18" s="1"/>
  <c r="B10" i="7"/>
  <c r="E14" i="12" l="1"/>
  <c r="D5" i="24"/>
  <c r="D17" i="24"/>
  <c r="D14" i="24"/>
  <c r="D8" i="24"/>
  <c r="D11" i="24"/>
  <c r="E8" i="23"/>
  <c r="E11" i="23"/>
  <c r="E5" i="23"/>
  <c r="E14" i="23"/>
  <c r="E17" i="23"/>
  <c r="O4" i="22"/>
  <c r="O8" i="20"/>
  <c r="O11" i="20"/>
  <c r="E9" i="12"/>
  <c r="E5" i="12"/>
  <c r="F4" i="13"/>
  <c r="I14" i="18"/>
  <c r="O5" i="20"/>
  <c r="D14" i="2"/>
  <c r="D17" i="2"/>
  <c r="I17" i="18"/>
  <c r="I11" i="18"/>
  <c r="I8" i="18"/>
  <c r="I5" i="18"/>
  <c r="I20" i="18" s="1"/>
  <c r="D8" i="2"/>
  <c r="D5" i="2"/>
  <c r="C6" i="7"/>
  <c r="C10" i="7"/>
  <c r="C4" i="7"/>
  <c r="C8" i="7"/>
  <c r="C11" i="7"/>
  <c r="C5" i="7"/>
  <c r="C9" i="7"/>
  <c r="C12" i="7"/>
  <c r="D20" i="8" s="1"/>
  <c r="F5" i="13" l="1"/>
  <c r="F9" i="13" s="1"/>
  <c r="F20" i="13"/>
  <c r="E19" i="23"/>
  <c r="E18" i="23"/>
  <c r="E10" i="23"/>
  <c r="E9" i="23"/>
  <c r="D19" i="24"/>
  <c r="D18" i="24"/>
  <c r="E15" i="23"/>
  <c r="E16" i="23"/>
  <c r="D13" i="24"/>
  <c r="D12" i="24"/>
  <c r="D7" i="24"/>
  <c r="D6" i="24"/>
  <c r="E6" i="23"/>
  <c r="E7" i="23"/>
  <c r="D9" i="24"/>
  <c r="D10" i="24"/>
  <c r="E13" i="23"/>
  <c r="E12" i="23"/>
  <c r="D15" i="24"/>
  <c r="D16" i="24"/>
  <c r="O13" i="20"/>
  <c r="O12" i="20"/>
  <c r="O9" i="20"/>
  <c r="O10" i="20"/>
  <c r="F7" i="13"/>
  <c r="F8" i="13" s="1"/>
  <c r="F18" i="13"/>
  <c r="F6" i="13"/>
  <c r="F13" i="13"/>
  <c r="F14" i="13" s="1"/>
  <c r="F12" i="13"/>
  <c r="E16" i="12"/>
  <c r="E15" i="12"/>
  <c r="I7" i="18"/>
  <c r="I6" i="18"/>
  <c r="D16" i="2"/>
  <c r="D15" i="2"/>
  <c r="I10" i="18"/>
  <c r="I9" i="18"/>
  <c r="I13" i="18"/>
  <c r="I12" i="18"/>
  <c r="D4" i="8"/>
  <c r="D23" i="8" s="1"/>
  <c r="D11" i="8"/>
  <c r="I16" i="18"/>
  <c r="I15" i="18"/>
  <c r="I19" i="18"/>
  <c r="I18" i="18"/>
  <c r="E19" i="12"/>
  <c r="E18" i="12"/>
  <c r="D19" i="2"/>
  <c r="D18" i="2"/>
  <c r="D14" i="8"/>
  <c r="D17" i="8"/>
  <c r="D8" i="8"/>
  <c r="D10" i="8" s="1"/>
  <c r="D9" i="2"/>
  <c r="D10" i="2"/>
  <c r="D13" i="2"/>
  <c r="D12" i="2"/>
  <c r="D7" i="2"/>
  <c r="D6" i="2"/>
  <c r="E7" i="12"/>
  <c r="E6" i="12"/>
  <c r="E10" i="12"/>
  <c r="F15" i="13" l="1"/>
  <c r="F10" i="13"/>
  <c r="F11" i="13" s="1"/>
  <c r="F19" i="13"/>
  <c r="F16" i="13"/>
  <c r="F17" i="13" s="1"/>
  <c r="D9" i="8"/>
  <c r="D7" i="8"/>
  <c r="D6" i="8"/>
  <c r="D5" i="8"/>
  <c r="D22" i="8"/>
  <c r="D21" i="8"/>
  <c r="D19" i="8"/>
  <c r="D18" i="8"/>
  <c r="D13" i="8"/>
  <c r="D12" i="8"/>
  <c r="D16" i="8"/>
  <c r="D15" i="8"/>
</calcChain>
</file>

<file path=xl/comments1.xml><?xml version="1.0" encoding="utf-8"?>
<comments xmlns="http://schemas.openxmlformats.org/spreadsheetml/2006/main">
  <authors>
    <author>S.E. Tanzer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O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<sst xmlns="http://schemas.openxmlformats.org/spreadsheetml/2006/main" count="486" uniqueCount="146">
  <si>
    <t>scenario</t>
  </si>
  <si>
    <t>meta-unit</t>
  </si>
  <si>
    <t>meta-notes</t>
  </si>
  <si>
    <t>default</t>
  </si>
  <si>
    <t>electricity demand</t>
  </si>
  <si>
    <t>C to Slag</t>
  </si>
  <si>
    <t>Electricity Demand</t>
  </si>
  <si>
    <t>biofuel cofire rate</t>
  </si>
  <si>
    <t>biofuel type</t>
  </si>
  <si>
    <t>fossil fuel type</t>
  </si>
  <si>
    <t>biomass cofire rate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</si>
  <si>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</si>
  <si>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</si>
  <si>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</si>
  <si>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</si>
  <si>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</si>
  <si>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</si>
  <si>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</si>
  <si>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</si>
  <si>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</si>
  <si>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</si>
  <si>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</si>
  <si>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</si>
  <si>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</si>
  <si>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</si>
  <si>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</si>
  <si>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</si>
  <si>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</si>
  <si>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</si>
  <si>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combustion eff</t>
  </si>
  <si>
    <t>O2 Recovery Eff</t>
  </si>
  <si>
    <t>fueltype</t>
  </si>
  <si>
    <t>t CO2 in slag/t CO2 in CaCO3</t>
  </si>
  <si>
    <t>GJ/t CaO</t>
  </si>
  <si>
    <t>GJ electricity/GJ fuel</t>
  </si>
  <si>
    <t>oxygen demand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</si>
  <si>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</si>
  <si>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</si>
  <si>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</si>
  <si>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</si>
  <si>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</si>
  <si>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</si>
  <si>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</si>
  <si>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</si>
  <si>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</si>
  <si>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</si>
  <si>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</si>
  <si>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</si>
  <si>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</si>
  <si>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</si>
  <si>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</si>
  <si>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</si>
  <si>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</si>
  <si>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</si>
  <si>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</si>
  <si>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</si>
  <si>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</si>
  <si>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</si>
  <si>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</si>
  <si>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natural gas - IPCC</t>
  </si>
  <si>
    <t>meta-IEA2016</t>
  </si>
  <si>
    <t>Fuel Demand</t>
  </si>
  <si>
    <t>charcoal - IPCC</t>
  </si>
  <si>
    <t>TGR-0B</t>
  </si>
  <si>
    <t>HIS-0B</t>
  </si>
  <si>
    <t>heat from recovered energy</t>
  </si>
  <si>
    <t>Solvent demand</t>
  </si>
  <si>
    <t>GJ heat/GJ fuel</t>
  </si>
  <si>
    <t>GJ electricity/GJ heat</t>
  </si>
  <si>
    <t>%</t>
  </si>
  <si>
    <t>fuel energy demand</t>
  </si>
  <si>
    <t>t O2 / t gas</t>
  </si>
  <si>
    <t>MID-0B</t>
  </si>
  <si>
    <t>MID-LB</t>
  </si>
  <si>
    <t>MID-HB</t>
  </si>
  <si>
    <t>ULC-0B</t>
  </si>
  <si>
    <t>ULC-LB</t>
  </si>
  <si>
    <t>ULC-HB</t>
  </si>
  <si>
    <t>BBF-0B</t>
  </si>
  <si>
    <t>BBF-LB</t>
  </si>
  <si>
    <t>TGR-LB</t>
  </si>
  <si>
    <t>HIS-LB</t>
  </si>
  <si>
    <t>BBF-HB</t>
  </si>
  <si>
    <t>TGR-HB</t>
  </si>
  <si>
    <t>HIS-HB</t>
  </si>
  <si>
    <t>GJ fuel/t syngas</t>
  </si>
  <si>
    <t>feedstock demand</t>
  </si>
  <si>
    <t>t feedstock / t gas</t>
  </si>
  <si>
    <t>feedstock type</t>
  </si>
  <si>
    <t>% heat</t>
  </si>
  <si>
    <t>t MEA-eq/t CO2</t>
  </si>
  <si>
    <t xml:space="preserve">solvent demand </t>
  </si>
  <si>
    <t>CO2 pure</t>
  </si>
  <si>
    <t>t / t syngas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</si>
  <si>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</si>
  <si>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</si>
  <si>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</si>
  <si>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</si>
  <si>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</si>
  <si>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</si>
  <si>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</si>
  <si>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syngas_ecoinvent</t>
  </si>
  <si>
    <t>syngas_PNNL</t>
  </si>
  <si>
    <t>t MEA/ t syngas</t>
  </si>
  <si>
    <t>Pipeline Distance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</si>
  <si>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</si>
  <si>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</si>
  <si>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</si>
  <si>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</si>
  <si>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</si>
  <si>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</si>
  <si>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</si>
  <si>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</si>
  <si>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</si>
  <si>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</si>
  <si>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</si>
  <si>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</si>
  <si>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</si>
  <si>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</si>
  <si>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</si>
  <si>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</si>
  <si>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</si>
  <si>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</si>
  <si>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</si>
  <si>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</si>
  <si>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</si>
  <si>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</si>
  <si>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</si>
  <si>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GJ electricity / t gas</t>
  </si>
  <si>
    <t>CO2 losses</t>
  </si>
  <si>
    <t>t CO2 lost / t CO2 in</t>
  </si>
  <si>
    <t>from 2013 - TGR scenario</t>
  </si>
  <si>
    <t xml:space="preserve"> </t>
  </si>
  <si>
    <t>meta-industry</t>
  </si>
  <si>
    <t>steel</t>
  </si>
  <si>
    <t>CEMCAP-0C</t>
  </si>
  <si>
    <t>cement</t>
  </si>
  <si>
    <t>t atm CO2/t feedstock</t>
  </si>
  <si>
    <t>carbon debt factor</t>
  </si>
  <si>
    <t>rotation period</t>
  </si>
  <si>
    <t>years feedstock</t>
  </si>
  <si>
    <t>CO2 removal</t>
  </si>
  <si>
    <t>t CO2eq/t CO2 removed</t>
  </si>
  <si>
    <t>100y time horizon; Guest et al 2013</t>
  </si>
  <si>
    <t>t CO2eq/ t charcoal</t>
  </si>
  <si>
    <t>dry wood chips (EU no swiss)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</si>
</sst>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</cellStyleXfs>
  <cellXfs count="1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9" fontId="0" fillId="0" borderId="0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2" fontId="0" fillId="0" borderId="9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15" fillId="0" borderId="9" xfId="0" applyFont="1" applyFill="1" applyBorder="1" applyAlignment="1">
      <alignment wrapText="1"/>
    </xf>
    <xf numFmtId="2" fontId="0" fillId="0" borderId="0" xfId="0" applyNumberFormat="1" applyFont="1" applyBorder="1"/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165" fontId="0" fillId="0" borderId="9" xfId="0" applyNumberFormat="1" applyFont="1" applyBorder="1"/>
    <xf numFmtId="0" fontId="3" fillId="0" borderId="0" xfId="3" applyFont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18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  <xf numFmtId="0" fontId="13" fillId="0" borderId="0" xfId="0" applyFont="1"/>
    <xf numFmtId="0" fontId="19" fillId="0" borderId="0" xfId="0" applyFont="1"/>
    <xf numFmtId="0" fontId="13" fillId="0" borderId="9" xfId="0" applyFont="1" applyBorder="1"/>
    <xf numFmtId="0" fontId="13" fillId="0" borderId="0" xfId="0" applyFont="1" applyFill="1" applyBorder="1"/>
    <xf numFmtId="0" fontId="0" fillId="0" borderId="5" xfId="0" applyBorder="1"/>
    <xf numFmtId="0" fontId="2" fillId="0" borderId="5" xfId="0" applyFont="1" applyBorder="1"/>
    <xf numFmtId="0" fontId="0" fillId="0" borderId="10" xfId="0" applyBorder="1"/>
    <xf numFmtId="0" fontId="0" fillId="0" borderId="5" xfId="0" applyFill="1" applyBorder="1"/>
    <xf numFmtId="0" fontId="15" fillId="0" borderId="5" xfId="0" applyFont="1" applyBorder="1"/>
    <xf numFmtId="0" fontId="17" fillId="0" borderId="5" xfId="0" applyFont="1" applyBorder="1"/>
    <xf numFmtId="165" fontId="15" fillId="0" borderId="5" xfId="0" applyNumberFormat="1" applyFont="1" applyBorder="1"/>
    <xf numFmtId="0" fontId="0" fillId="0" borderId="11" xfId="0" applyBorder="1"/>
    <xf numFmtId="0" fontId="2" fillId="0" borderId="11" xfId="0" applyFont="1" applyBorder="1"/>
    <xf numFmtId="165" fontId="0" fillId="0" borderId="11" xfId="0" applyNumberFormat="1" applyBorder="1"/>
    <xf numFmtId="0" fontId="0" fillId="0" borderId="12" xfId="0" applyBorder="1"/>
    <xf numFmtId="0" fontId="0" fillId="0" borderId="11" xfId="0" applyFill="1" applyBorder="1"/>
    <xf numFmtId="0" fontId="15" fillId="0" borderId="10" xfId="0" applyFont="1" applyBorder="1"/>
    <xf numFmtId="2" fontId="0" fillId="0" borderId="0" xfId="0" applyNumberFormat="1" applyFont="1"/>
    <xf numFmtId="0" fontId="0" fillId="0" borderId="13" xfId="0" applyBorder="1"/>
    <xf numFmtId="0" fontId="0" fillId="0" borderId="4" xfId="0" applyBorder="1"/>
    <xf numFmtId="0" fontId="2" fillId="0" borderId="4" xfId="0" applyFont="1" applyBorder="1"/>
    <xf numFmtId="2" fontId="0" fillId="0" borderId="4" xfId="0" applyNumberFormat="1" applyBorder="1"/>
    <xf numFmtId="0" fontId="0" fillId="0" borderId="14" xfId="0" applyBorder="1"/>
    <xf numFmtId="0" fontId="0" fillId="0" borderId="4" xfId="0" applyFill="1" applyBorder="1"/>
    <xf numFmtId="0" fontId="15" fillId="0" borderId="0" xfId="0" applyFont="1" applyFill="1" applyBorder="1"/>
    <xf numFmtId="2" fontId="15" fillId="0" borderId="9" xfId="0" applyNumberFormat="1" applyFont="1" applyBorder="1"/>
    <xf numFmtId="0" fontId="0" fillId="0" borderId="5" xfId="0" applyFont="1" applyBorder="1"/>
    <xf numFmtId="0" fontId="1" fillId="0" borderId="4" xfId="0" applyFont="1" applyBorder="1"/>
    <xf numFmtId="2" fontId="1" fillId="0" borderId="0" xfId="0" applyNumberFormat="1" applyFont="1"/>
    <xf numFmtId="2" fontId="16" fillId="0" borderId="0" xfId="0" applyNumberFormat="1" applyFont="1"/>
    <xf numFmtId="0" fontId="16" fillId="0" borderId="0" xfId="0" applyFont="1"/>
    <xf numFmtId="0" fontId="1" fillId="0" borderId="5" xfId="0" applyFont="1" applyBorder="1"/>
    <xf numFmtId="0" fontId="1" fillId="0" borderId="11" xfId="0" applyFont="1" applyBorder="1"/>
    <xf numFmtId="0" fontId="20" fillId="0" borderId="0" xfId="0" applyFont="1"/>
    <xf numFmtId="2" fontId="13" fillId="0" borderId="0" xfId="0" applyNumberFormat="1" applyFont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1" sqref="C31"/>
    </sheetView>
  </sheetViews>
  <sheetFormatPr defaultColWidth="8.85546875" defaultRowHeight="15" x14ac:dyDescent="0.25"/>
  <cols>
    <col min="1" max="1" width="19.42578125" style="21" customWidth="1"/>
    <col min="2" max="2" width="11.85546875" style="21" customWidth="1"/>
    <col min="3" max="3" width="26.140625" style="21" bestFit="1" customWidth="1"/>
    <col min="4" max="4" width="17.85546875" style="21" bestFit="1" customWidth="1"/>
    <col min="5" max="6" width="17.85546875" style="61" customWidth="1"/>
    <col min="7" max="7" width="25.42578125" style="21" customWidth="1"/>
    <col min="8" max="16384" width="8.85546875" style="21"/>
  </cols>
  <sheetData>
    <row r="1" spans="1:7" x14ac:dyDescent="0.25">
      <c r="A1" s="39" t="s">
        <v>0</v>
      </c>
      <c r="B1" s="39" t="s">
        <v>133</v>
      </c>
      <c r="C1" s="21" t="s">
        <v>5</v>
      </c>
      <c r="D1" s="21" t="s">
        <v>6</v>
      </c>
      <c r="E1" s="61" t="s">
        <v>61</v>
      </c>
      <c r="F1" s="61" t="s">
        <v>31</v>
      </c>
      <c r="G1" s="21" t="s">
        <v>40</v>
      </c>
    </row>
    <row r="2" spans="1:7" x14ac:dyDescent="0.25">
      <c r="A2" s="48" t="s">
        <v>1</v>
      </c>
      <c r="B2" s="48"/>
      <c r="C2" s="21" t="s">
        <v>32</v>
      </c>
      <c r="D2" s="21" t="s">
        <v>33</v>
      </c>
    </row>
    <row r="3" spans="1:7" x14ac:dyDescent="0.25">
      <c r="A3" s="48" t="s">
        <v>2</v>
      </c>
      <c r="B3" s="48"/>
    </row>
    <row r="4" spans="1:7" s="29" customFormat="1" ht="15.75" thickBot="1" x14ac:dyDescent="0.3">
      <c r="A4" s="58" t="s">
        <v>3</v>
      </c>
      <c r="B4" s="58"/>
      <c r="C4" s="29">
        <v>0.05</v>
      </c>
      <c r="D4" s="29">
        <v>0.1</v>
      </c>
      <c r="E4" s="35"/>
      <c r="F4" s="35"/>
    </row>
    <row r="5" spans="1:7" x14ac:dyDescent="0.25">
      <c r="A5" s="32" t="s">
        <v>78</v>
      </c>
      <c r="B5" s="32" t="s">
        <v>134</v>
      </c>
      <c r="C5" s="50">
        <v>0.05</v>
      </c>
      <c r="D5" s="50">
        <f>30*Ref!$B$18</f>
        <v>0.108</v>
      </c>
      <c r="E5" s="51"/>
      <c r="F5" s="51"/>
    </row>
    <row r="6" spans="1:7" x14ac:dyDescent="0.25">
      <c r="A6" s="25" t="s">
        <v>79</v>
      </c>
      <c r="B6" s="25" t="str">
        <f>B5</f>
        <v>steel</v>
      </c>
      <c r="C6" s="22">
        <f>C5</f>
        <v>0.05</v>
      </c>
      <c r="D6" s="22">
        <f>D5</f>
        <v>0.108</v>
      </c>
    </row>
    <row r="7" spans="1:7" s="29" customFormat="1" ht="15.75" thickBot="1" x14ac:dyDescent="0.3">
      <c r="A7" s="30" t="s">
        <v>82</v>
      </c>
      <c r="B7" s="30" t="str">
        <f>B5</f>
        <v>steel</v>
      </c>
      <c r="C7" s="28">
        <f>C5</f>
        <v>0.05</v>
      </c>
      <c r="D7" s="28">
        <f>D5</f>
        <v>0.108</v>
      </c>
      <c r="E7" s="35"/>
      <c r="F7" s="35"/>
    </row>
    <row r="8" spans="1:7" s="39" customFormat="1" x14ac:dyDescent="0.25">
      <c r="A8" s="32" t="s">
        <v>63</v>
      </c>
      <c r="B8" s="32" t="s">
        <v>134</v>
      </c>
      <c r="C8" s="50">
        <v>0.05</v>
      </c>
      <c r="D8" s="50">
        <f>30*Ref!$B$18</f>
        <v>0.108</v>
      </c>
      <c r="E8" s="61"/>
      <c r="F8" s="61"/>
      <c r="G8" s="21"/>
    </row>
    <row r="9" spans="1:7" x14ac:dyDescent="0.25">
      <c r="A9" s="46" t="s">
        <v>80</v>
      </c>
      <c r="B9" s="25" t="str">
        <f>B8</f>
        <v>steel</v>
      </c>
      <c r="C9" s="21">
        <f>C8</f>
        <v>0.05</v>
      </c>
      <c r="D9" s="21">
        <f>D8</f>
        <v>0.108</v>
      </c>
    </row>
    <row r="10" spans="1:7" s="29" customFormat="1" ht="15.75" thickBot="1" x14ac:dyDescent="0.3">
      <c r="A10" s="56" t="s">
        <v>83</v>
      </c>
      <c r="B10" s="30" t="str">
        <f>B8</f>
        <v>steel</v>
      </c>
      <c r="C10" s="29">
        <f>C8</f>
        <v>0.05</v>
      </c>
      <c r="D10" s="29">
        <f>D8</f>
        <v>0.108</v>
      </c>
      <c r="E10" s="35"/>
      <c r="F10" s="35"/>
    </row>
    <row r="11" spans="1:7" x14ac:dyDescent="0.25">
      <c r="A11" s="46" t="s">
        <v>64</v>
      </c>
      <c r="B11" s="32" t="s">
        <v>134</v>
      </c>
      <c r="C11" s="50">
        <v>0</v>
      </c>
      <c r="D11" s="50">
        <v>0</v>
      </c>
    </row>
    <row r="12" spans="1:7" x14ac:dyDescent="0.25">
      <c r="A12" s="46" t="s">
        <v>81</v>
      </c>
      <c r="B12" s="25" t="str">
        <f>B11</f>
        <v>steel</v>
      </c>
      <c r="C12" s="21">
        <f>C11</f>
        <v>0</v>
      </c>
      <c r="D12" s="21">
        <f>D11</f>
        <v>0</v>
      </c>
    </row>
    <row r="13" spans="1:7" s="29" customFormat="1" ht="15.75" thickBot="1" x14ac:dyDescent="0.3">
      <c r="A13" s="54" t="s">
        <v>84</v>
      </c>
      <c r="B13" s="30" t="str">
        <f>B11</f>
        <v>steel</v>
      </c>
      <c r="C13" s="29">
        <f>C11</f>
        <v>0</v>
      </c>
      <c r="D13" s="29">
        <f>D11</f>
        <v>0</v>
      </c>
      <c r="E13" s="35"/>
      <c r="F13" s="35"/>
    </row>
    <row r="14" spans="1:7" x14ac:dyDescent="0.25">
      <c r="A14" t="s">
        <v>72</v>
      </c>
      <c r="B14" s="32" t="s">
        <v>134</v>
      </c>
      <c r="C14" s="50">
        <v>0.05</v>
      </c>
      <c r="D14" s="50">
        <f>30*Ref!$B$18</f>
        <v>0.108</v>
      </c>
    </row>
    <row r="15" spans="1:7" x14ac:dyDescent="0.25">
      <c r="A15" t="s">
        <v>73</v>
      </c>
      <c r="B15" s="25" t="str">
        <f>B14</f>
        <v>steel</v>
      </c>
      <c r="C15" s="21">
        <f>C14</f>
        <v>0.05</v>
      </c>
      <c r="D15" s="21">
        <f>D14</f>
        <v>0.108</v>
      </c>
    </row>
    <row r="16" spans="1:7" s="29" customFormat="1" ht="15.75" thickBot="1" x14ac:dyDescent="0.3">
      <c r="A16" s="29" t="s">
        <v>74</v>
      </c>
      <c r="B16" s="30" t="str">
        <f>B14</f>
        <v>steel</v>
      </c>
      <c r="C16" s="29">
        <f>C14</f>
        <v>0.05</v>
      </c>
      <c r="D16" s="29">
        <f>D14</f>
        <v>0.108</v>
      </c>
      <c r="E16" s="35"/>
      <c r="F16" s="35"/>
    </row>
    <row r="17" spans="1:6" x14ac:dyDescent="0.25">
      <c r="A17" t="s">
        <v>75</v>
      </c>
      <c r="B17" s="32" t="s">
        <v>134</v>
      </c>
      <c r="C17" s="50">
        <v>0.05</v>
      </c>
      <c r="D17" s="50">
        <f>30*Ref!$B$18</f>
        <v>0.108</v>
      </c>
    </row>
    <row r="18" spans="1:6" x14ac:dyDescent="0.25">
      <c r="A18" t="s">
        <v>76</v>
      </c>
      <c r="B18" s="25" t="str">
        <f>B17</f>
        <v>steel</v>
      </c>
      <c r="C18" s="21">
        <f>C17</f>
        <v>0.05</v>
      </c>
      <c r="D18" s="21">
        <f>D17</f>
        <v>0.108</v>
      </c>
    </row>
    <row r="19" spans="1:6" s="29" customFormat="1" ht="15.75" thickBot="1" x14ac:dyDescent="0.3">
      <c r="A19" s="29" t="s">
        <v>77</v>
      </c>
      <c r="B19" s="30" t="str">
        <f>B17</f>
        <v>steel</v>
      </c>
      <c r="C19" s="29">
        <f>C17</f>
        <v>0.05</v>
      </c>
      <c r="D19" s="29">
        <f>D17</f>
        <v>0.108</v>
      </c>
      <c r="E19" s="35"/>
      <c r="F19" s="35"/>
    </row>
    <row r="20" spans="1:6" x14ac:dyDescent="0.25">
      <c r="A20" t="s">
        <v>135</v>
      </c>
      <c r="B20" s="21" t="s">
        <v>136</v>
      </c>
      <c r="C20" s="21">
        <f>C4</f>
        <v>0.05</v>
      </c>
      <c r="D20" s="21">
        <f>D4</f>
        <v>0.1</v>
      </c>
    </row>
  </sheetData>
  <sortState ref="A26:G49">
    <sortCondition ref="A26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A20" sqref="A20:B20"/>
    </sheetView>
  </sheetViews>
  <sheetFormatPr defaultColWidth="8.85546875" defaultRowHeight="15" x14ac:dyDescent="0.25"/>
  <cols>
    <col min="1" max="2" width="10.85546875" style="21" customWidth="1"/>
    <col min="3" max="16384" width="8.85546875" style="21"/>
  </cols>
  <sheetData>
    <row r="1" spans="1:6" x14ac:dyDescent="0.25">
      <c r="A1" s="71" t="s">
        <v>43</v>
      </c>
      <c r="B1" s="39" t="s">
        <v>133</v>
      </c>
      <c r="C1" s="21" t="s">
        <v>55</v>
      </c>
      <c r="D1" s="21" t="s">
        <v>56</v>
      </c>
      <c r="E1" t="s">
        <v>104</v>
      </c>
      <c r="F1" s="21" t="s">
        <v>4</v>
      </c>
    </row>
    <row r="2" spans="1:6" x14ac:dyDescent="0.25">
      <c r="A2" s="73" t="s">
        <v>38</v>
      </c>
      <c r="B2" s="48"/>
      <c r="C2" s="21" t="s">
        <v>57</v>
      </c>
      <c r="D2" s="21" t="s">
        <v>58</v>
      </c>
      <c r="F2" s="27" t="s">
        <v>106</v>
      </c>
    </row>
    <row r="3" spans="1:6" x14ac:dyDescent="0.25">
      <c r="A3" s="73" t="s">
        <v>2</v>
      </c>
      <c r="B3" s="48"/>
    </row>
    <row r="4" spans="1:6" s="29" customFormat="1" ht="15.75" thickBot="1" x14ac:dyDescent="0.3">
      <c r="A4" s="79" t="s">
        <v>3</v>
      </c>
      <c r="C4" s="29">
        <v>0.01</v>
      </c>
      <c r="D4" s="37">
        <v>0</v>
      </c>
      <c r="E4" s="29">
        <v>100</v>
      </c>
      <c r="F4" s="29">
        <f>7*Ref!$B$18</f>
        <v>2.52E-2</v>
      </c>
    </row>
    <row r="5" spans="1:6" x14ac:dyDescent="0.25">
      <c r="A5" s="32" t="s">
        <v>78</v>
      </c>
      <c r="B5" s="32" t="s">
        <v>134</v>
      </c>
      <c r="C5" s="39">
        <v>0.01</v>
      </c>
      <c r="D5" s="43">
        <v>0</v>
      </c>
      <c r="E5" s="21">
        <v>100</v>
      </c>
      <c r="F5" s="21">
        <f>F4</f>
        <v>2.52E-2</v>
      </c>
    </row>
    <row r="6" spans="1:6" x14ac:dyDescent="0.25">
      <c r="A6" s="25" t="s">
        <v>79</v>
      </c>
      <c r="B6" s="25" t="str">
        <f>B5</f>
        <v>steel</v>
      </c>
      <c r="C6" s="21">
        <f t="shared" ref="C6:F19" si="0">C$5</f>
        <v>0.01</v>
      </c>
      <c r="D6" s="38">
        <f t="shared" si="0"/>
        <v>0</v>
      </c>
      <c r="E6" s="21">
        <f t="shared" si="0"/>
        <v>100</v>
      </c>
      <c r="F6" s="21">
        <f t="shared" si="0"/>
        <v>2.52E-2</v>
      </c>
    </row>
    <row r="7" spans="1:6" s="29" customFormat="1" ht="15.75" thickBot="1" x14ac:dyDescent="0.3">
      <c r="A7" s="30" t="s">
        <v>82</v>
      </c>
      <c r="B7" s="30" t="str">
        <f>B5</f>
        <v>steel</v>
      </c>
      <c r="C7" s="29">
        <f t="shared" si="0"/>
        <v>0.01</v>
      </c>
      <c r="D7" s="37">
        <f t="shared" si="0"/>
        <v>0</v>
      </c>
      <c r="E7" s="29">
        <f t="shared" si="0"/>
        <v>100</v>
      </c>
      <c r="F7" s="29">
        <f t="shared" si="0"/>
        <v>2.52E-2</v>
      </c>
    </row>
    <row r="8" spans="1:6" x14ac:dyDescent="0.25">
      <c r="A8" s="32" t="s">
        <v>63</v>
      </c>
      <c r="B8" s="32" t="s">
        <v>134</v>
      </c>
      <c r="C8" s="21">
        <f>0.01</f>
        <v>0.01</v>
      </c>
      <c r="D8" s="38">
        <v>0</v>
      </c>
      <c r="E8" s="21">
        <v>100</v>
      </c>
      <c r="F8" s="21">
        <f>F7</f>
        <v>2.52E-2</v>
      </c>
    </row>
    <row r="9" spans="1:6" x14ac:dyDescent="0.25">
      <c r="A9" s="52" t="s">
        <v>80</v>
      </c>
      <c r="B9" s="25" t="str">
        <f>B8</f>
        <v>steel</v>
      </c>
      <c r="C9" s="21">
        <f>C8</f>
        <v>0.01</v>
      </c>
      <c r="D9" s="38">
        <f>D8</f>
        <v>0</v>
      </c>
      <c r="E9" s="21">
        <f>E$5</f>
        <v>100</v>
      </c>
      <c r="F9" s="21">
        <f t="shared" si="0"/>
        <v>2.52E-2</v>
      </c>
    </row>
    <row r="10" spans="1:6" s="29" customFormat="1" ht="15.75" thickBot="1" x14ac:dyDescent="0.3">
      <c r="A10" s="56" t="s">
        <v>83</v>
      </c>
      <c r="B10" s="30" t="str">
        <f>B8</f>
        <v>steel</v>
      </c>
      <c r="C10" s="29">
        <f>C8</f>
        <v>0.01</v>
      </c>
      <c r="D10" s="37">
        <v>0</v>
      </c>
      <c r="E10" s="29">
        <f>E$5</f>
        <v>100</v>
      </c>
      <c r="F10" s="29">
        <f t="shared" si="0"/>
        <v>2.52E-2</v>
      </c>
    </row>
    <row r="11" spans="1:6" x14ac:dyDescent="0.25">
      <c r="A11" s="53" t="s">
        <v>64</v>
      </c>
      <c r="B11" s="32" t="s">
        <v>134</v>
      </c>
      <c r="C11" s="21">
        <f>0.01</f>
        <v>0.01</v>
      </c>
      <c r="D11" s="38">
        <v>0</v>
      </c>
      <c r="E11" s="21">
        <v>100</v>
      </c>
      <c r="F11" s="21">
        <f>F10</f>
        <v>2.52E-2</v>
      </c>
    </row>
    <row r="12" spans="1:6" x14ac:dyDescent="0.25">
      <c r="A12" s="46" t="s">
        <v>81</v>
      </c>
      <c r="B12" s="25" t="str">
        <f>B11</f>
        <v>steel</v>
      </c>
      <c r="C12" s="21">
        <f>C11</f>
        <v>0.01</v>
      </c>
      <c r="D12" s="38">
        <f>D11</f>
        <v>0</v>
      </c>
      <c r="E12" s="21">
        <f>E$5</f>
        <v>100</v>
      </c>
      <c r="F12" s="21">
        <f t="shared" si="0"/>
        <v>2.52E-2</v>
      </c>
    </row>
    <row r="13" spans="1:6" s="29" customFormat="1" ht="15.75" thickBot="1" x14ac:dyDescent="0.3">
      <c r="A13" s="54" t="s">
        <v>84</v>
      </c>
      <c r="B13" s="30" t="str">
        <f>B11</f>
        <v>steel</v>
      </c>
      <c r="C13" s="29">
        <f>C11</f>
        <v>0.01</v>
      </c>
      <c r="D13" s="37">
        <f>D11</f>
        <v>0</v>
      </c>
      <c r="E13" s="29">
        <f>E$5</f>
        <v>100</v>
      </c>
      <c r="F13" s="29">
        <f t="shared" si="0"/>
        <v>2.52E-2</v>
      </c>
    </row>
    <row r="14" spans="1:6" x14ac:dyDescent="0.25">
      <c r="A14" s="21" t="s">
        <v>72</v>
      </c>
      <c r="B14" s="32" t="s">
        <v>134</v>
      </c>
      <c r="C14" s="21">
        <f>0.01</f>
        <v>0.01</v>
      </c>
      <c r="D14" s="38">
        <v>0</v>
      </c>
      <c r="E14" s="21">
        <v>100</v>
      </c>
      <c r="F14" s="21">
        <f>F13</f>
        <v>2.52E-2</v>
      </c>
    </row>
    <row r="15" spans="1:6" s="39" customFormat="1" x14ac:dyDescent="0.25">
      <c r="A15" s="21" t="s">
        <v>73</v>
      </c>
      <c r="B15" s="25" t="str">
        <f>B14</f>
        <v>steel</v>
      </c>
      <c r="C15" s="21">
        <f>C14</f>
        <v>0.01</v>
      </c>
      <c r="D15" s="38">
        <f>D14</f>
        <v>0</v>
      </c>
      <c r="E15" s="21">
        <f>E$5</f>
        <v>100</v>
      </c>
      <c r="F15" s="21">
        <f t="shared" si="0"/>
        <v>2.52E-2</v>
      </c>
    </row>
    <row r="16" spans="1:6" s="29" customFormat="1" ht="15.75" thickBot="1" x14ac:dyDescent="0.3">
      <c r="A16" s="29" t="s">
        <v>74</v>
      </c>
      <c r="B16" s="30" t="str">
        <f>B14</f>
        <v>steel</v>
      </c>
      <c r="C16" s="29">
        <f>C14</f>
        <v>0.01</v>
      </c>
      <c r="D16" s="37">
        <f>D14</f>
        <v>0</v>
      </c>
      <c r="E16" s="29">
        <f>E$5</f>
        <v>100</v>
      </c>
      <c r="F16" s="29">
        <f t="shared" si="0"/>
        <v>2.52E-2</v>
      </c>
    </row>
    <row r="17" spans="1:6" x14ac:dyDescent="0.25">
      <c r="A17" s="21" t="s">
        <v>75</v>
      </c>
      <c r="B17" s="32" t="s">
        <v>134</v>
      </c>
      <c r="C17" s="21">
        <v>0.01</v>
      </c>
      <c r="D17" s="38">
        <v>0</v>
      </c>
      <c r="E17" s="21">
        <v>100</v>
      </c>
      <c r="F17" s="21">
        <f>F16</f>
        <v>2.52E-2</v>
      </c>
    </row>
    <row r="18" spans="1:6" x14ac:dyDescent="0.25">
      <c r="A18" s="21" t="s">
        <v>76</v>
      </c>
      <c r="B18" s="25" t="str">
        <f>B17</f>
        <v>steel</v>
      </c>
      <c r="C18" s="21">
        <f>C17</f>
        <v>0.01</v>
      </c>
      <c r="D18" s="38">
        <f>D17</f>
        <v>0</v>
      </c>
      <c r="E18" s="21">
        <f>E$5</f>
        <v>100</v>
      </c>
      <c r="F18" s="21">
        <f t="shared" si="0"/>
        <v>2.52E-2</v>
      </c>
    </row>
    <row r="19" spans="1:6" s="57" customFormat="1" ht="15.75" thickBot="1" x14ac:dyDescent="0.3">
      <c r="A19" s="29" t="s">
        <v>77</v>
      </c>
      <c r="B19" s="30" t="str">
        <f>B17</f>
        <v>steel</v>
      </c>
      <c r="C19" s="29">
        <f>C17</f>
        <v>0.01</v>
      </c>
      <c r="D19" s="37">
        <f>D17</f>
        <v>0</v>
      </c>
      <c r="E19" s="29">
        <f>E$5</f>
        <v>100</v>
      </c>
      <c r="F19" s="29">
        <f t="shared" si="0"/>
        <v>2.52E-2</v>
      </c>
    </row>
    <row r="20" spans="1:6" x14ac:dyDescent="0.25">
      <c r="A20" t="s">
        <v>135</v>
      </c>
      <c r="B20" s="21" t="s">
        <v>136</v>
      </c>
      <c r="C20" s="21">
        <f>C4</f>
        <v>0.01</v>
      </c>
      <c r="D20" s="21">
        <f>D4</f>
        <v>0</v>
      </c>
      <c r="E20" s="21">
        <f>E4</f>
        <v>100</v>
      </c>
      <c r="F20" s="21">
        <f>F4</f>
        <v>2.52E-2</v>
      </c>
    </row>
    <row r="23" spans="1:6" s="39" customFormat="1" x14ac:dyDescent="0.25">
      <c r="A23" s="21"/>
      <c r="B23" s="21"/>
      <c r="C23" s="21"/>
      <c r="D23" s="21"/>
    </row>
    <row r="27" spans="1:6" s="39" customFormat="1" x14ac:dyDescent="0.25">
      <c r="A27" s="21"/>
      <c r="B27" s="21"/>
      <c r="C27" s="21"/>
      <c r="D27" s="21"/>
    </row>
    <row r="31" spans="1:6" s="39" customFormat="1" x14ac:dyDescent="0.25">
      <c r="A31" s="21"/>
      <c r="B31" s="21"/>
      <c r="C31" s="21"/>
      <c r="D31" s="21"/>
    </row>
    <row r="35" spans="1:4" s="39" customFormat="1" x14ac:dyDescent="0.25">
      <c r="A35" s="21"/>
      <c r="B35" s="21"/>
      <c r="C35" s="21"/>
      <c r="D35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I25" sqref="I25"/>
    </sheetView>
  </sheetViews>
  <sheetFormatPr defaultColWidth="8.85546875" defaultRowHeight="15" x14ac:dyDescent="0.25"/>
  <cols>
    <col min="1" max="1" width="24.28515625" bestFit="1" customWidth="1"/>
  </cols>
  <sheetData>
    <row r="1" spans="1:8" x14ac:dyDescent="0.25">
      <c r="A1" s="4" t="s">
        <v>11</v>
      </c>
      <c r="B1" s="5"/>
      <c r="C1" s="5"/>
    </row>
    <row r="2" spans="1:8" x14ac:dyDescent="0.25">
      <c r="A2" s="4" t="s">
        <v>12</v>
      </c>
      <c r="B2" s="5"/>
      <c r="C2" s="5"/>
    </row>
    <row r="3" spans="1:8" x14ac:dyDescent="0.25">
      <c r="A3" s="6"/>
      <c r="B3" s="7" t="s">
        <v>13</v>
      </c>
      <c r="C3" s="8" t="s">
        <v>14</v>
      </c>
    </row>
    <row r="4" spans="1:8" x14ac:dyDescent="0.25">
      <c r="A4" s="9" t="s">
        <v>15</v>
      </c>
      <c r="B4" s="10">
        <v>12</v>
      </c>
      <c r="C4" s="11">
        <f>(B4*$B$19)/1000/1000</f>
        <v>5.3537967341839917E-4</v>
      </c>
    </row>
    <row r="5" spans="1:8" x14ac:dyDescent="0.25">
      <c r="A5" s="9" t="s">
        <v>16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5">
      <c r="A6" s="9" t="s">
        <v>17</v>
      </c>
      <c r="B6" s="10">
        <v>28.010100000000001</v>
      </c>
      <c r="C6" s="11">
        <f t="shared" si="0"/>
        <v>1.2496698492013921E-3</v>
      </c>
    </row>
    <row r="7" spans="1:8" x14ac:dyDescent="0.25">
      <c r="A7" s="9" t="s">
        <v>18</v>
      </c>
      <c r="B7" s="10">
        <v>44.009500000000003</v>
      </c>
      <c r="C7" s="11">
        <f t="shared" si="0"/>
        <v>1.963482644775587E-3</v>
      </c>
    </row>
    <row r="8" spans="1:8" x14ac:dyDescent="0.25">
      <c r="A8" s="9" t="s">
        <v>19</v>
      </c>
      <c r="B8" s="10">
        <v>2.0158800000000001</v>
      </c>
      <c r="C8" s="11">
        <f t="shared" si="0"/>
        <v>8.9938431337556905E-5</v>
      </c>
    </row>
    <row r="9" spans="1:8" x14ac:dyDescent="0.25">
      <c r="A9" s="9" t="s">
        <v>20</v>
      </c>
      <c r="B9" s="10">
        <v>18.015280000000001</v>
      </c>
      <c r="C9" s="11">
        <f t="shared" si="0"/>
        <v>8.0375122691175155E-4</v>
      </c>
    </row>
    <row r="10" spans="1:8" x14ac:dyDescent="0.25">
      <c r="A10" s="9" t="s">
        <v>21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5">
      <c r="A11" s="9" t="s">
        <v>22</v>
      </c>
      <c r="B11" s="10">
        <v>28.013400000000001</v>
      </c>
      <c r="C11" s="11">
        <f t="shared" si="0"/>
        <v>1.2498170786115822E-3</v>
      </c>
    </row>
    <row r="12" spans="1:8" x14ac:dyDescent="0.25">
      <c r="A12" s="9" t="s">
        <v>23</v>
      </c>
      <c r="B12" s="10">
        <v>31.998799999999999</v>
      </c>
      <c r="C12" s="11">
        <f t="shared" si="0"/>
        <v>1.4276255911483892E-3</v>
      </c>
    </row>
    <row r="13" spans="1:8" x14ac:dyDescent="0.25">
      <c r="A13" s="12"/>
      <c r="B13" s="13"/>
      <c r="C13" s="14"/>
    </row>
    <row r="14" spans="1:8" x14ac:dyDescent="0.25">
      <c r="A14" s="5"/>
      <c r="B14" s="15"/>
      <c r="C14" s="15"/>
    </row>
    <row r="15" spans="1:8" x14ac:dyDescent="0.25">
      <c r="A15" s="4" t="s">
        <v>24</v>
      </c>
      <c r="B15" s="15"/>
      <c r="C15" s="15"/>
    </row>
    <row r="16" spans="1:8" x14ac:dyDescent="0.25">
      <c r="A16" s="20"/>
      <c r="B16" s="16" t="s">
        <v>25</v>
      </c>
      <c r="C16" s="16"/>
      <c r="H16" s="88"/>
    </row>
    <row r="17" spans="1:8" x14ac:dyDescent="0.25">
      <c r="A17" s="20" t="s">
        <v>26</v>
      </c>
      <c r="B17" s="23">
        <v>3.6</v>
      </c>
      <c r="C17" s="10"/>
    </row>
    <row r="18" spans="1:8" x14ac:dyDescent="0.25">
      <c r="A18" s="20" t="s">
        <v>27</v>
      </c>
      <c r="B18" s="44">
        <f>B17/1000</f>
        <v>3.5999999999999999E-3</v>
      </c>
      <c r="C18" s="10"/>
      <c r="D18" s="23"/>
      <c r="E18" s="88"/>
    </row>
    <row r="19" spans="1:8" x14ac:dyDescent="0.25">
      <c r="A19" s="20" t="s">
        <v>28</v>
      </c>
      <c r="B19" s="10">
        <f>1/0.022414</f>
        <v>44.614972784866602</v>
      </c>
      <c r="C19" s="10"/>
    </row>
    <row r="20" spans="1:8" x14ac:dyDescent="0.25">
      <c r="A20" s="19" t="s">
        <v>37</v>
      </c>
      <c r="B20" s="21">
        <f>1.163</f>
        <v>1.163</v>
      </c>
      <c r="E20" s="88"/>
    </row>
    <row r="21" spans="1:8" x14ac:dyDescent="0.25">
      <c r="A21" s="19" t="s">
        <v>39</v>
      </c>
      <c r="B21" s="22">
        <f>2000/2204.62</f>
        <v>0.90718581887127947</v>
      </c>
    </row>
    <row r="28" spans="1:8" x14ac:dyDescent="0.25">
      <c r="H28" t="s">
        <v>132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9" sqref="F9"/>
    </sheetView>
  </sheetViews>
  <sheetFormatPr defaultColWidth="8.85546875" defaultRowHeight="15" x14ac:dyDescent="0.25"/>
  <cols>
    <col min="1" max="1" width="18.28515625" style="21" customWidth="1"/>
    <col min="2" max="2" width="8.42578125" style="21" customWidth="1"/>
    <col min="3" max="3" width="14.28515625" bestFit="1" customWidth="1"/>
    <col min="4" max="4" width="19.140625" bestFit="1" customWidth="1"/>
    <col min="5" max="5" width="17.7109375" style="123" bestFit="1" customWidth="1"/>
    <col min="6" max="6" width="14.28515625" style="108" bestFit="1" customWidth="1"/>
    <col min="7" max="7" width="9.140625" style="21" customWidth="1"/>
    <col min="8" max="8" width="9.140625" style="61" customWidth="1"/>
    <col min="9" max="9" width="16.85546875" style="3" customWidth="1"/>
    <col min="10" max="10" width="14.28515625" style="123" customWidth="1"/>
    <col min="11" max="11" width="8.85546875" style="34"/>
    <col min="12" max="12" width="15.28515625" style="34" customWidth="1"/>
    <col min="13" max="13" width="9.140625" style="112"/>
    <col min="14" max="14" width="8.85546875" style="115"/>
    <col min="16" max="16" width="8.85546875" style="112"/>
    <col min="17" max="18" width="8.85546875" style="104"/>
    <col min="20" max="22" width="8.85546875" style="34"/>
  </cols>
  <sheetData>
    <row r="1" spans="1:23" x14ac:dyDescent="0.25">
      <c r="A1" s="39" t="s">
        <v>0</v>
      </c>
      <c r="B1" s="39" t="s">
        <v>133</v>
      </c>
      <c r="C1" t="s">
        <v>9</v>
      </c>
      <c r="D1" s="17" t="s">
        <v>70</v>
      </c>
      <c r="E1" s="123" t="s">
        <v>86</v>
      </c>
      <c r="F1" s="21" t="s">
        <v>88</v>
      </c>
      <c r="G1" s="3" t="s">
        <v>141</v>
      </c>
      <c r="H1" s="128" t="s">
        <v>139</v>
      </c>
      <c r="I1" s="3" t="s">
        <v>138</v>
      </c>
      <c r="J1" s="123" t="s">
        <v>124</v>
      </c>
      <c r="K1" s="34" t="s">
        <v>121</v>
      </c>
      <c r="L1" s="34" t="s">
        <v>115</v>
      </c>
      <c r="M1" s="112" t="s">
        <v>122</v>
      </c>
      <c r="N1" s="115" t="s">
        <v>116</v>
      </c>
      <c r="O1" t="s">
        <v>4</v>
      </c>
      <c r="P1" s="112" t="s">
        <v>123</v>
      </c>
      <c r="T1" s="34" t="s">
        <v>96</v>
      </c>
      <c r="U1" s="34" t="s">
        <v>98</v>
      </c>
      <c r="V1" s="34" t="s">
        <v>113</v>
      </c>
      <c r="W1" t="s">
        <v>2</v>
      </c>
    </row>
    <row r="2" spans="1:23" s="2" customFormat="1" x14ac:dyDescent="0.25">
      <c r="A2" s="2" t="s">
        <v>1</v>
      </c>
      <c r="D2" s="2" t="s">
        <v>110</v>
      </c>
      <c r="E2" s="124" t="s">
        <v>108</v>
      </c>
      <c r="G2" s="2" t="s">
        <v>137</v>
      </c>
      <c r="H2" s="97" t="s">
        <v>140</v>
      </c>
      <c r="I2" s="2" t="s">
        <v>142</v>
      </c>
      <c r="J2" s="124" t="s">
        <v>109</v>
      </c>
      <c r="K2" s="97" t="s">
        <v>109</v>
      </c>
      <c r="L2" s="97" t="s">
        <v>109</v>
      </c>
      <c r="M2" s="113" t="s">
        <v>109</v>
      </c>
      <c r="N2" s="116" t="s">
        <v>144</v>
      </c>
      <c r="O2" s="2" t="s">
        <v>99</v>
      </c>
      <c r="P2" s="109" t="s">
        <v>128</v>
      </c>
      <c r="Q2" s="105"/>
      <c r="R2" s="105"/>
      <c r="T2" s="97" t="s">
        <v>97</v>
      </c>
      <c r="U2" s="97" t="s">
        <v>97</v>
      </c>
      <c r="V2" s="97" t="s">
        <v>114</v>
      </c>
    </row>
    <row r="3" spans="1:23" x14ac:dyDescent="0.25">
      <c r="A3" s="48" t="s">
        <v>2</v>
      </c>
      <c r="B3" s="48"/>
      <c r="F3" s="21"/>
      <c r="G3" s="3"/>
      <c r="H3" s="34"/>
      <c r="I3" s="3" t="s">
        <v>143</v>
      </c>
    </row>
    <row r="4" spans="1:23" x14ac:dyDescent="0.25">
      <c r="A4" s="26" t="s">
        <v>111</v>
      </c>
      <c r="B4" s="26"/>
      <c r="C4" t="s">
        <v>120</v>
      </c>
      <c r="D4">
        <v>0</v>
      </c>
      <c r="E4" s="123">
        <f>0.0102+0.10641+2.406035</f>
        <v>2.5226450000000002</v>
      </c>
      <c r="F4" s="21" t="s">
        <v>112</v>
      </c>
      <c r="G4" s="121">
        <v>1.65</v>
      </c>
      <c r="H4" s="100"/>
      <c r="I4" s="121"/>
      <c r="J4" s="125">
        <f>K4+L4</f>
        <v>2.6949999999999998</v>
      </c>
      <c r="L4" s="34">
        <v>2.6949999999999998</v>
      </c>
      <c r="M4" s="114"/>
      <c r="N4" s="117">
        <v>0.40333000000000002</v>
      </c>
      <c r="O4">
        <f>75*Ref!B$18</f>
        <v>0.27</v>
      </c>
      <c r="T4" s="34">
        <v>0.05</v>
      </c>
      <c r="V4" s="34">
        <v>0.72</v>
      </c>
    </row>
    <row r="5" spans="1:23" x14ac:dyDescent="0.25">
      <c r="A5" s="21" t="s">
        <v>119</v>
      </c>
      <c r="C5" t="s">
        <v>120</v>
      </c>
      <c r="D5">
        <f>13.1*28.6/1000</f>
        <v>0.37466000000000005</v>
      </c>
      <c r="E5" s="123">
        <f>3.7*1.31/1.4</f>
        <v>3.4621428571428576</v>
      </c>
      <c r="F5" s="21" t="s">
        <v>112</v>
      </c>
      <c r="G5" s="3"/>
      <c r="H5" s="34"/>
      <c r="J5" s="125">
        <f>K5+L5</f>
        <v>1.7271428571428573</v>
      </c>
      <c r="L5" s="98">
        <f>2.418/1.4</f>
        <v>1.7271428571428573</v>
      </c>
      <c r="M5" s="114">
        <f>1.195*1.3/1.4</f>
        <v>1.1096428571428574</v>
      </c>
      <c r="N5" s="117">
        <f>0.09*28/1.4</f>
        <v>1.8</v>
      </c>
      <c r="O5">
        <v>0</v>
      </c>
    </row>
    <row r="6" spans="1:23" x14ac:dyDescent="0.25">
      <c r="A6" s="26" t="s">
        <v>117</v>
      </c>
      <c r="B6" s="26"/>
      <c r="C6" t="s">
        <v>120</v>
      </c>
      <c r="D6">
        <v>0</v>
      </c>
      <c r="E6" s="123">
        <f>3.7/1.3</f>
        <v>2.8461538461538463</v>
      </c>
      <c r="F6" s="21" t="s">
        <v>112</v>
      </c>
      <c r="G6" s="3"/>
      <c r="H6" s="34"/>
      <c r="J6" s="125">
        <f>K6+L6</f>
        <v>1.2030769230769232</v>
      </c>
      <c r="L6" s="98">
        <f>1.564/1.3</f>
        <v>1.2030769230769232</v>
      </c>
      <c r="M6" s="114">
        <f>0.954/1.3</f>
        <v>0.73384615384615381</v>
      </c>
      <c r="N6" s="117">
        <f>0.037*28/1.3</f>
        <v>0.79692307692307696</v>
      </c>
      <c r="O6">
        <v>0</v>
      </c>
      <c r="P6" s="112">
        <f>613*Ref!B18</f>
        <v>2.2067999999999999</v>
      </c>
      <c r="Q6" s="138"/>
      <c r="W6" t="s">
        <v>125</v>
      </c>
    </row>
    <row r="7" spans="1:23" x14ac:dyDescent="0.25">
      <c r="A7" s="26" t="s">
        <v>118</v>
      </c>
      <c r="B7" s="26"/>
      <c r="C7" t="s">
        <v>120</v>
      </c>
      <c r="D7">
        <v>0</v>
      </c>
      <c r="E7" s="123">
        <f>3.7/1.3</f>
        <v>2.8461538461538463</v>
      </c>
      <c r="F7" s="21" t="s">
        <v>112</v>
      </c>
      <c r="G7" s="3"/>
      <c r="H7" s="34"/>
      <c r="J7" s="125">
        <f>K7+L7</f>
        <v>2.25</v>
      </c>
      <c r="L7" s="98">
        <f>2.925/1.3</f>
        <v>2.25</v>
      </c>
      <c r="M7" s="114">
        <v>0</v>
      </c>
      <c r="N7" s="117">
        <f>0.049*28/1.3</f>
        <v>1.0553846153846154</v>
      </c>
      <c r="O7">
        <v>0</v>
      </c>
      <c r="P7" s="112">
        <f>1122*Ref!B18</f>
        <v>4.0392000000000001</v>
      </c>
      <c r="Q7" s="138"/>
      <c r="W7" t="s">
        <v>125</v>
      </c>
    </row>
    <row r="8" spans="1:23" x14ac:dyDescent="0.25">
      <c r="A8" s="99" t="s">
        <v>126</v>
      </c>
      <c r="B8" s="99"/>
      <c r="C8" t="s">
        <v>120</v>
      </c>
      <c r="D8">
        <v>0</v>
      </c>
      <c r="E8" s="123">
        <f>1/0.364</f>
        <v>2.7472527472527473</v>
      </c>
      <c r="F8" s="21" t="s">
        <v>112</v>
      </c>
      <c r="G8" s="3"/>
      <c r="H8" s="34"/>
      <c r="J8" s="125">
        <f t="shared" ref="J8" si="0">K8+L8</f>
        <v>0.54300000000000004</v>
      </c>
      <c r="L8" s="100">
        <v>0.54300000000000004</v>
      </c>
      <c r="M8" s="114"/>
      <c r="N8" s="117">
        <f>0.0365*28</f>
        <v>1.022</v>
      </c>
      <c r="O8">
        <v>0</v>
      </c>
      <c r="Q8" s="138"/>
    </row>
    <row r="9" spans="1:23" x14ac:dyDescent="0.25">
      <c r="A9" s="99" t="s">
        <v>127</v>
      </c>
      <c r="B9" s="99"/>
      <c r="C9" t="s">
        <v>120</v>
      </c>
      <c r="D9">
        <v>0</v>
      </c>
      <c r="E9" s="123">
        <f>1/0.341</f>
        <v>2.9325513196480935</v>
      </c>
      <c r="F9" s="21" t="s">
        <v>112</v>
      </c>
      <c r="G9" s="3"/>
      <c r="H9" s="34"/>
      <c r="J9" s="125">
        <f>K9+L9</f>
        <v>1.3819999999999999</v>
      </c>
      <c r="L9" s="100">
        <v>1.3819999999999999</v>
      </c>
      <c r="M9" s="114"/>
      <c r="N9" s="117">
        <f>0.047*28</f>
        <v>1.3160000000000001</v>
      </c>
      <c r="O9">
        <v>0</v>
      </c>
      <c r="Q9" s="138"/>
    </row>
    <row r="10" spans="1:23" s="29" customFormat="1" ht="16.5" customHeight="1" thickBot="1" x14ac:dyDescent="0.3">
      <c r="A10" s="29" t="s">
        <v>3</v>
      </c>
      <c r="C10" s="29" t="s">
        <v>120</v>
      </c>
      <c r="D10" s="29">
        <f>D5</f>
        <v>0.37466000000000005</v>
      </c>
      <c r="E10" s="126">
        <f>E9</f>
        <v>2.9325513196480935</v>
      </c>
      <c r="F10" s="29" t="str">
        <f>F9</f>
        <v>dry cleft timber</v>
      </c>
      <c r="G10" s="58">
        <v>1.81</v>
      </c>
      <c r="H10" s="35">
        <v>55</v>
      </c>
      <c r="I10" s="58">
        <v>0.32</v>
      </c>
      <c r="J10" s="126">
        <f t="shared" ref="J10:O10" si="1">J9</f>
        <v>1.3819999999999999</v>
      </c>
      <c r="K10" s="29">
        <f t="shared" si="1"/>
        <v>0</v>
      </c>
      <c r="L10" s="29">
        <f t="shared" si="1"/>
        <v>1.3819999999999999</v>
      </c>
      <c r="M10" s="110">
        <f t="shared" si="1"/>
        <v>0</v>
      </c>
      <c r="N10" s="118">
        <f t="shared" si="1"/>
        <v>1.3160000000000001</v>
      </c>
      <c r="O10" s="29">
        <f t="shared" si="1"/>
        <v>0</v>
      </c>
      <c r="P10" s="120">
        <f>P5</f>
        <v>0</v>
      </c>
      <c r="Q10" s="106"/>
      <c r="R10" s="106"/>
      <c r="T10" s="35">
        <f>T5</f>
        <v>0</v>
      </c>
      <c r="U10" s="35">
        <f>U5</f>
        <v>0</v>
      </c>
      <c r="V10" s="35">
        <f>V5</f>
        <v>0</v>
      </c>
    </row>
    <row r="11" spans="1:23" s="1" customFormat="1" ht="15.75" thickBot="1" x14ac:dyDescent="0.3">
      <c r="A11" s="32" t="s">
        <v>78</v>
      </c>
      <c r="B11" s="32" t="s">
        <v>134</v>
      </c>
      <c r="C11" s="1" t="str">
        <f>C$9</f>
        <v>diesel</v>
      </c>
      <c r="D11" s="1">
        <f t="shared" ref="D11:O19" si="2">D$9</f>
        <v>0</v>
      </c>
      <c r="E11" s="131">
        <f t="shared" si="2"/>
        <v>2.9325513196480935</v>
      </c>
      <c r="F11" s="39" t="str">
        <f t="shared" si="2"/>
        <v>dry cleft timber</v>
      </c>
      <c r="G11" s="58">
        <v>1.81</v>
      </c>
      <c r="H11" s="133">
        <f>H$10</f>
        <v>55</v>
      </c>
      <c r="I11" s="132">
        <f>I$10</f>
        <v>0.32</v>
      </c>
      <c r="J11" s="131">
        <f t="shared" si="2"/>
        <v>1.3819999999999999</v>
      </c>
      <c r="K11" s="134">
        <f t="shared" si="2"/>
        <v>0</v>
      </c>
      <c r="L11" s="134">
        <f t="shared" si="2"/>
        <v>1.3819999999999999</v>
      </c>
      <c r="M11" s="135"/>
      <c r="N11" s="136">
        <f t="shared" si="2"/>
        <v>1.3160000000000001</v>
      </c>
      <c r="O11" s="1">
        <f t="shared" si="2"/>
        <v>0</v>
      </c>
      <c r="P11" s="135"/>
      <c r="Q11" s="137"/>
      <c r="R11" s="137"/>
    </row>
    <row r="12" spans="1:23" x14ac:dyDescent="0.25">
      <c r="A12" s="25" t="s">
        <v>79</v>
      </c>
      <c r="B12" s="25" t="str">
        <f>B11</f>
        <v>steel</v>
      </c>
      <c r="C12" t="str">
        <f t="shared" ref="C12:C19" si="3">C$9</f>
        <v>diesel</v>
      </c>
      <c r="D12">
        <f t="shared" si="2"/>
        <v>0</v>
      </c>
      <c r="E12" s="123">
        <f t="shared" si="2"/>
        <v>2.9325513196480935</v>
      </c>
      <c r="F12" s="21" t="str">
        <f t="shared" si="2"/>
        <v>dry cleft timber</v>
      </c>
      <c r="G12" s="3">
        <f>G11</f>
        <v>1.81</v>
      </c>
      <c r="H12" s="100">
        <f>H11</f>
        <v>55</v>
      </c>
      <c r="I12" s="121">
        <f>I11</f>
        <v>0.32</v>
      </c>
      <c r="J12" s="123">
        <f t="shared" si="2"/>
        <v>1.3819999999999999</v>
      </c>
      <c r="K12" s="34">
        <f t="shared" si="2"/>
        <v>0</v>
      </c>
      <c r="L12" s="34">
        <f t="shared" si="2"/>
        <v>1.3819999999999999</v>
      </c>
      <c r="M12" s="108"/>
      <c r="N12" s="115">
        <f t="shared" si="2"/>
        <v>1.3160000000000001</v>
      </c>
      <c r="O12">
        <f t="shared" si="2"/>
        <v>0</v>
      </c>
      <c r="P12" s="108"/>
      <c r="T12"/>
      <c r="U12"/>
      <c r="V12"/>
    </row>
    <row r="13" spans="1:23" s="29" customFormat="1" ht="15.75" thickBot="1" x14ac:dyDescent="0.3">
      <c r="A13" s="30" t="s">
        <v>82</v>
      </c>
      <c r="B13" s="30" t="str">
        <f>B11</f>
        <v>steel</v>
      </c>
      <c r="C13" s="29" t="str">
        <f t="shared" si="3"/>
        <v>diesel</v>
      </c>
      <c r="D13" s="29">
        <f t="shared" si="2"/>
        <v>0</v>
      </c>
      <c r="E13" s="126">
        <f t="shared" si="2"/>
        <v>2.9325513196480935</v>
      </c>
      <c r="F13" s="29" t="str">
        <f t="shared" si="2"/>
        <v>dry cleft timber</v>
      </c>
      <c r="G13" s="58">
        <f>G11</f>
        <v>1.81</v>
      </c>
      <c r="H13" s="129">
        <f>H11</f>
        <v>55</v>
      </c>
      <c r="I13" s="59">
        <f>I11</f>
        <v>0.32</v>
      </c>
      <c r="J13" s="126">
        <f t="shared" si="2"/>
        <v>1.3819999999999999</v>
      </c>
      <c r="K13" s="35">
        <f t="shared" si="2"/>
        <v>0</v>
      </c>
      <c r="L13" s="35">
        <f t="shared" si="2"/>
        <v>1.3819999999999999</v>
      </c>
      <c r="M13" s="110"/>
      <c r="N13" s="118">
        <f t="shared" si="2"/>
        <v>1.3160000000000001</v>
      </c>
      <c r="O13" s="29">
        <f t="shared" si="2"/>
        <v>0</v>
      </c>
      <c r="P13" s="110"/>
      <c r="Q13" s="106"/>
      <c r="R13" s="106"/>
    </row>
    <row r="14" spans="1:23" ht="15.75" thickBot="1" x14ac:dyDescent="0.3">
      <c r="A14" s="53" t="s">
        <v>63</v>
      </c>
      <c r="B14" s="32" t="s">
        <v>134</v>
      </c>
      <c r="C14" t="str">
        <f>C$9</f>
        <v>diesel</v>
      </c>
      <c r="D14">
        <f t="shared" si="2"/>
        <v>0</v>
      </c>
      <c r="E14" s="123">
        <f t="shared" si="2"/>
        <v>2.9325513196480935</v>
      </c>
      <c r="F14" s="122" t="str">
        <f t="shared" si="2"/>
        <v>dry cleft timber</v>
      </c>
      <c r="G14" s="58">
        <v>1.81</v>
      </c>
      <c r="H14" s="133">
        <f>H$10</f>
        <v>55</v>
      </c>
      <c r="I14" s="132">
        <f>I$10</f>
        <v>0.32</v>
      </c>
      <c r="J14" s="123">
        <f t="shared" si="2"/>
        <v>1.3819999999999999</v>
      </c>
      <c r="K14" s="34">
        <f t="shared" si="2"/>
        <v>0</v>
      </c>
      <c r="L14" s="34">
        <f t="shared" si="2"/>
        <v>1.3819999999999999</v>
      </c>
      <c r="M14" s="108"/>
      <c r="N14" s="115">
        <f t="shared" si="2"/>
        <v>1.3160000000000001</v>
      </c>
      <c r="O14">
        <f t="shared" si="2"/>
        <v>0</v>
      </c>
      <c r="P14" s="108"/>
      <c r="T14"/>
      <c r="U14"/>
      <c r="V14"/>
    </row>
    <row r="15" spans="1:23" x14ac:dyDescent="0.25">
      <c r="A15" s="46" t="s">
        <v>80</v>
      </c>
      <c r="B15" s="25" t="str">
        <f>B14</f>
        <v>steel</v>
      </c>
      <c r="C15" t="str">
        <f t="shared" si="3"/>
        <v>diesel</v>
      </c>
      <c r="D15">
        <f t="shared" si="2"/>
        <v>0</v>
      </c>
      <c r="E15" s="123">
        <f t="shared" si="2"/>
        <v>2.9325513196480935</v>
      </c>
      <c r="F15" s="21" t="str">
        <f t="shared" si="2"/>
        <v>dry cleft timber</v>
      </c>
      <c r="G15" s="3">
        <f>G14</f>
        <v>1.81</v>
      </c>
      <c r="H15" s="100">
        <f>H14</f>
        <v>55</v>
      </c>
      <c r="I15" s="121">
        <f>I14</f>
        <v>0.32</v>
      </c>
      <c r="J15" s="123">
        <f t="shared" si="2"/>
        <v>1.3819999999999999</v>
      </c>
      <c r="K15" s="34">
        <f t="shared" si="2"/>
        <v>0</v>
      </c>
      <c r="L15" s="34">
        <f t="shared" si="2"/>
        <v>1.3819999999999999</v>
      </c>
      <c r="M15" s="108"/>
      <c r="N15" s="115">
        <f t="shared" si="2"/>
        <v>1.3160000000000001</v>
      </c>
      <c r="O15">
        <f t="shared" si="2"/>
        <v>0</v>
      </c>
      <c r="P15" s="108"/>
      <c r="T15"/>
      <c r="U15"/>
      <c r="V15"/>
    </row>
    <row r="16" spans="1:23" s="29" customFormat="1" ht="15.75" thickBot="1" x14ac:dyDescent="0.3">
      <c r="A16" s="54" t="s">
        <v>83</v>
      </c>
      <c r="B16" s="30" t="str">
        <f>B14</f>
        <v>steel</v>
      </c>
      <c r="C16" s="29" t="str">
        <f t="shared" si="3"/>
        <v>diesel</v>
      </c>
      <c r="D16" s="29">
        <f t="shared" si="2"/>
        <v>0</v>
      </c>
      <c r="E16" s="126">
        <f t="shared" si="2"/>
        <v>2.9325513196480935</v>
      </c>
      <c r="F16" s="29" t="str">
        <f t="shared" si="2"/>
        <v>dry cleft timber</v>
      </c>
      <c r="G16" s="58">
        <f>G14</f>
        <v>1.81</v>
      </c>
      <c r="H16" s="129">
        <f>H14</f>
        <v>55</v>
      </c>
      <c r="I16" s="59">
        <f>I14</f>
        <v>0.32</v>
      </c>
      <c r="J16" s="126">
        <f t="shared" si="2"/>
        <v>1.3819999999999999</v>
      </c>
      <c r="K16" s="35">
        <f t="shared" si="2"/>
        <v>0</v>
      </c>
      <c r="L16" s="35">
        <f t="shared" si="2"/>
        <v>1.3819999999999999</v>
      </c>
      <c r="M16" s="110"/>
      <c r="N16" s="118">
        <f t="shared" si="2"/>
        <v>1.3160000000000001</v>
      </c>
      <c r="O16" s="29">
        <f t="shared" si="2"/>
        <v>0</v>
      </c>
      <c r="P16" s="110"/>
      <c r="Q16" s="106"/>
      <c r="R16" s="106"/>
    </row>
    <row r="17" spans="1:23" ht="15.75" thickBot="1" x14ac:dyDescent="0.3">
      <c r="A17" s="46" t="s">
        <v>64</v>
      </c>
      <c r="B17" s="32" t="s">
        <v>134</v>
      </c>
      <c r="C17" t="str">
        <f>C$9</f>
        <v>diesel</v>
      </c>
      <c r="D17">
        <f t="shared" si="2"/>
        <v>0</v>
      </c>
      <c r="E17" s="123">
        <f t="shared" si="2"/>
        <v>2.9325513196480935</v>
      </c>
      <c r="F17" s="21" t="str">
        <f t="shared" si="2"/>
        <v>dry cleft timber</v>
      </c>
      <c r="G17" s="58">
        <v>1.81</v>
      </c>
      <c r="H17" s="133">
        <f>H$10</f>
        <v>55</v>
      </c>
      <c r="I17" s="132">
        <f>I$10</f>
        <v>0.32</v>
      </c>
      <c r="J17" s="123">
        <f t="shared" si="2"/>
        <v>1.3819999999999999</v>
      </c>
      <c r="K17" s="34">
        <f t="shared" si="2"/>
        <v>0</v>
      </c>
      <c r="L17" s="34">
        <f t="shared" si="2"/>
        <v>1.3819999999999999</v>
      </c>
      <c r="M17" s="108"/>
      <c r="N17" s="115">
        <f t="shared" si="2"/>
        <v>1.3160000000000001</v>
      </c>
      <c r="O17">
        <f t="shared" si="2"/>
        <v>0</v>
      </c>
      <c r="P17" s="108"/>
      <c r="T17"/>
      <c r="U17"/>
      <c r="V17"/>
    </row>
    <row r="18" spans="1:23" x14ac:dyDescent="0.25">
      <c r="A18" s="46" t="s">
        <v>81</v>
      </c>
      <c r="B18" s="25" t="str">
        <f>B17</f>
        <v>steel</v>
      </c>
      <c r="C18" t="str">
        <f t="shared" si="3"/>
        <v>diesel</v>
      </c>
      <c r="D18">
        <f t="shared" si="2"/>
        <v>0</v>
      </c>
      <c r="E18" s="123">
        <f t="shared" si="2"/>
        <v>2.9325513196480935</v>
      </c>
      <c r="F18" s="21" t="str">
        <f t="shared" si="2"/>
        <v>dry cleft timber</v>
      </c>
      <c r="G18" s="3">
        <f>G17</f>
        <v>1.81</v>
      </c>
      <c r="H18" s="100">
        <f>H17</f>
        <v>55</v>
      </c>
      <c r="I18" s="121">
        <f>I17</f>
        <v>0.32</v>
      </c>
      <c r="J18" s="123">
        <f t="shared" si="2"/>
        <v>1.3819999999999999</v>
      </c>
      <c r="K18" s="34">
        <f t="shared" si="2"/>
        <v>0</v>
      </c>
      <c r="L18" s="34">
        <f t="shared" si="2"/>
        <v>1.3819999999999999</v>
      </c>
      <c r="M18" s="108"/>
      <c r="N18" s="115">
        <f t="shared" si="2"/>
        <v>1.3160000000000001</v>
      </c>
      <c r="O18">
        <f t="shared" si="2"/>
        <v>0</v>
      </c>
      <c r="P18" s="108"/>
      <c r="T18"/>
      <c r="U18"/>
      <c r="V18"/>
    </row>
    <row r="19" spans="1:23" s="35" customFormat="1" ht="15.75" thickBot="1" x14ac:dyDescent="0.3">
      <c r="A19" s="64" t="s">
        <v>84</v>
      </c>
      <c r="B19" s="30" t="str">
        <f>B17</f>
        <v>steel</v>
      </c>
      <c r="C19" s="29" t="str">
        <f t="shared" si="3"/>
        <v>diesel</v>
      </c>
      <c r="D19" s="29">
        <f t="shared" si="2"/>
        <v>0</v>
      </c>
      <c r="E19" s="126">
        <f t="shared" si="2"/>
        <v>2.9325513196480935</v>
      </c>
      <c r="F19" s="29" t="str">
        <f t="shared" si="2"/>
        <v>dry cleft timber</v>
      </c>
      <c r="G19" s="58">
        <f>G17</f>
        <v>1.81</v>
      </c>
      <c r="H19" s="129">
        <f>H17</f>
        <v>55</v>
      </c>
      <c r="I19" s="59">
        <f>I17</f>
        <v>0.32</v>
      </c>
      <c r="J19" s="126">
        <f t="shared" si="2"/>
        <v>1.3819999999999999</v>
      </c>
      <c r="K19" s="35">
        <f t="shared" si="2"/>
        <v>0</v>
      </c>
      <c r="L19" s="35">
        <f t="shared" si="2"/>
        <v>1.3819999999999999</v>
      </c>
      <c r="M19" s="110"/>
      <c r="N19" s="118">
        <f t="shared" si="2"/>
        <v>1.3160000000000001</v>
      </c>
      <c r="O19" s="29">
        <f t="shared" si="2"/>
        <v>0</v>
      </c>
      <c r="P19" s="110"/>
      <c r="Q19" s="106"/>
      <c r="R19" s="106"/>
      <c r="T19" s="29"/>
      <c r="U19" s="29"/>
      <c r="V19" s="29"/>
    </row>
    <row r="20" spans="1:23" ht="15.75" thickBot="1" x14ac:dyDescent="0.3">
      <c r="A20" t="s">
        <v>135</v>
      </c>
      <c r="B20" s="21" t="s">
        <v>136</v>
      </c>
      <c r="C20" s="27" t="str">
        <f>C10</f>
        <v>diesel</v>
      </c>
      <c r="D20" s="27">
        <f t="shared" ref="D20:W20" si="4">D10</f>
        <v>0.37466000000000005</v>
      </c>
      <c r="E20" s="127">
        <f t="shared" si="4"/>
        <v>2.9325513196480935</v>
      </c>
      <c r="F20" s="27" t="str">
        <f t="shared" ref="F20" si="5">F10</f>
        <v>dry cleft timber</v>
      </c>
      <c r="G20" s="58">
        <v>1.81</v>
      </c>
      <c r="H20" s="100"/>
      <c r="I20" s="121"/>
      <c r="J20" s="127">
        <f t="shared" si="4"/>
        <v>1.3819999999999999</v>
      </c>
      <c r="K20" s="27">
        <f t="shared" si="4"/>
        <v>0</v>
      </c>
      <c r="L20" s="27">
        <f t="shared" si="4"/>
        <v>1.3819999999999999</v>
      </c>
      <c r="M20" s="111">
        <f t="shared" si="4"/>
        <v>0</v>
      </c>
      <c r="N20" s="119">
        <f t="shared" si="4"/>
        <v>1.3160000000000001</v>
      </c>
      <c r="O20" s="27">
        <f t="shared" si="4"/>
        <v>0</v>
      </c>
      <c r="P20" s="111">
        <f>P10</f>
        <v>0</v>
      </c>
      <c r="Q20" s="107"/>
      <c r="R20" s="107"/>
      <c r="T20" s="27">
        <f t="shared" si="4"/>
        <v>0</v>
      </c>
      <c r="U20" s="27">
        <f t="shared" si="4"/>
        <v>0</v>
      </c>
      <c r="V20" s="27">
        <f t="shared" si="4"/>
        <v>0</v>
      </c>
      <c r="W20" s="27">
        <f t="shared" si="4"/>
        <v>0</v>
      </c>
    </row>
    <row r="21" spans="1:23" x14ac:dyDescent="0.25">
      <c r="F21" s="21"/>
    </row>
    <row r="22" spans="1:23" x14ac:dyDescent="0.25">
      <c r="F22" s="21"/>
    </row>
    <row r="23" spans="1:23" x14ac:dyDescent="0.25">
      <c r="F23" s="21"/>
    </row>
    <row r="24" spans="1:23" x14ac:dyDescent="0.25">
      <c r="F24" s="21"/>
    </row>
    <row r="25" spans="1:23" x14ac:dyDescent="0.25">
      <c r="F25" s="21"/>
    </row>
    <row r="26" spans="1:23" x14ac:dyDescent="0.25">
      <c r="F26" s="21"/>
    </row>
    <row r="27" spans="1:23" x14ac:dyDescent="0.25">
      <c r="F27" s="21"/>
    </row>
    <row r="28" spans="1:23" x14ac:dyDescent="0.25">
      <c r="F28" s="21"/>
    </row>
    <row r="29" spans="1:23" x14ac:dyDescent="0.25">
      <c r="F29" s="21"/>
    </row>
    <row r="30" spans="1:23" x14ac:dyDescent="0.25">
      <c r="F30" s="21"/>
    </row>
    <row r="31" spans="1:23" x14ac:dyDescent="0.25">
      <c r="F31" s="21"/>
    </row>
    <row r="32" spans="1:23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H20" sqref="H20"/>
    </sheetView>
  </sheetViews>
  <sheetFormatPr defaultColWidth="8.85546875" defaultRowHeight="15" x14ac:dyDescent="0.25"/>
  <cols>
    <col min="1" max="1" width="15.42578125" customWidth="1"/>
    <col min="2" max="2" width="12.28515625" customWidth="1"/>
    <col min="3" max="3" width="19.28515625" customWidth="1"/>
    <col min="4" max="5" width="11.7109375" customWidth="1"/>
    <col min="6" max="6" width="11.7109375" style="108" customWidth="1"/>
    <col min="7" max="7" width="14.85546875" customWidth="1"/>
    <col min="8" max="8" width="27.42578125" bestFit="1" customWidth="1"/>
    <col min="9" max="9" width="11.42578125" customWidth="1"/>
    <col min="10" max="10" width="11.7109375" customWidth="1"/>
    <col min="11" max="11" width="14.42578125" style="108" customWidth="1"/>
    <col min="12" max="12" width="15.28515625" customWidth="1"/>
    <col min="13" max="14" width="11.28515625" customWidth="1"/>
    <col min="15" max="15" width="18.42578125" customWidth="1"/>
  </cols>
  <sheetData>
    <row r="1" spans="1:18" x14ac:dyDescent="0.25">
      <c r="A1" s="1" t="s">
        <v>0</v>
      </c>
      <c r="B1" s="1" t="s">
        <v>133</v>
      </c>
      <c r="C1" t="s">
        <v>9</v>
      </c>
      <c r="D1" s="17" t="s">
        <v>70</v>
      </c>
      <c r="E1" t="s">
        <v>7</v>
      </c>
      <c r="F1" s="108" t="s">
        <v>8</v>
      </c>
      <c r="G1" t="s">
        <v>86</v>
      </c>
      <c r="H1" t="s">
        <v>88</v>
      </c>
      <c r="I1" s="3" t="s">
        <v>141</v>
      </c>
      <c r="J1" s="128" t="s">
        <v>139</v>
      </c>
      <c r="K1" s="130" t="s">
        <v>138</v>
      </c>
      <c r="L1" t="s">
        <v>35</v>
      </c>
      <c r="M1" t="s">
        <v>94</v>
      </c>
      <c r="N1" t="s">
        <v>92</v>
      </c>
      <c r="O1" t="s">
        <v>4</v>
      </c>
      <c r="P1" t="s">
        <v>91</v>
      </c>
      <c r="Q1" t="s">
        <v>96</v>
      </c>
      <c r="R1" t="s">
        <v>98</v>
      </c>
    </row>
    <row r="2" spans="1:18" s="3" customFormat="1" x14ac:dyDescent="0.25">
      <c r="A2" s="3" t="s">
        <v>1</v>
      </c>
      <c r="D2" s="3" t="s">
        <v>85</v>
      </c>
      <c r="E2" s="3" t="s">
        <v>69</v>
      </c>
      <c r="F2" s="130"/>
      <c r="G2" s="3" t="s">
        <v>87</v>
      </c>
      <c r="I2" s="2" t="s">
        <v>137</v>
      </c>
      <c r="J2" s="97" t="s">
        <v>140</v>
      </c>
      <c r="K2" s="109" t="s">
        <v>142</v>
      </c>
      <c r="L2" s="3" t="s">
        <v>71</v>
      </c>
      <c r="M2" s="3" t="s">
        <v>93</v>
      </c>
      <c r="N2" s="3" t="s">
        <v>93</v>
      </c>
      <c r="O2" s="3" t="s">
        <v>99</v>
      </c>
      <c r="P2" s="3" t="s">
        <v>103</v>
      </c>
      <c r="Q2" s="3" t="s">
        <v>97</v>
      </c>
      <c r="R2" s="3" t="s">
        <v>97</v>
      </c>
    </row>
    <row r="3" spans="1:18" s="3" customFormat="1" x14ac:dyDescent="0.25">
      <c r="A3" s="3" t="s">
        <v>2</v>
      </c>
      <c r="F3" s="130"/>
      <c r="J3" s="34"/>
      <c r="K3" s="130" t="s">
        <v>143</v>
      </c>
    </row>
    <row r="4" spans="1:18" s="21" customFormat="1" x14ac:dyDescent="0.25">
      <c r="A4" s="21" t="s">
        <v>3</v>
      </c>
      <c r="C4" s="21" t="s">
        <v>59</v>
      </c>
      <c r="D4" s="21">
        <v>0</v>
      </c>
      <c r="E4" s="21">
        <v>0</v>
      </c>
      <c r="F4" s="108" t="s">
        <v>62</v>
      </c>
      <c r="G4" s="21">
        <v>0.78900000000000003</v>
      </c>
      <c r="H4" t="s">
        <v>145</v>
      </c>
      <c r="I4" s="27">
        <v>1.81</v>
      </c>
      <c r="K4" s="108"/>
      <c r="L4" s="21">
        <v>0.21</v>
      </c>
      <c r="M4" s="21">
        <v>0.17</v>
      </c>
      <c r="N4" s="21">
        <v>0.47</v>
      </c>
      <c r="O4" s="21">
        <v>0</v>
      </c>
      <c r="P4" s="22">
        <f>(N4/44)*2*61*(1-0.99)</f>
        <v>1.3031818181818193E-2</v>
      </c>
      <c r="Q4" s="21">
        <v>0.45</v>
      </c>
      <c r="R4" s="21">
        <v>0.73399999999999999</v>
      </c>
    </row>
    <row r="5" spans="1:18" s="21" customFormat="1" x14ac:dyDescent="0.25">
      <c r="A5" s="21" t="s">
        <v>101</v>
      </c>
      <c r="C5" s="21" t="s">
        <v>59</v>
      </c>
      <c r="D5" s="21">
        <v>0</v>
      </c>
      <c r="E5" s="21">
        <v>0</v>
      </c>
      <c r="F5" s="108" t="s">
        <v>62</v>
      </c>
      <c r="G5" s="38">
        <f>(0.36+0.01)/1.15</f>
        <v>0.32173913043478264</v>
      </c>
      <c r="H5" t="s">
        <v>145</v>
      </c>
      <c r="I5" s="27">
        <v>1.81</v>
      </c>
      <c r="K5" s="108"/>
      <c r="L5" s="21">
        <v>0</v>
      </c>
      <c r="M5" s="38">
        <f>0.32/1.15</f>
        <v>0.27826086956521739</v>
      </c>
      <c r="N5" s="21">
        <v>0</v>
      </c>
      <c r="O5" s="38">
        <f>0.027/1.15*Ref!B18*1000</f>
        <v>8.4521739130434786E-2</v>
      </c>
      <c r="P5" s="87">
        <f>N5*0.0016</f>
        <v>0</v>
      </c>
      <c r="Q5" s="21">
        <v>0.14299999999999999</v>
      </c>
      <c r="R5" s="27">
        <v>0</v>
      </c>
    </row>
    <row r="6" spans="1:18" s="21" customFormat="1" x14ac:dyDescent="0.25">
      <c r="A6" s="21" t="s">
        <v>102</v>
      </c>
      <c r="C6" s="21" t="s">
        <v>59</v>
      </c>
      <c r="D6" s="21">
        <v>0</v>
      </c>
      <c r="E6" s="21">
        <v>0</v>
      </c>
      <c r="F6" s="108" t="s">
        <v>62</v>
      </c>
      <c r="G6" s="38">
        <v>1.52</v>
      </c>
      <c r="H6" t="s">
        <v>145</v>
      </c>
      <c r="I6" s="27">
        <v>1.81</v>
      </c>
      <c r="J6" s="21">
        <v>55</v>
      </c>
      <c r="K6" s="108">
        <v>0.32</v>
      </c>
      <c r="L6" s="27">
        <v>0.1918</v>
      </c>
      <c r="M6" s="38">
        <v>0.193</v>
      </c>
      <c r="N6" s="21">
        <f>1.29-0.05</f>
        <v>1.24</v>
      </c>
      <c r="O6" s="38">
        <v>0</v>
      </c>
      <c r="P6" s="87">
        <f>N6*0.0015</f>
        <v>1.8600000000000001E-3</v>
      </c>
      <c r="Q6" s="40">
        <v>2</v>
      </c>
      <c r="R6" s="21">
        <v>0</v>
      </c>
    </row>
    <row r="7" spans="1:18" s="29" customFormat="1" ht="15.75" thickBot="1" x14ac:dyDescent="0.3">
      <c r="A7" s="29" t="s">
        <v>100</v>
      </c>
      <c r="C7" s="29" t="str">
        <f>C4</f>
        <v>natural gas - IPCC</v>
      </c>
      <c r="D7" s="29">
        <f t="shared" ref="D7:R7" si="0">D4</f>
        <v>0</v>
      </c>
      <c r="E7" s="29">
        <f t="shared" si="0"/>
        <v>0</v>
      </c>
      <c r="F7" s="110" t="str">
        <f t="shared" si="0"/>
        <v>charcoal - IPCC</v>
      </c>
      <c r="G7" s="29">
        <v>0.6</v>
      </c>
      <c r="H7" s="29" t="s">
        <v>95</v>
      </c>
      <c r="I7" s="29">
        <v>1.81</v>
      </c>
      <c r="K7" s="110"/>
      <c r="L7" s="29">
        <f t="shared" si="0"/>
        <v>0.21</v>
      </c>
      <c r="M7" s="29">
        <f t="shared" si="0"/>
        <v>0.17</v>
      </c>
      <c r="N7" s="29">
        <f t="shared" si="0"/>
        <v>0.47</v>
      </c>
      <c r="O7" s="29">
        <f t="shared" si="0"/>
        <v>0</v>
      </c>
      <c r="P7" s="89">
        <f>N7*0.0015</f>
        <v>7.0500000000000001E-4</v>
      </c>
      <c r="Q7" s="29">
        <f t="shared" si="0"/>
        <v>0.45</v>
      </c>
      <c r="R7" s="29">
        <f t="shared" si="0"/>
        <v>0.73399999999999999</v>
      </c>
    </row>
    <row r="8" spans="1:18" s="1" customFormat="1" x14ac:dyDescent="0.25">
      <c r="A8" s="1" t="s">
        <v>72</v>
      </c>
      <c r="B8" s="32" t="s">
        <v>134</v>
      </c>
      <c r="C8" s="39" t="s">
        <v>59</v>
      </c>
      <c r="D8" s="39">
        <v>0</v>
      </c>
      <c r="E8" s="39">
        <v>0</v>
      </c>
      <c r="F8" s="135" t="s">
        <v>62</v>
      </c>
      <c r="G8" s="43">
        <v>1.52</v>
      </c>
      <c r="H8" s="1" t="s">
        <v>145</v>
      </c>
      <c r="I8" s="39">
        <v>1.81</v>
      </c>
      <c r="J8" s="39">
        <f>J6</f>
        <v>55</v>
      </c>
      <c r="K8" s="135">
        <f>K6</f>
        <v>0.32</v>
      </c>
      <c r="L8" s="33">
        <v>0.1918</v>
      </c>
      <c r="M8" s="50">
        <v>0.193</v>
      </c>
      <c r="N8" s="39">
        <f>1.29-0.05</f>
        <v>1.24</v>
      </c>
      <c r="O8" s="43">
        <f>N8*90*Ref!B$18</f>
        <v>0.40175999999999995</v>
      </c>
      <c r="P8" s="91">
        <f>N8*0.0015</f>
        <v>1.8600000000000001E-3</v>
      </c>
      <c r="Q8" s="92">
        <v>2</v>
      </c>
      <c r="R8" s="39">
        <v>0</v>
      </c>
    </row>
    <row r="9" spans="1:18" x14ac:dyDescent="0.25">
      <c r="A9" t="s">
        <v>73</v>
      </c>
      <c r="B9" s="25" t="str">
        <f>B8</f>
        <v>steel</v>
      </c>
      <c r="C9" t="str">
        <f t="shared" ref="C9:P9" si="1">C8</f>
        <v>natural gas - IPCC</v>
      </c>
      <c r="D9">
        <f t="shared" si="1"/>
        <v>0</v>
      </c>
      <c r="E9" s="85">
        <v>0.5</v>
      </c>
      <c r="F9" s="108" t="str">
        <f t="shared" si="1"/>
        <v>charcoal - IPCC</v>
      </c>
      <c r="G9">
        <f t="shared" si="1"/>
        <v>1.52</v>
      </c>
      <c r="H9" t="str">
        <f t="shared" si="1"/>
        <v>dry wood chips (EU no swiss)</v>
      </c>
      <c r="I9">
        <f>I8</f>
        <v>1.81</v>
      </c>
      <c r="J9">
        <f>J8</f>
        <v>55</v>
      </c>
      <c r="K9" s="108">
        <f>K8</f>
        <v>0.32</v>
      </c>
      <c r="L9">
        <f t="shared" si="1"/>
        <v>0.1918</v>
      </c>
      <c r="M9" s="18">
        <f t="shared" si="1"/>
        <v>0.193</v>
      </c>
      <c r="N9">
        <f t="shared" si="1"/>
        <v>1.24</v>
      </c>
      <c r="O9" s="24">
        <f t="shared" si="1"/>
        <v>0.40175999999999995</v>
      </c>
      <c r="P9" s="88">
        <f t="shared" si="1"/>
        <v>1.8600000000000001E-3</v>
      </c>
      <c r="Q9">
        <f>Q8</f>
        <v>2</v>
      </c>
      <c r="R9">
        <f>R8</f>
        <v>0</v>
      </c>
    </row>
    <row r="10" spans="1:18" s="29" customFormat="1" ht="15.75" thickBot="1" x14ac:dyDescent="0.3">
      <c r="A10" s="29" t="s">
        <v>74</v>
      </c>
      <c r="B10" s="30" t="str">
        <f>B8</f>
        <v>steel</v>
      </c>
      <c r="C10" s="29" t="str">
        <f t="shared" ref="C10:P10" si="2">C8</f>
        <v>natural gas - IPCC</v>
      </c>
      <c r="D10" s="29">
        <f t="shared" si="2"/>
        <v>0</v>
      </c>
      <c r="E10" s="31">
        <v>1</v>
      </c>
      <c r="F10" s="110" t="str">
        <f t="shared" si="2"/>
        <v>charcoal - IPCC</v>
      </c>
      <c r="G10" s="29">
        <f t="shared" si="2"/>
        <v>1.52</v>
      </c>
      <c r="H10" s="29" t="str">
        <f t="shared" si="2"/>
        <v>dry wood chips (EU no swiss)</v>
      </c>
      <c r="I10" s="29">
        <f>I8</f>
        <v>1.81</v>
      </c>
      <c r="J10" s="29">
        <f>J8</f>
        <v>55</v>
      </c>
      <c r="K10" s="110">
        <f>K8</f>
        <v>0.32</v>
      </c>
      <c r="L10" s="29">
        <f t="shared" si="2"/>
        <v>0.1918</v>
      </c>
      <c r="M10" s="28">
        <f t="shared" si="2"/>
        <v>0.193</v>
      </c>
      <c r="N10" s="29">
        <f t="shared" si="2"/>
        <v>1.24</v>
      </c>
      <c r="O10" s="37">
        <f t="shared" si="2"/>
        <v>0.40175999999999995</v>
      </c>
      <c r="P10" s="89">
        <f t="shared" si="2"/>
        <v>1.8600000000000001E-3</v>
      </c>
      <c r="Q10" s="29">
        <f>Q8</f>
        <v>2</v>
      </c>
      <c r="R10" s="29">
        <f>R8</f>
        <v>0</v>
      </c>
    </row>
    <row r="11" spans="1:18" s="1" customFormat="1" x14ac:dyDescent="0.25">
      <c r="A11" s="1" t="s">
        <v>75</v>
      </c>
      <c r="B11" s="32" t="s">
        <v>134</v>
      </c>
      <c r="C11" s="39" t="s">
        <v>59</v>
      </c>
      <c r="D11" s="39">
        <v>0</v>
      </c>
      <c r="E11" s="39">
        <v>0</v>
      </c>
      <c r="F11" s="135" t="s">
        <v>62</v>
      </c>
      <c r="G11" s="43">
        <v>1.52</v>
      </c>
      <c r="H11" s="1" t="s">
        <v>145</v>
      </c>
      <c r="I11" s="39">
        <v>1.81</v>
      </c>
      <c r="J11" s="39">
        <f>J6</f>
        <v>55</v>
      </c>
      <c r="K11" s="135">
        <f>K6</f>
        <v>0.32</v>
      </c>
      <c r="L11" s="33">
        <v>0.1918</v>
      </c>
      <c r="M11" s="50">
        <v>0.193</v>
      </c>
      <c r="N11" s="39">
        <f>1.29-0.05</f>
        <v>1.24</v>
      </c>
      <c r="O11" s="43">
        <f>N11*90*Ref!B$18</f>
        <v>0.40175999999999995</v>
      </c>
      <c r="P11" s="91">
        <f>N11*0.0015</f>
        <v>1.8600000000000001E-3</v>
      </c>
      <c r="Q11" s="92">
        <v>2</v>
      </c>
      <c r="R11" s="39">
        <v>0</v>
      </c>
    </row>
    <row r="12" spans="1:18" x14ac:dyDescent="0.25">
      <c r="A12" t="s">
        <v>76</v>
      </c>
      <c r="B12" s="25" t="str">
        <f>B11</f>
        <v>steel</v>
      </c>
      <c r="C12" t="str">
        <f t="shared" ref="C12:P12" si="3">C11</f>
        <v>natural gas - IPCC</v>
      </c>
      <c r="D12">
        <f t="shared" si="3"/>
        <v>0</v>
      </c>
      <c r="E12" s="85">
        <v>0.5</v>
      </c>
      <c r="F12" s="108" t="str">
        <f t="shared" si="3"/>
        <v>charcoal - IPCC</v>
      </c>
      <c r="G12">
        <f t="shared" si="3"/>
        <v>1.52</v>
      </c>
      <c r="H12" t="str">
        <f t="shared" si="3"/>
        <v>dry wood chips (EU no swiss)</v>
      </c>
      <c r="I12">
        <f>I11</f>
        <v>1.81</v>
      </c>
      <c r="J12">
        <f>J11</f>
        <v>55</v>
      </c>
      <c r="K12" s="108">
        <f>K11</f>
        <v>0.32</v>
      </c>
      <c r="L12">
        <f t="shared" si="3"/>
        <v>0.1918</v>
      </c>
      <c r="M12" s="18">
        <f t="shared" si="3"/>
        <v>0.193</v>
      </c>
      <c r="N12">
        <f t="shared" si="3"/>
        <v>1.24</v>
      </c>
      <c r="O12" s="24">
        <f t="shared" si="3"/>
        <v>0.40175999999999995</v>
      </c>
      <c r="P12" s="88">
        <f t="shared" si="3"/>
        <v>1.8600000000000001E-3</v>
      </c>
      <c r="Q12">
        <f>Q11</f>
        <v>2</v>
      </c>
      <c r="R12">
        <f>R11</f>
        <v>0</v>
      </c>
    </row>
    <row r="13" spans="1:18" s="29" customFormat="1" ht="15.75" thickBot="1" x14ac:dyDescent="0.3">
      <c r="A13" s="29" t="s">
        <v>77</v>
      </c>
      <c r="B13" s="30" t="str">
        <f>B11</f>
        <v>steel</v>
      </c>
      <c r="C13" s="29" t="str">
        <f t="shared" ref="C13:P13" si="4">C11</f>
        <v>natural gas - IPCC</v>
      </c>
      <c r="D13" s="29">
        <f t="shared" si="4"/>
        <v>0</v>
      </c>
      <c r="E13" s="31">
        <v>1</v>
      </c>
      <c r="F13" s="110" t="str">
        <f t="shared" si="4"/>
        <v>charcoal - IPCC</v>
      </c>
      <c r="G13" s="29">
        <f t="shared" si="4"/>
        <v>1.52</v>
      </c>
      <c r="H13" s="29" t="str">
        <f t="shared" si="4"/>
        <v>dry wood chips (EU no swiss)</v>
      </c>
      <c r="I13" s="29">
        <f>I11</f>
        <v>1.81</v>
      </c>
      <c r="J13" s="29">
        <f>J11</f>
        <v>55</v>
      </c>
      <c r="K13" s="110">
        <f>K11</f>
        <v>0.32</v>
      </c>
      <c r="L13" s="29">
        <f t="shared" si="4"/>
        <v>0.1918</v>
      </c>
      <c r="M13" s="28">
        <f t="shared" si="4"/>
        <v>0.193</v>
      </c>
      <c r="N13" s="29">
        <f t="shared" si="4"/>
        <v>1.24</v>
      </c>
      <c r="O13" s="37">
        <f t="shared" si="4"/>
        <v>0.40175999999999995</v>
      </c>
      <c r="P13" s="89">
        <f t="shared" si="4"/>
        <v>1.8600000000000001E-3</v>
      </c>
      <c r="Q13" s="29">
        <f>Q11</f>
        <v>2</v>
      </c>
      <c r="R13" s="29">
        <f>R11</f>
        <v>0</v>
      </c>
    </row>
    <row r="14" spans="1:18" x14ac:dyDescent="0.25">
      <c r="A14" t="s">
        <v>135</v>
      </c>
      <c r="B14" s="21" t="s">
        <v>136</v>
      </c>
      <c r="I14">
        <v>1.81</v>
      </c>
      <c r="J14">
        <f>J6</f>
        <v>55</v>
      </c>
      <c r="K14" s="108">
        <f>K6</f>
        <v>0.32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23" sqref="D23"/>
    </sheetView>
  </sheetViews>
  <sheetFormatPr defaultColWidth="10.140625" defaultRowHeight="15" x14ac:dyDescent="0.25"/>
  <cols>
    <col min="1" max="2" width="15" style="21" customWidth="1"/>
    <col min="3" max="3" width="15" style="20" bestFit="1" customWidth="1"/>
    <col min="4" max="4" width="17.85546875" style="20" bestFit="1" customWidth="1"/>
    <col min="5" max="5" width="15.85546875" style="20" bestFit="1" customWidth="1"/>
    <col min="6" max="6" width="19" style="20" bestFit="1" customWidth="1"/>
    <col min="7" max="7" width="17.85546875" style="20" bestFit="1" customWidth="1"/>
    <col min="8" max="8" width="28.42578125" style="20" bestFit="1" customWidth="1"/>
    <col min="9" max="16384" width="10.140625" style="20"/>
  </cols>
  <sheetData>
    <row r="1" spans="1:5" s="39" customFormat="1" x14ac:dyDescent="0.25">
      <c r="A1" s="39" t="s">
        <v>0</v>
      </c>
      <c r="B1" s="39" t="s">
        <v>133</v>
      </c>
      <c r="C1" s="47" t="s">
        <v>30</v>
      </c>
      <c r="D1" s="66" t="s">
        <v>6</v>
      </c>
      <c r="E1" s="39" t="s">
        <v>40</v>
      </c>
    </row>
    <row r="2" spans="1:5" x14ac:dyDescent="0.25">
      <c r="A2" s="48" t="s">
        <v>1</v>
      </c>
      <c r="B2" s="48"/>
      <c r="D2" s="47" t="s">
        <v>36</v>
      </c>
    </row>
    <row r="3" spans="1:5" x14ac:dyDescent="0.25">
      <c r="A3" s="48" t="s">
        <v>2</v>
      </c>
      <c r="B3" s="48"/>
    </row>
    <row r="4" spans="1:5" x14ac:dyDescent="0.25">
      <c r="A4" s="21" t="s">
        <v>3</v>
      </c>
      <c r="C4" s="67">
        <v>0.9</v>
      </c>
      <c r="D4" s="50">
        <f>0.55*Ref!B$18/Ref!$C$12</f>
        <v>1.3869182594347289</v>
      </c>
    </row>
    <row r="5" spans="1:5" x14ac:dyDescent="0.25">
      <c r="A5" s="21" t="s">
        <v>101</v>
      </c>
      <c r="C5" s="67">
        <f>C4</f>
        <v>0.9</v>
      </c>
      <c r="D5" s="50">
        <f>D4</f>
        <v>1.3869182594347289</v>
      </c>
    </row>
    <row r="6" spans="1:5" x14ac:dyDescent="0.25">
      <c r="A6" s="21" t="s">
        <v>102</v>
      </c>
      <c r="C6" s="67">
        <f>C4</f>
        <v>0.9</v>
      </c>
      <c r="D6" s="50">
        <f>D4</f>
        <v>1.3869182594347289</v>
      </c>
    </row>
    <row r="7" spans="1:5" s="41" customFormat="1" ht="15.75" thickBot="1" x14ac:dyDescent="0.3">
      <c r="A7" s="36" t="s">
        <v>100</v>
      </c>
      <c r="B7" s="36"/>
      <c r="C7" s="55">
        <f>C4</f>
        <v>0.9</v>
      </c>
      <c r="D7" s="86">
        <f>D4</f>
        <v>1.3869182594347289</v>
      </c>
    </row>
    <row r="8" spans="1:5" s="39" customFormat="1" x14ac:dyDescent="0.25">
      <c r="A8" s="32" t="s">
        <v>78</v>
      </c>
      <c r="B8" s="32" t="s">
        <v>134</v>
      </c>
      <c r="C8" s="67">
        <v>0.9</v>
      </c>
      <c r="D8" s="50">
        <f>0.55*Ref!B$18/Ref!$C$12</f>
        <v>1.3869182594347289</v>
      </c>
      <c r="E8" s="68"/>
    </row>
    <row r="9" spans="1:5" s="21" customFormat="1" x14ac:dyDescent="0.25">
      <c r="A9" s="25" t="s">
        <v>79</v>
      </c>
      <c r="B9" s="25" t="str">
        <f>B8</f>
        <v>steel</v>
      </c>
      <c r="C9" s="22">
        <f t="shared" ref="C9:D10" si="0">C$8</f>
        <v>0.9</v>
      </c>
      <c r="D9" s="22">
        <f t="shared" si="0"/>
        <v>1.3869182594347289</v>
      </c>
    </row>
    <row r="10" spans="1:5" s="29" customFormat="1" ht="15.75" thickBot="1" x14ac:dyDescent="0.3">
      <c r="A10" s="30" t="s">
        <v>82</v>
      </c>
      <c r="B10" s="30" t="str">
        <f>B8</f>
        <v>steel</v>
      </c>
      <c r="C10" s="28">
        <f t="shared" si="0"/>
        <v>0.9</v>
      </c>
      <c r="D10" s="28">
        <f t="shared" si="0"/>
        <v>1.3869182594347289</v>
      </c>
    </row>
    <row r="11" spans="1:5" s="21" customFormat="1" x14ac:dyDescent="0.25">
      <c r="A11" s="32" t="s">
        <v>63</v>
      </c>
      <c r="B11" s="32" t="s">
        <v>134</v>
      </c>
      <c r="C11" s="67">
        <v>0.9</v>
      </c>
      <c r="D11" s="67">
        <f>(0.55*Ref!B18/Ref!C12*(38/158.3))+(0.47*Ref!B18/Ref!C12*(120.3/158.3))</f>
        <v>1.2336109450282529</v>
      </c>
      <c r="E11" s="68"/>
    </row>
    <row r="12" spans="1:5" s="39" customFormat="1" x14ac:dyDescent="0.25">
      <c r="A12" s="52" t="s">
        <v>80</v>
      </c>
      <c r="B12" s="25" t="str">
        <f>B11</f>
        <v>steel</v>
      </c>
      <c r="C12" s="23">
        <f>C11</f>
        <v>0.9</v>
      </c>
      <c r="D12" s="23">
        <f>D11</f>
        <v>1.2336109450282529</v>
      </c>
      <c r="E12" s="20"/>
    </row>
    <row r="13" spans="1:5" s="29" customFormat="1" ht="15.75" thickBot="1" x14ac:dyDescent="0.3">
      <c r="A13" s="54" t="s">
        <v>83</v>
      </c>
      <c r="B13" s="30" t="str">
        <f>B11</f>
        <v>steel</v>
      </c>
      <c r="C13" s="55">
        <f>C11</f>
        <v>0.9</v>
      </c>
      <c r="D13" s="55">
        <f>D11</f>
        <v>1.2336109450282529</v>
      </c>
      <c r="E13" s="41"/>
    </row>
    <row r="14" spans="1:5" s="21" customFormat="1" x14ac:dyDescent="0.25">
      <c r="A14" s="53" t="s">
        <v>64</v>
      </c>
      <c r="B14" s="32" t="s">
        <v>134</v>
      </c>
      <c r="C14" s="20">
        <v>0.9</v>
      </c>
      <c r="D14" s="67">
        <f>(0.55*Ref!B18/Ref!C12*(38/158.3))+(0.47*Ref!B18/Ref!C12*(120.3/158.3))</f>
        <v>1.2336109450282529</v>
      </c>
      <c r="E14" s="20"/>
    </row>
    <row r="15" spans="1:5" s="21" customFormat="1" x14ac:dyDescent="0.25">
      <c r="A15" s="46" t="s">
        <v>81</v>
      </c>
      <c r="B15" s="25" t="str">
        <f>B14</f>
        <v>steel</v>
      </c>
      <c r="C15" s="23">
        <f>C14</f>
        <v>0.9</v>
      </c>
      <c r="D15" s="23">
        <f>D14</f>
        <v>1.2336109450282529</v>
      </c>
      <c r="E15" s="20"/>
    </row>
    <row r="16" spans="1:5" s="57" customFormat="1" ht="15.75" thickBot="1" x14ac:dyDescent="0.3">
      <c r="A16" s="54" t="s">
        <v>84</v>
      </c>
      <c r="B16" s="30" t="str">
        <f>B14</f>
        <v>steel</v>
      </c>
      <c r="C16" s="55">
        <f>C14</f>
        <v>0.9</v>
      </c>
      <c r="D16" s="55">
        <f>D14</f>
        <v>1.2336109450282529</v>
      </c>
      <c r="E16" s="41"/>
    </row>
    <row r="17" spans="1:5" s="21" customFormat="1" x14ac:dyDescent="0.25">
      <c r="A17" s="21" t="s">
        <v>72</v>
      </c>
      <c r="B17" s="32" t="s">
        <v>134</v>
      </c>
      <c r="C17" s="20">
        <v>0.9</v>
      </c>
      <c r="D17" s="50">
        <f>0.55*Ref!B$18/Ref!$C$12</f>
        <v>1.3869182594347289</v>
      </c>
      <c r="E17" s="20"/>
    </row>
    <row r="18" spans="1:5" s="21" customFormat="1" x14ac:dyDescent="0.25">
      <c r="A18" s="21" t="s">
        <v>73</v>
      </c>
      <c r="B18" s="25" t="str">
        <f>B17</f>
        <v>steel</v>
      </c>
      <c r="C18" s="20">
        <f>C17</f>
        <v>0.9</v>
      </c>
      <c r="D18" s="23">
        <f>D17</f>
        <v>1.3869182594347289</v>
      </c>
      <c r="E18" s="20"/>
    </row>
    <row r="19" spans="1:5" s="29" customFormat="1" ht="15.75" thickBot="1" x14ac:dyDescent="0.3">
      <c r="A19" s="29" t="s">
        <v>74</v>
      </c>
      <c r="B19" s="30" t="str">
        <f>B17</f>
        <v>steel</v>
      </c>
      <c r="C19" s="41">
        <f>C17</f>
        <v>0.9</v>
      </c>
      <c r="D19" s="55">
        <f>D17</f>
        <v>1.3869182594347289</v>
      </c>
      <c r="E19" s="41"/>
    </row>
    <row r="20" spans="1:5" s="39" customFormat="1" x14ac:dyDescent="0.25">
      <c r="A20" s="21" t="s">
        <v>75</v>
      </c>
      <c r="B20" s="32" t="s">
        <v>134</v>
      </c>
      <c r="C20" s="20">
        <v>0.9</v>
      </c>
      <c r="D20" s="50">
        <f>0.55*Ref!B$18/Ref!$C$12</f>
        <v>1.3869182594347289</v>
      </c>
      <c r="E20" s="20"/>
    </row>
    <row r="21" spans="1:5" s="21" customFormat="1" x14ac:dyDescent="0.25">
      <c r="A21" s="21" t="s">
        <v>76</v>
      </c>
      <c r="B21" s="25" t="str">
        <f>B20</f>
        <v>steel</v>
      </c>
      <c r="C21" s="20">
        <f>C20</f>
        <v>0.9</v>
      </c>
      <c r="D21" s="23">
        <f>D20</f>
        <v>1.3869182594347289</v>
      </c>
      <c r="E21" s="20"/>
    </row>
    <row r="22" spans="1:5" s="29" customFormat="1" ht="15.75" thickBot="1" x14ac:dyDescent="0.3">
      <c r="A22" s="29" t="s">
        <v>77</v>
      </c>
      <c r="B22" s="30" t="str">
        <f>B20</f>
        <v>steel</v>
      </c>
      <c r="C22" s="41">
        <f>C20</f>
        <v>0.9</v>
      </c>
      <c r="D22" s="55">
        <f>D20</f>
        <v>1.3869182594347289</v>
      </c>
      <c r="E22" s="41"/>
    </row>
    <row r="23" spans="1:5" s="21" customFormat="1" x14ac:dyDescent="0.25">
      <c r="A23" t="s">
        <v>135</v>
      </c>
      <c r="B23" s="21" t="s">
        <v>136</v>
      </c>
      <c r="C23" s="22">
        <f>C4</f>
        <v>0.9</v>
      </c>
      <c r="D23" s="22">
        <f>D4</f>
        <v>1.3869182594347289</v>
      </c>
      <c r="E23" s="20"/>
    </row>
    <row r="24" spans="1:5" s="39" customFormat="1" x14ac:dyDescent="0.25">
      <c r="A24" s="21"/>
      <c r="B24" s="21"/>
      <c r="C24" s="20"/>
      <c r="D24" s="20"/>
      <c r="E24" s="20"/>
    </row>
    <row r="25" spans="1:5" s="21" customFormat="1" x14ac:dyDescent="0.25">
      <c r="C25" s="20"/>
      <c r="D25" s="20"/>
      <c r="E25" s="20"/>
    </row>
    <row r="26" spans="1:5" s="21" customFormat="1" x14ac:dyDescent="0.25">
      <c r="C26" s="20"/>
      <c r="D26" s="20"/>
      <c r="E26" s="20"/>
    </row>
    <row r="27" spans="1:5" s="21" customFormat="1" x14ac:dyDescent="0.25">
      <c r="C27" s="20"/>
      <c r="D27" s="20"/>
      <c r="E27" s="20"/>
    </row>
    <row r="28" spans="1:5" s="39" customFormat="1" x14ac:dyDescent="0.25">
      <c r="A28" s="21"/>
      <c r="B28" s="21"/>
      <c r="C28" s="20"/>
      <c r="D28" s="20"/>
      <c r="E28" s="20"/>
    </row>
    <row r="29" spans="1:5" s="21" customFormat="1" x14ac:dyDescent="0.25">
      <c r="C29" s="20"/>
      <c r="D29" s="20"/>
      <c r="E29" s="20"/>
    </row>
    <row r="30" spans="1:5" s="21" customFormat="1" x14ac:dyDescent="0.25">
      <c r="C30" s="20"/>
      <c r="D30" s="20"/>
      <c r="E30" s="20"/>
    </row>
    <row r="31" spans="1:5" s="21" customFormat="1" x14ac:dyDescent="0.25">
      <c r="C31" s="20"/>
      <c r="D31" s="20"/>
      <c r="E31" s="20"/>
    </row>
    <row r="32" spans="1:5" s="21" customFormat="1" x14ac:dyDescent="0.25">
      <c r="C32" s="20"/>
      <c r="D32" s="20"/>
      <c r="E32" s="20"/>
    </row>
    <row r="36" spans="1:5" s="39" customFormat="1" x14ac:dyDescent="0.25">
      <c r="A36" s="21"/>
      <c r="B36" s="21"/>
      <c r="C36" s="20"/>
      <c r="D36" s="20"/>
      <c r="E36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E23" sqref="E23"/>
    </sheetView>
  </sheetViews>
  <sheetFormatPr defaultColWidth="10.140625" defaultRowHeight="15" x14ac:dyDescent="0.25"/>
  <cols>
    <col min="1" max="1" width="23.28515625" style="21" customWidth="1"/>
    <col min="2" max="2" width="12" style="21" customWidth="1"/>
    <col min="3" max="3" width="13.140625" style="20" bestFit="1" customWidth="1"/>
    <col min="4" max="4" width="13.140625" style="20" customWidth="1"/>
    <col min="5" max="5" width="17.7109375" style="20" customWidth="1"/>
    <col min="6" max="6" width="19" style="20" bestFit="1" customWidth="1"/>
    <col min="7" max="7" width="17.85546875" style="20" bestFit="1" customWidth="1"/>
    <col min="8" max="8" width="28.42578125" style="20" bestFit="1" customWidth="1"/>
    <col min="9" max="9" width="20.42578125" style="20" bestFit="1" customWidth="1"/>
    <col min="10" max="10" width="11" style="20" bestFit="1" customWidth="1"/>
    <col min="11" max="16384" width="10.140625" style="20"/>
  </cols>
  <sheetData>
    <row r="1" spans="1:11" x14ac:dyDescent="0.25">
      <c r="A1" s="39" t="s">
        <v>0</v>
      </c>
      <c r="B1" s="39" t="s">
        <v>133</v>
      </c>
      <c r="C1" s="69" t="s">
        <v>29</v>
      </c>
      <c r="D1" s="69" t="s">
        <v>41</v>
      </c>
      <c r="E1" s="39" t="s">
        <v>31</v>
      </c>
      <c r="F1" s="39" t="s">
        <v>2</v>
      </c>
      <c r="G1" s="39" t="s">
        <v>60</v>
      </c>
      <c r="H1" s="39"/>
      <c r="I1" s="39"/>
      <c r="J1" s="39"/>
      <c r="K1" s="39"/>
    </row>
    <row r="2" spans="1:11" x14ac:dyDescent="0.25">
      <c r="A2" s="48" t="s">
        <v>1</v>
      </c>
      <c r="B2" s="48"/>
      <c r="C2" s="47" t="s">
        <v>34</v>
      </c>
      <c r="D2" s="47" t="s">
        <v>42</v>
      </c>
      <c r="H2" s="69"/>
    </row>
    <row r="3" spans="1:11" x14ac:dyDescent="0.25">
      <c r="A3" s="48" t="s">
        <v>2</v>
      </c>
      <c r="B3" s="48"/>
    </row>
    <row r="4" spans="1:11" x14ac:dyDescent="0.25">
      <c r="A4" s="21" t="s">
        <v>3</v>
      </c>
      <c r="C4" s="20">
        <f>C8</f>
        <v>0.56599999999999995</v>
      </c>
      <c r="D4" s="10">
        <f>D8</f>
        <v>0</v>
      </c>
      <c r="E4" s="47" t="s">
        <v>59</v>
      </c>
    </row>
    <row r="5" spans="1:11" x14ac:dyDescent="0.25">
      <c r="A5" s="21" t="s">
        <v>101</v>
      </c>
      <c r="C5" s="20">
        <f>C4</f>
        <v>0.56599999999999995</v>
      </c>
      <c r="D5" s="10">
        <v>0</v>
      </c>
      <c r="E5" s="20" t="str">
        <f>E4</f>
        <v>natural gas - IPCC</v>
      </c>
    </row>
    <row r="6" spans="1:11" x14ac:dyDescent="0.25">
      <c r="A6" s="21" t="s">
        <v>102</v>
      </c>
      <c r="C6" s="47">
        <f>C4</f>
        <v>0.56599999999999995</v>
      </c>
      <c r="D6" s="90">
        <v>0</v>
      </c>
      <c r="E6" s="47" t="str">
        <f>E4</f>
        <v>natural gas - IPCC</v>
      </c>
    </row>
    <row r="7" spans="1:11" s="41" customFormat="1" ht="15.75" thickBot="1" x14ac:dyDescent="0.3">
      <c r="A7" s="29" t="s">
        <v>100</v>
      </c>
      <c r="B7" s="29"/>
      <c r="C7" s="41">
        <f>C4</f>
        <v>0.56599999999999995</v>
      </c>
      <c r="D7" s="42">
        <v>0</v>
      </c>
      <c r="E7" s="82" t="str">
        <f>E4</f>
        <v>natural gas - IPCC</v>
      </c>
    </row>
    <row r="8" spans="1:11" s="39" customFormat="1" x14ac:dyDescent="0.25">
      <c r="A8" s="32" t="s">
        <v>78</v>
      </c>
      <c r="B8" s="32" t="s">
        <v>134</v>
      </c>
      <c r="C8" s="62">
        <v>0.56599999999999995</v>
      </c>
      <c r="D8" s="101">
        <v>0</v>
      </c>
      <c r="E8" s="62" t="s">
        <v>59</v>
      </c>
    </row>
    <row r="9" spans="1:11" s="21" customFormat="1" x14ac:dyDescent="0.25">
      <c r="A9" s="25" t="s">
        <v>79</v>
      </c>
      <c r="B9" s="25" t="str">
        <f>B8</f>
        <v>steel</v>
      </c>
      <c r="C9" s="62">
        <v>0.56599999999999995</v>
      </c>
      <c r="D9" s="102">
        <f t="shared" ref="D9" si="0">D$8</f>
        <v>0</v>
      </c>
      <c r="E9" s="21" t="str">
        <f>E8</f>
        <v>natural gas - IPCC</v>
      </c>
    </row>
    <row r="10" spans="1:11" s="29" customFormat="1" ht="15.75" thickBot="1" x14ac:dyDescent="0.3">
      <c r="A10" s="30" t="s">
        <v>82</v>
      </c>
      <c r="B10" s="30" t="str">
        <f>B8</f>
        <v>steel</v>
      </c>
      <c r="C10" s="63">
        <v>0.56599999999999995</v>
      </c>
      <c r="D10" s="103">
        <f t="shared" ref="D10:E10" si="1">D$8</f>
        <v>0</v>
      </c>
      <c r="E10" s="41" t="str">
        <f t="shared" si="1"/>
        <v>natural gas - IPCC</v>
      </c>
    </row>
    <row r="11" spans="1:11" s="21" customFormat="1" x14ac:dyDescent="0.25">
      <c r="A11" s="32" t="s">
        <v>63</v>
      </c>
      <c r="B11" s="32" t="s">
        <v>134</v>
      </c>
      <c r="C11" s="62">
        <v>0.56599999999999995</v>
      </c>
      <c r="D11" s="101">
        <v>0</v>
      </c>
      <c r="E11" s="62" t="s">
        <v>59</v>
      </c>
      <c r="F11" s="62"/>
      <c r="G11" s="62"/>
      <c r="H11" s="62"/>
      <c r="I11" s="62"/>
      <c r="J11" s="62"/>
      <c r="K11" s="62"/>
    </row>
    <row r="12" spans="1:11" s="39" customFormat="1" x14ac:dyDescent="0.25">
      <c r="A12" s="52" t="s">
        <v>80</v>
      </c>
      <c r="B12" s="25" t="str">
        <f>B11</f>
        <v>steel</v>
      </c>
      <c r="C12" s="20">
        <f>C11</f>
        <v>0.56599999999999995</v>
      </c>
      <c r="D12" s="102">
        <f>D11</f>
        <v>0</v>
      </c>
      <c r="E12" s="20" t="str">
        <f>E11</f>
        <v>natural gas - IPCC</v>
      </c>
      <c r="F12" s="20"/>
      <c r="G12" s="20"/>
      <c r="H12" s="20"/>
      <c r="I12" s="20"/>
      <c r="J12" s="20"/>
      <c r="K12" s="20"/>
    </row>
    <row r="13" spans="1:11" s="29" customFormat="1" ht="15.75" thickBot="1" x14ac:dyDescent="0.3">
      <c r="A13" s="54" t="s">
        <v>83</v>
      </c>
      <c r="B13" s="30" t="str">
        <f>B11</f>
        <v>steel</v>
      </c>
      <c r="C13" s="41">
        <f>C11</f>
        <v>0.56599999999999995</v>
      </c>
      <c r="D13" s="103">
        <f>D11</f>
        <v>0</v>
      </c>
      <c r="E13" s="41" t="str">
        <f>E11</f>
        <v>natural gas - IPCC</v>
      </c>
      <c r="F13" s="41"/>
      <c r="G13" s="41"/>
      <c r="H13" s="41"/>
      <c r="I13" s="41"/>
      <c r="J13" s="41"/>
      <c r="K13" s="41"/>
    </row>
    <row r="14" spans="1:11" s="21" customFormat="1" x14ac:dyDescent="0.25">
      <c r="A14" s="53" t="s">
        <v>64</v>
      </c>
      <c r="B14" s="32" t="s">
        <v>134</v>
      </c>
      <c r="C14" s="62">
        <v>0.56599999999999995</v>
      </c>
      <c r="D14" s="101">
        <v>0</v>
      </c>
      <c r="E14" s="62" t="s">
        <v>59</v>
      </c>
      <c r="F14" s="62"/>
      <c r="G14" s="62"/>
      <c r="H14" s="62"/>
      <c r="I14" s="62"/>
      <c r="J14" s="62"/>
      <c r="K14" s="62"/>
    </row>
    <row r="15" spans="1:11" s="21" customFormat="1" x14ac:dyDescent="0.25">
      <c r="A15" s="46" t="s">
        <v>81</v>
      </c>
      <c r="B15" s="25" t="str">
        <f>B14</f>
        <v>steel</v>
      </c>
      <c r="C15" s="20">
        <f>C14</f>
        <v>0.56599999999999995</v>
      </c>
      <c r="D15" s="102">
        <f>D14</f>
        <v>0</v>
      </c>
      <c r="E15" s="20" t="str">
        <f>E14</f>
        <v>natural gas - IPCC</v>
      </c>
      <c r="F15" s="20"/>
      <c r="G15" s="20"/>
      <c r="H15" s="20"/>
      <c r="I15" s="20"/>
      <c r="J15" s="20"/>
      <c r="K15" s="20"/>
    </row>
    <row r="16" spans="1:11" s="57" customFormat="1" ht="15.75" thickBot="1" x14ac:dyDescent="0.3">
      <c r="A16" s="54" t="s">
        <v>84</v>
      </c>
      <c r="B16" s="30" t="str">
        <f>B14</f>
        <v>steel</v>
      </c>
      <c r="C16" s="41">
        <f>C14</f>
        <v>0.56599999999999995</v>
      </c>
      <c r="D16" s="103">
        <f>D14</f>
        <v>0</v>
      </c>
      <c r="E16" s="41" t="str">
        <f>E14</f>
        <v>natural gas - IPCC</v>
      </c>
      <c r="F16" s="41"/>
      <c r="G16" s="41"/>
      <c r="H16" s="41"/>
      <c r="I16" s="41"/>
      <c r="J16" s="41"/>
      <c r="K16" s="41"/>
    </row>
    <row r="17" spans="1:11" s="21" customFormat="1" x14ac:dyDescent="0.25">
      <c r="A17" s="21" t="s">
        <v>72</v>
      </c>
      <c r="B17" s="32" t="s">
        <v>134</v>
      </c>
      <c r="C17" s="62">
        <v>0.56599999999999995</v>
      </c>
      <c r="D17" s="101">
        <v>0</v>
      </c>
      <c r="E17" s="62" t="s">
        <v>59</v>
      </c>
      <c r="F17" s="20"/>
      <c r="G17" s="20"/>
      <c r="H17" s="20"/>
      <c r="I17" s="20"/>
      <c r="J17" s="20"/>
      <c r="K17" s="20"/>
    </row>
    <row r="18" spans="1:11" s="21" customFormat="1" x14ac:dyDescent="0.25">
      <c r="A18" s="21" t="s">
        <v>73</v>
      </c>
      <c r="B18" s="25" t="str">
        <f>B17</f>
        <v>steel</v>
      </c>
      <c r="C18" s="20">
        <f>C17</f>
        <v>0.56599999999999995</v>
      </c>
      <c r="D18" s="102">
        <f>D17</f>
        <v>0</v>
      </c>
      <c r="E18" s="20" t="str">
        <f>E17</f>
        <v>natural gas - IPCC</v>
      </c>
      <c r="F18" s="20"/>
      <c r="G18" s="20"/>
      <c r="H18" s="20"/>
      <c r="I18" s="20"/>
      <c r="J18" s="20"/>
      <c r="K18" s="20"/>
    </row>
    <row r="19" spans="1:11" s="29" customFormat="1" ht="15.75" thickBot="1" x14ac:dyDescent="0.3">
      <c r="A19" s="29" t="s">
        <v>74</v>
      </c>
      <c r="B19" s="30" t="str">
        <f>B17</f>
        <v>steel</v>
      </c>
      <c r="C19" s="41">
        <f>C17</f>
        <v>0.56599999999999995</v>
      </c>
      <c r="D19" s="103">
        <f>D17</f>
        <v>0</v>
      </c>
      <c r="E19" s="41" t="str">
        <f>E17</f>
        <v>natural gas - IPCC</v>
      </c>
      <c r="F19" s="41"/>
      <c r="G19" s="41"/>
      <c r="H19" s="41"/>
      <c r="I19" s="41"/>
      <c r="J19" s="41"/>
      <c r="K19" s="41"/>
    </row>
    <row r="20" spans="1:11" s="39" customFormat="1" x14ac:dyDescent="0.25">
      <c r="A20" s="21" t="s">
        <v>75</v>
      </c>
      <c r="B20" s="32" t="s">
        <v>134</v>
      </c>
      <c r="C20" s="62">
        <v>0.56599999999999995</v>
      </c>
      <c r="D20" s="101">
        <v>0</v>
      </c>
      <c r="E20" s="62" t="s">
        <v>59</v>
      </c>
      <c r="F20" s="20"/>
      <c r="G20" s="20"/>
      <c r="H20" s="20"/>
      <c r="I20" s="20"/>
      <c r="J20" s="20"/>
      <c r="K20" s="20"/>
    </row>
    <row r="21" spans="1:11" s="21" customFormat="1" x14ac:dyDescent="0.25">
      <c r="A21" s="21" t="s">
        <v>76</v>
      </c>
      <c r="B21" s="25" t="str">
        <f>B20</f>
        <v>steel</v>
      </c>
      <c r="C21" s="20">
        <f>C20</f>
        <v>0.56599999999999995</v>
      </c>
      <c r="D21" s="102">
        <f>D20</f>
        <v>0</v>
      </c>
      <c r="E21" s="20" t="str">
        <f>E20</f>
        <v>natural gas - IPCC</v>
      </c>
      <c r="F21" s="20"/>
      <c r="G21" s="20"/>
      <c r="H21" s="20"/>
      <c r="I21" s="20"/>
      <c r="J21" s="20"/>
      <c r="K21" s="20"/>
    </row>
    <row r="22" spans="1:11" s="29" customFormat="1" ht="15.75" thickBot="1" x14ac:dyDescent="0.3">
      <c r="A22" s="29" t="s">
        <v>77</v>
      </c>
      <c r="B22" s="30" t="str">
        <f>B20</f>
        <v>steel</v>
      </c>
      <c r="C22" s="41">
        <f>C20</f>
        <v>0.56599999999999995</v>
      </c>
      <c r="D22" s="103">
        <f>D20</f>
        <v>0</v>
      </c>
      <c r="E22" s="41" t="str">
        <f>E20</f>
        <v>natural gas - IPCC</v>
      </c>
      <c r="F22" s="41"/>
      <c r="G22" s="41"/>
      <c r="H22" s="41"/>
      <c r="I22" s="41"/>
      <c r="J22" s="41"/>
      <c r="K22" s="41"/>
    </row>
    <row r="23" spans="1:11" s="21" customFormat="1" x14ac:dyDescent="0.25">
      <c r="A23" t="s">
        <v>135</v>
      </c>
      <c r="B23" s="21" t="s">
        <v>136</v>
      </c>
      <c r="C23" s="20">
        <f>C4</f>
        <v>0.56599999999999995</v>
      </c>
      <c r="D23" s="20">
        <f>D4</f>
        <v>0</v>
      </c>
      <c r="E23" s="20" t="str">
        <f>E4</f>
        <v>natural gas - IPCC</v>
      </c>
      <c r="F23" s="20"/>
      <c r="G23" s="20"/>
      <c r="H23" s="20"/>
      <c r="I23" s="20"/>
      <c r="J23" s="20"/>
      <c r="K23" s="20"/>
    </row>
    <row r="24" spans="1:11" s="39" customFormat="1" x14ac:dyDescent="0.25">
      <c r="A24" s="21"/>
      <c r="B24" s="21"/>
      <c r="C24" s="20"/>
      <c r="D24" s="20"/>
      <c r="E24" s="20"/>
      <c r="F24" s="20"/>
      <c r="G24" s="20"/>
      <c r="H24" s="20"/>
      <c r="I24" s="20"/>
      <c r="J24" s="20"/>
      <c r="K24" s="20"/>
    </row>
    <row r="25" spans="1:11" s="21" customFormat="1" x14ac:dyDescent="0.25">
      <c r="C25" s="20"/>
      <c r="D25" s="20"/>
      <c r="E25" s="20"/>
      <c r="F25" s="20"/>
      <c r="G25" s="20"/>
      <c r="H25" s="20"/>
      <c r="I25" s="20"/>
      <c r="J25" s="20"/>
      <c r="K25" s="20"/>
    </row>
    <row r="26" spans="1:11" s="21" customFormat="1" x14ac:dyDescent="0.25">
      <c r="C26" s="20"/>
      <c r="D26" s="20"/>
      <c r="E26" s="20"/>
      <c r="F26" s="20"/>
      <c r="G26" s="20"/>
      <c r="H26" s="20"/>
      <c r="I26" s="20"/>
      <c r="J26" s="20"/>
      <c r="K26" s="20"/>
    </row>
    <row r="27" spans="1:11" s="21" customFormat="1" x14ac:dyDescent="0.25">
      <c r="C27" s="20"/>
      <c r="D27" s="20"/>
      <c r="E27" s="20"/>
      <c r="F27" s="20"/>
      <c r="G27" s="20"/>
      <c r="H27" s="20"/>
      <c r="I27" s="20"/>
      <c r="J27" s="20"/>
      <c r="K27" s="20"/>
    </row>
    <row r="28" spans="1:11" s="39" customFormat="1" x14ac:dyDescent="0.25">
      <c r="A28" s="21"/>
      <c r="B28" s="21"/>
      <c r="C28" s="20"/>
      <c r="D28" s="20"/>
      <c r="E28" s="20"/>
      <c r="F28" s="20"/>
      <c r="G28" s="20"/>
      <c r="H28" s="20"/>
      <c r="I28" s="20"/>
      <c r="J28" s="20"/>
      <c r="K28" s="20"/>
    </row>
    <row r="29" spans="1:11" s="21" customFormat="1" x14ac:dyDescent="0.25">
      <c r="C29" s="20"/>
      <c r="D29" s="20"/>
      <c r="E29" s="20"/>
      <c r="F29" s="20"/>
      <c r="G29" s="20"/>
      <c r="H29" s="20"/>
      <c r="I29" s="20"/>
      <c r="J29" s="20"/>
      <c r="K29" s="20"/>
    </row>
    <row r="30" spans="1:11" s="21" customFormat="1" x14ac:dyDescent="0.25">
      <c r="C30" s="20"/>
      <c r="D30" s="20"/>
      <c r="E30" s="20"/>
      <c r="F30" s="20"/>
      <c r="G30" s="20"/>
      <c r="H30" s="20"/>
      <c r="I30" s="20"/>
      <c r="J30" s="20"/>
      <c r="K30" s="20"/>
    </row>
    <row r="31" spans="1:11" s="21" customFormat="1" x14ac:dyDescent="0.25">
      <c r="C31" s="20"/>
      <c r="D31" s="20"/>
      <c r="E31" s="20"/>
      <c r="F31" s="20"/>
      <c r="G31" s="20"/>
      <c r="H31" s="20"/>
      <c r="I31" s="20"/>
      <c r="J31" s="20"/>
      <c r="K31" s="20"/>
    </row>
    <row r="32" spans="1:11" s="39" customFormat="1" x14ac:dyDescent="0.25">
      <c r="A32" s="21"/>
      <c r="B32" s="21"/>
      <c r="C32" s="20"/>
      <c r="D32" s="20"/>
      <c r="E32" s="20"/>
      <c r="F32" s="20"/>
      <c r="G32" s="20"/>
      <c r="H32" s="20"/>
      <c r="I32" s="20"/>
      <c r="J32" s="20"/>
      <c r="K32" s="20"/>
    </row>
    <row r="34" spans="1:11" ht="15.75" customHeight="1" x14ac:dyDescent="0.25"/>
    <row r="36" spans="1:11" s="62" customFormat="1" x14ac:dyDescent="0.25">
      <c r="A36" s="21"/>
      <c r="B36" s="21"/>
      <c r="C36" s="20"/>
      <c r="D36" s="20"/>
      <c r="E36" s="20"/>
      <c r="F36" s="20"/>
      <c r="G36" s="20"/>
      <c r="H36" s="20"/>
      <c r="I36" s="20"/>
      <c r="J36" s="20"/>
      <c r="K36" s="20"/>
    </row>
    <row r="40" spans="1:11" s="62" customFormat="1" x14ac:dyDescent="0.25">
      <c r="A40" s="21"/>
      <c r="B40" s="21"/>
      <c r="C40" s="20"/>
      <c r="D40" s="20"/>
      <c r="E40" s="20"/>
      <c r="F40" s="20"/>
      <c r="G40" s="20"/>
      <c r="H40" s="20"/>
      <c r="I40" s="20"/>
      <c r="J40" s="20"/>
      <c r="K40" s="20"/>
    </row>
    <row r="42" spans="1:11" ht="14.25" customHeight="1" x14ac:dyDescent="0.25"/>
    <row r="44" spans="1:11" s="62" customFormat="1" x14ac:dyDescent="0.25">
      <c r="A44" s="21"/>
      <c r="B44" s="21"/>
      <c r="C44" s="20"/>
      <c r="D44" s="20"/>
      <c r="E44" s="20"/>
      <c r="F44" s="20"/>
      <c r="G44" s="20"/>
      <c r="H44" s="20"/>
      <c r="I44" s="20"/>
      <c r="J44" s="20"/>
      <c r="K44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F28" sqref="F28"/>
    </sheetView>
  </sheetViews>
  <sheetFormatPr defaultColWidth="8.85546875" defaultRowHeight="15" x14ac:dyDescent="0.25"/>
  <cols>
    <col min="1" max="1" width="10.7109375" style="21" customWidth="1"/>
    <col min="2" max="2" width="12.28515625" style="21" customWidth="1"/>
    <col min="3" max="3" width="13.140625" style="20" bestFit="1" customWidth="1"/>
    <col min="4" max="4" width="13.140625" style="20" customWidth="1"/>
    <col min="5" max="5" width="17.28515625" style="20" customWidth="1"/>
    <col min="6" max="8" width="15.85546875" style="20" customWidth="1"/>
    <col min="9" max="9" width="15.85546875" style="47" customWidth="1"/>
    <col min="10" max="10" width="19" style="20" bestFit="1" customWidth="1"/>
    <col min="11" max="11" width="17.85546875" style="20" bestFit="1" customWidth="1"/>
    <col min="12" max="16384" width="8.85546875" style="21"/>
  </cols>
  <sheetData>
    <row r="1" spans="1:11" x14ac:dyDescent="0.25">
      <c r="A1" s="39" t="s">
        <v>0</v>
      </c>
      <c r="B1" s="39" t="s">
        <v>133</v>
      </c>
      <c r="C1" s="69" t="s">
        <v>29</v>
      </c>
      <c r="D1" s="47" t="s">
        <v>65</v>
      </c>
      <c r="E1" s="21" t="s">
        <v>9</v>
      </c>
      <c r="F1" s="21" t="s">
        <v>10</v>
      </c>
      <c r="G1" s="21" t="s">
        <v>8</v>
      </c>
      <c r="I1" s="39" t="s">
        <v>6</v>
      </c>
      <c r="J1" s="39" t="s">
        <v>2</v>
      </c>
      <c r="K1" s="39" t="s">
        <v>60</v>
      </c>
    </row>
    <row r="2" spans="1:11" x14ac:dyDescent="0.25">
      <c r="A2" s="48" t="s">
        <v>1</v>
      </c>
      <c r="B2" s="48"/>
      <c r="C2" s="47" t="s">
        <v>67</v>
      </c>
      <c r="D2" s="47" t="s">
        <v>89</v>
      </c>
      <c r="I2" s="47" t="s">
        <v>68</v>
      </c>
    </row>
    <row r="3" spans="1:11" x14ac:dyDescent="0.25">
      <c r="A3" s="48" t="s">
        <v>2</v>
      </c>
      <c r="B3" s="48"/>
    </row>
    <row r="4" spans="1:11" s="29" customFormat="1" ht="15.75" thickBot="1" x14ac:dyDescent="0.3">
      <c r="A4" s="29" t="s">
        <v>3</v>
      </c>
      <c r="C4" s="70">
        <v>0.9</v>
      </c>
      <c r="D4" s="93">
        <v>0</v>
      </c>
      <c r="E4" s="39" t="s">
        <v>59</v>
      </c>
      <c r="F4" s="39">
        <v>0</v>
      </c>
      <c r="G4" t="s">
        <v>145</v>
      </c>
      <c r="H4" s="39"/>
      <c r="I4" s="65">
        <f>(25.3/4.6668)*Ref!B$18</f>
        <v>1.9516585240421703E-2</v>
      </c>
      <c r="J4" s="41"/>
      <c r="K4" s="41"/>
    </row>
    <row r="5" spans="1:11" s="39" customFormat="1" ht="17.25" customHeight="1" x14ac:dyDescent="0.25">
      <c r="A5" s="32" t="s">
        <v>78</v>
      </c>
      <c r="B5" s="32" t="s">
        <v>134</v>
      </c>
      <c r="C5" s="16">
        <v>0.9</v>
      </c>
      <c r="D5" s="43">
        <f>1-(0.5736/(0.5736+2.9763+0.6597))</f>
        <v>0.86374002280501716</v>
      </c>
      <c r="E5" s="39" t="s">
        <v>59</v>
      </c>
      <c r="F5" s="39">
        <v>0</v>
      </c>
      <c r="G5" t="s">
        <v>145</v>
      </c>
      <c r="I5" s="65">
        <f>(25.3/4.6668)*Ref!B$18</f>
        <v>1.9516585240421703E-2</v>
      </c>
    </row>
    <row r="6" spans="1:11" x14ac:dyDescent="0.25">
      <c r="A6" s="25" t="s">
        <v>79</v>
      </c>
      <c r="B6" s="25" t="str">
        <f>B5</f>
        <v>steel</v>
      </c>
      <c r="C6" s="10">
        <f>C$5</f>
        <v>0.9</v>
      </c>
      <c r="D6" s="10">
        <f t="shared" ref="D6" si="0">D$5</f>
        <v>0.86374002280501716</v>
      </c>
      <c r="E6" s="21" t="str">
        <f>E5</f>
        <v>natural gas - IPCC</v>
      </c>
      <c r="F6" s="45">
        <v>1</v>
      </c>
      <c r="G6" t="s">
        <v>145</v>
      </c>
      <c r="H6" s="21"/>
      <c r="I6" s="65">
        <f>I5</f>
        <v>1.9516585240421703E-2</v>
      </c>
      <c r="J6" s="21"/>
      <c r="K6" s="21"/>
    </row>
    <row r="7" spans="1:11" s="29" customFormat="1" ht="15.75" customHeight="1" thickBot="1" x14ac:dyDescent="0.3">
      <c r="A7" s="30" t="s">
        <v>82</v>
      </c>
      <c r="B7" s="30" t="str">
        <f>B5</f>
        <v>steel</v>
      </c>
      <c r="C7" s="42">
        <f t="shared" ref="C7:D7" si="1">C$5</f>
        <v>0.9</v>
      </c>
      <c r="D7" s="42">
        <f t="shared" si="1"/>
        <v>0.86374002280501716</v>
      </c>
      <c r="E7" s="21" t="str">
        <f>E6</f>
        <v>natural gas - IPCC</v>
      </c>
      <c r="F7" s="45">
        <v>1</v>
      </c>
      <c r="G7" t="s">
        <v>145</v>
      </c>
      <c r="I7" s="59">
        <f>I5</f>
        <v>1.9516585240421703E-2</v>
      </c>
    </row>
    <row r="8" spans="1:11" ht="15" customHeight="1" x14ac:dyDescent="0.25">
      <c r="A8" s="32" t="s">
        <v>63</v>
      </c>
      <c r="B8" s="32" t="s">
        <v>134</v>
      </c>
      <c r="C8" s="16">
        <v>0.9</v>
      </c>
      <c r="D8" s="38">
        <f>1-(0.6535/(0.6535+0.8435+0.6597))</f>
        <v>0.69699077294014</v>
      </c>
      <c r="E8" s="39" t="s">
        <v>59</v>
      </c>
      <c r="F8" s="39">
        <v>0</v>
      </c>
      <c r="G8" t="s">
        <v>145</v>
      </c>
      <c r="H8" s="39"/>
      <c r="I8" s="65">
        <f>(25.3/4.6668)*Ref!B$18</f>
        <v>1.9516585240421703E-2</v>
      </c>
    </row>
    <row r="9" spans="1:11" s="39" customFormat="1" x14ac:dyDescent="0.25">
      <c r="A9" s="52" t="s">
        <v>80</v>
      </c>
      <c r="B9" s="25" t="str">
        <f>B8</f>
        <v>steel</v>
      </c>
      <c r="C9" s="20">
        <f>C8</f>
        <v>0.9</v>
      </c>
      <c r="D9" s="10">
        <f>D8</f>
        <v>0.69699077294014</v>
      </c>
      <c r="E9" s="21" t="str">
        <f>E8</f>
        <v>natural gas - IPCC</v>
      </c>
      <c r="F9" s="45">
        <v>1</v>
      </c>
      <c r="G9" t="s">
        <v>145</v>
      </c>
      <c r="H9" s="21"/>
      <c r="I9" s="65">
        <f>I8</f>
        <v>1.9516585240421703E-2</v>
      </c>
      <c r="J9" s="20"/>
      <c r="K9" s="20"/>
    </row>
    <row r="10" spans="1:11" s="29" customFormat="1" ht="15.75" thickBot="1" x14ac:dyDescent="0.3">
      <c r="A10" s="54" t="s">
        <v>83</v>
      </c>
      <c r="B10" s="30" t="str">
        <f>B8</f>
        <v>steel</v>
      </c>
      <c r="C10" s="41">
        <f>C8</f>
        <v>0.9</v>
      </c>
      <c r="D10" s="42">
        <f>D8</f>
        <v>0.69699077294014</v>
      </c>
      <c r="E10" s="21" t="str">
        <f>E9</f>
        <v>natural gas - IPCC</v>
      </c>
      <c r="F10" s="45">
        <v>1</v>
      </c>
      <c r="G10" t="s">
        <v>145</v>
      </c>
      <c r="H10" s="36"/>
      <c r="I10" s="59">
        <f>I8</f>
        <v>1.9516585240421703E-2</v>
      </c>
      <c r="J10" s="41"/>
      <c r="K10" s="41"/>
    </row>
    <row r="11" spans="1:11" x14ac:dyDescent="0.25">
      <c r="A11" s="53" t="s">
        <v>64</v>
      </c>
      <c r="B11" s="32" t="s">
        <v>134</v>
      </c>
      <c r="C11" s="70">
        <v>0.9</v>
      </c>
      <c r="D11" s="93">
        <v>0</v>
      </c>
      <c r="E11" s="39" t="s">
        <v>59</v>
      </c>
      <c r="F11" s="39">
        <v>0</v>
      </c>
      <c r="G11" t="s">
        <v>145</v>
      </c>
      <c r="H11" s="39"/>
      <c r="I11" s="65">
        <f>(25.3/4.6668)*Ref!B$18</f>
        <v>1.9516585240421703E-2</v>
      </c>
    </row>
    <row r="12" spans="1:11" ht="16.5" customHeight="1" x14ac:dyDescent="0.25">
      <c r="A12" s="46" t="s">
        <v>81</v>
      </c>
      <c r="B12" s="25" t="str">
        <f>B11</f>
        <v>steel</v>
      </c>
      <c r="C12" s="20">
        <f>C11</f>
        <v>0.9</v>
      </c>
      <c r="D12" s="20">
        <f>D11</f>
        <v>0</v>
      </c>
      <c r="E12" s="26" t="s">
        <v>59</v>
      </c>
      <c r="F12" s="45">
        <v>1</v>
      </c>
      <c r="G12" t="s">
        <v>145</v>
      </c>
      <c r="H12" s="27"/>
      <c r="I12" s="65">
        <f>I11</f>
        <v>1.9516585240421703E-2</v>
      </c>
    </row>
    <row r="13" spans="1:11" s="57" customFormat="1" ht="15.75" thickBot="1" x14ac:dyDescent="0.3">
      <c r="A13" s="54" t="s">
        <v>84</v>
      </c>
      <c r="B13" s="30" t="str">
        <f>B11</f>
        <v>steel</v>
      </c>
      <c r="C13" s="41">
        <f>C11</f>
        <v>0.9</v>
      </c>
      <c r="D13" s="41">
        <f>D11</f>
        <v>0</v>
      </c>
      <c r="E13" s="26" t="s">
        <v>59</v>
      </c>
      <c r="F13" s="45">
        <v>1</v>
      </c>
      <c r="G13" t="s">
        <v>145</v>
      </c>
      <c r="H13" s="36"/>
      <c r="I13" s="59">
        <f>I11</f>
        <v>1.9516585240421703E-2</v>
      </c>
      <c r="J13" s="41"/>
      <c r="K13" s="41"/>
    </row>
    <row r="14" spans="1:11" x14ac:dyDescent="0.25">
      <c r="A14" s="21" t="s">
        <v>72</v>
      </c>
      <c r="B14" s="32" t="s">
        <v>134</v>
      </c>
      <c r="C14" s="70">
        <v>0.9</v>
      </c>
      <c r="D14" s="94">
        <v>0</v>
      </c>
      <c r="E14" s="39" t="s">
        <v>59</v>
      </c>
      <c r="F14" s="39">
        <v>0</v>
      </c>
      <c r="G14" t="s">
        <v>145</v>
      </c>
      <c r="H14" s="39"/>
      <c r="I14" s="65">
        <f>(25.3/4.6668)*Ref!B$18</f>
        <v>1.9516585240421703E-2</v>
      </c>
      <c r="J14" s="21"/>
      <c r="K14" s="21"/>
    </row>
    <row r="15" spans="1:11" x14ac:dyDescent="0.25">
      <c r="A15" s="21" t="s">
        <v>73</v>
      </c>
      <c r="B15" s="25" t="str">
        <f>B14</f>
        <v>steel</v>
      </c>
      <c r="C15" s="20">
        <f>C14</f>
        <v>0.9</v>
      </c>
      <c r="D15" s="10">
        <f>D14</f>
        <v>0</v>
      </c>
      <c r="E15" s="21" t="str">
        <f>E14</f>
        <v>natural gas - IPCC</v>
      </c>
      <c r="F15" s="45">
        <v>1</v>
      </c>
      <c r="G15" t="s">
        <v>145</v>
      </c>
      <c r="H15" s="21"/>
      <c r="I15" s="65">
        <f>I14</f>
        <v>1.9516585240421703E-2</v>
      </c>
    </row>
    <row r="16" spans="1:11" s="29" customFormat="1" ht="15.75" thickBot="1" x14ac:dyDescent="0.3">
      <c r="A16" s="29" t="s">
        <v>74</v>
      </c>
      <c r="B16" s="30" t="str">
        <f>B14</f>
        <v>steel</v>
      </c>
      <c r="C16" s="41">
        <f>C14</f>
        <v>0.9</v>
      </c>
      <c r="D16" s="42">
        <f>D14</f>
        <v>0</v>
      </c>
      <c r="E16" s="26" t="s">
        <v>59</v>
      </c>
      <c r="F16" s="45">
        <v>1</v>
      </c>
      <c r="G16" t="s">
        <v>145</v>
      </c>
      <c r="H16" s="36"/>
      <c r="I16" s="59">
        <f>I14</f>
        <v>1.9516585240421703E-2</v>
      </c>
      <c r="J16" s="41"/>
      <c r="K16" s="41"/>
    </row>
    <row r="17" spans="1:11" s="39" customFormat="1" x14ac:dyDescent="0.25">
      <c r="A17" s="21" t="s">
        <v>75</v>
      </c>
      <c r="B17" s="32" t="s">
        <v>134</v>
      </c>
      <c r="C17" s="70">
        <v>0.9</v>
      </c>
      <c r="D17" s="94">
        <v>0</v>
      </c>
      <c r="E17" s="39" t="s">
        <v>59</v>
      </c>
      <c r="F17" s="39">
        <v>0</v>
      </c>
      <c r="G17" t="s">
        <v>145</v>
      </c>
      <c r="I17" s="65">
        <f>(25.3/4.6668)*Ref!B$18</f>
        <v>1.9516585240421703E-2</v>
      </c>
      <c r="J17" s="20"/>
      <c r="K17" s="20"/>
    </row>
    <row r="18" spans="1:11" x14ac:dyDescent="0.25">
      <c r="A18" s="21" t="s">
        <v>76</v>
      </c>
      <c r="B18" s="25" t="str">
        <f>B17</f>
        <v>steel</v>
      </c>
      <c r="C18" s="20">
        <f>C17</f>
        <v>0.9</v>
      </c>
      <c r="D18" s="10">
        <f>D17</f>
        <v>0</v>
      </c>
      <c r="E18" s="21" t="str">
        <f>E17</f>
        <v>natural gas - IPCC</v>
      </c>
      <c r="F18" s="45">
        <v>1</v>
      </c>
      <c r="G18" t="s">
        <v>145</v>
      </c>
      <c r="H18" s="21"/>
      <c r="I18" s="65">
        <f>I17</f>
        <v>1.9516585240421703E-2</v>
      </c>
    </row>
    <row r="19" spans="1:11" s="29" customFormat="1" ht="15.75" thickBot="1" x14ac:dyDescent="0.3">
      <c r="A19" s="29" t="s">
        <v>77</v>
      </c>
      <c r="B19" s="30" t="str">
        <f>B17</f>
        <v>steel</v>
      </c>
      <c r="C19" s="41">
        <f>C17</f>
        <v>0.9</v>
      </c>
      <c r="D19" s="42">
        <f>D17</f>
        <v>0</v>
      </c>
      <c r="E19" s="26" t="s">
        <v>59</v>
      </c>
      <c r="F19" s="45">
        <v>1</v>
      </c>
      <c r="G19" t="s">
        <v>145</v>
      </c>
      <c r="H19" s="36"/>
      <c r="I19" s="59">
        <f>I17</f>
        <v>1.9516585240421703E-2</v>
      </c>
      <c r="J19" s="41"/>
      <c r="K19" s="41"/>
    </row>
    <row r="20" spans="1:11" x14ac:dyDescent="0.25">
      <c r="A20" t="s">
        <v>135</v>
      </c>
      <c r="B20" s="21" t="s">
        <v>136</v>
      </c>
      <c r="C20" s="10">
        <f>C5</f>
        <v>0.9</v>
      </c>
      <c r="D20" s="10">
        <f t="shared" ref="D20:I20" si="2">D5</f>
        <v>0.86374002280501716</v>
      </c>
      <c r="E20" s="10" t="str">
        <f t="shared" si="2"/>
        <v>natural gas - IPCC</v>
      </c>
      <c r="F20" s="10">
        <f t="shared" si="2"/>
        <v>0</v>
      </c>
      <c r="G20" s="10" t="str">
        <f t="shared" si="2"/>
        <v>dry wood chips (EU no swiss)</v>
      </c>
      <c r="H20" s="10">
        <f t="shared" si="2"/>
        <v>0</v>
      </c>
      <c r="I20" s="10">
        <f t="shared" si="2"/>
        <v>1.9516585240421703E-2</v>
      </c>
    </row>
    <row r="21" spans="1:11" s="39" customFormat="1" x14ac:dyDescent="0.25">
      <c r="A21" s="21"/>
      <c r="B21" s="21"/>
      <c r="C21" s="20"/>
      <c r="D21" s="20"/>
      <c r="E21" s="20"/>
      <c r="F21" s="20"/>
      <c r="G21" s="20"/>
      <c r="H21" s="20"/>
      <c r="I21" s="47"/>
      <c r="J21" s="20"/>
      <c r="K21" s="20"/>
    </row>
    <row r="25" spans="1:11" s="39" customFormat="1" x14ac:dyDescent="0.25">
      <c r="A25" s="21"/>
      <c r="B25" s="21"/>
      <c r="C25" s="20"/>
      <c r="D25" s="20"/>
      <c r="E25" s="20"/>
      <c r="F25" s="20"/>
      <c r="G25" s="20"/>
      <c r="H25" s="20"/>
      <c r="I25" s="47"/>
      <c r="J25" s="20"/>
      <c r="K25" s="20"/>
    </row>
    <row r="27" spans="1:11" ht="15.75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0" sqref="D20:G20"/>
    </sheetView>
  </sheetViews>
  <sheetFormatPr defaultColWidth="8.85546875" defaultRowHeight="15" x14ac:dyDescent="0.25"/>
  <cols>
    <col min="1" max="1" width="11.28515625" style="21" customWidth="1"/>
    <col min="2" max="2" width="15.28515625" style="21" customWidth="1"/>
    <col min="3" max="3" width="13.7109375" style="21" customWidth="1"/>
    <col min="4" max="6" width="8.85546875" style="21"/>
    <col min="7" max="7" width="8.85546875" style="66"/>
    <col min="8" max="16384" width="8.85546875" style="21"/>
  </cols>
  <sheetData>
    <row r="1" spans="1:8" x14ac:dyDescent="0.25">
      <c r="A1" s="71" t="s">
        <v>43</v>
      </c>
      <c r="B1" s="39" t="s">
        <v>133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66</v>
      </c>
      <c r="H1" s="72" t="s">
        <v>47</v>
      </c>
    </row>
    <row r="2" spans="1:8" x14ac:dyDescent="0.25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84" t="s">
        <v>90</v>
      </c>
      <c r="H2" s="76"/>
    </row>
    <row r="3" spans="1:8" x14ac:dyDescent="0.25">
      <c r="A3" s="73" t="s">
        <v>2</v>
      </c>
      <c r="B3" s="48"/>
      <c r="C3" s="74" t="s">
        <v>52</v>
      </c>
      <c r="D3" s="75" t="s">
        <v>53</v>
      </c>
      <c r="E3" s="76"/>
      <c r="F3" s="76"/>
      <c r="G3" s="84"/>
      <c r="H3" s="76"/>
    </row>
    <row r="4" spans="1:8" s="29" customFormat="1" ht="15.75" thickBot="1" x14ac:dyDescent="0.3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1" t="s">
        <v>54</v>
      </c>
    </row>
    <row r="5" spans="1:8" s="39" customFormat="1" x14ac:dyDescent="0.25">
      <c r="A5" s="32" t="s">
        <v>78</v>
      </c>
      <c r="B5" s="32" t="s">
        <v>134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5"/>
    </row>
    <row r="6" spans="1:8" x14ac:dyDescent="0.25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5">
        <f>G5</f>
        <v>1E-3</v>
      </c>
    </row>
    <row r="7" spans="1:8" s="29" customFormat="1" ht="15.75" thickBot="1" x14ac:dyDescent="0.3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6">
        <f>G5</f>
        <v>1E-3</v>
      </c>
    </row>
    <row r="8" spans="1:8" x14ac:dyDescent="0.25">
      <c r="A8" s="60" t="s">
        <v>63</v>
      </c>
      <c r="B8" s="32" t="s">
        <v>134</v>
      </c>
      <c r="C8" s="77">
        <v>1</v>
      </c>
      <c r="D8" s="77">
        <v>0.9</v>
      </c>
      <c r="E8" s="43">
        <v>0.62</v>
      </c>
      <c r="F8" s="77">
        <v>0</v>
      </c>
      <c r="G8" s="22">
        <f>0.001</f>
        <v>1E-3</v>
      </c>
      <c r="H8" s="78"/>
    </row>
    <row r="9" spans="1:8" s="39" customFormat="1" x14ac:dyDescent="0.25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0.62</v>
      </c>
      <c r="F9" s="38">
        <f t="shared" si="2"/>
        <v>0</v>
      </c>
      <c r="G9" s="95">
        <f>G8</f>
        <v>1E-3</v>
      </c>
      <c r="H9" s="21"/>
    </row>
    <row r="10" spans="1:8" s="29" customFormat="1" ht="15.75" thickBot="1" x14ac:dyDescent="0.3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0.62</v>
      </c>
      <c r="F10" s="37">
        <f t="shared" si="3"/>
        <v>0</v>
      </c>
      <c r="G10" s="96">
        <f>G8</f>
        <v>1E-3</v>
      </c>
    </row>
    <row r="11" spans="1:8" x14ac:dyDescent="0.25">
      <c r="A11" s="53" t="s">
        <v>64</v>
      </c>
      <c r="B11" s="32" t="s">
        <v>134</v>
      </c>
      <c r="C11" s="43">
        <v>1</v>
      </c>
      <c r="D11" s="43">
        <v>0.9</v>
      </c>
      <c r="E11" s="43">
        <f>0.46</f>
        <v>0.46</v>
      </c>
      <c r="F11" s="43">
        <v>0</v>
      </c>
      <c r="G11" s="50">
        <v>0</v>
      </c>
      <c r="H11" s="21" t="s">
        <v>105</v>
      </c>
    </row>
    <row r="12" spans="1:8" x14ac:dyDescent="0.25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0.46</v>
      </c>
      <c r="F12" s="38">
        <f t="shared" si="4"/>
        <v>0</v>
      </c>
      <c r="G12" s="49">
        <f>G11</f>
        <v>0</v>
      </c>
    </row>
    <row r="13" spans="1:8" s="57" customFormat="1" ht="15.75" thickBot="1" x14ac:dyDescent="0.3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0.46</v>
      </c>
      <c r="F13" s="37">
        <f t="shared" si="5"/>
        <v>0</v>
      </c>
      <c r="G13" s="83">
        <f>G11</f>
        <v>0</v>
      </c>
      <c r="H13" s="29"/>
    </row>
    <row r="14" spans="1:8" x14ac:dyDescent="0.25">
      <c r="A14" s="21" t="s">
        <v>72</v>
      </c>
      <c r="B14" s="32" t="s">
        <v>134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5" t="s">
        <v>131</v>
      </c>
    </row>
    <row r="15" spans="1:8" x14ac:dyDescent="0.25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5.75" thickBot="1" x14ac:dyDescent="0.3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3">
        <f>G14</f>
        <v>1E-3</v>
      </c>
    </row>
    <row r="17" spans="1:8" s="39" customFormat="1" x14ac:dyDescent="0.25">
      <c r="A17" s="21" t="s">
        <v>75</v>
      </c>
      <c r="B17" s="32" t="s">
        <v>134</v>
      </c>
      <c r="C17" s="43">
        <v>1</v>
      </c>
      <c r="D17" s="43">
        <v>1</v>
      </c>
      <c r="E17" s="43">
        <f>0</f>
        <v>0</v>
      </c>
      <c r="F17" s="43">
        <v>0</v>
      </c>
      <c r="G17" s="39">
        <v>0</v>
      </c>
      <c r="H17" s="21" t="s">
        <v>107</v>
      </c>
    </row>
    <row r="18" spans="1:8" x14ac:dyDescent="0.25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1</v>
      </c>
      <c r="E18" s="38">
        <f t="shared" si="8"/>
        <v>0</v>
      </c>
      <c r="F18" s="38">
        <f t="shared" si="8"/>
        <v>0</v>
      </c>
      <c r="G18" s="26">
        <f>G17</f>
        <v>0</v>
      </c>
      <c r="H18" s="21" t="s">
        <v>107</v>
      </c>
    </row>
    <row r="19" spans="1:8" s="29" customFormat="1" ht="15.75" thickBot="1" x14ac:dyDescent="0.3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1</v>
      </c>
      <c r="E19" s="37">
        <f t="shared" si="9"/>
        <v>0</v>
      </c>
      <c r="F19" s="37">
        <f t="shared" si="9"/>
        <v>0</v>
      </c>
      <c r="G19" s="58">
        <f>G17</f>
        <v>0</v>
      </c>
      <c r="H19" s="21" t="s">
        <v>107</v>
      </c>
    </row>
    <row r="20" spans="1:8" x14ac:dyDescent="0.25">
      <c r="A20" t="s">
        <v>135</v>
      </c>
      <c r="B20" s="21" t="s">
        <v>136</v>
      </c>
      <c r="C20" s="21">
        <f>C4</f>
        <v>1</v>
      </c>
      <c r="D20" s="21">
        <f t="shared" ref="D20:G20" si="10">D4</f>
        <v>0.9</v>
      </c>
      <c r="E20" s="21">
        <f t="shared" si="10"/>
        <v>1.05</v>
      </c>
      <c r="F20" s="21">
        <f t="shared" si="10"/>
        <v>0</v>
      </c>
      <c r="G20" s="21">
        <f t="shared" si="10"/>
        <v>0</v>
      </c>
    </row>
    <row r="21" spans="1:8" s="39" customFormat="1" x14ac:dyDescent="0.25">
      <c r="A21" s="21"/>
      <c r="B21" s="21"/>
      <c r="C21" s="21"/>
      <c r="D21" s="21"/>
      <c r="E21" s="21"/>
      <c r="F21" s="21"/>
      <c r="G21" s="66"/>
      <c r="H21" s="21"/>
    </row>
    <row r="25" spans="1:8" s="39" customFormat="1" x14ac:dyDescent="0.25">
      <c r="A25" s="21"/>
      <c r="B25" s="21"/>
      <c r="C25" s="21"/>
      <c r="D25" s="21"/>
      <c r="E25" s="21"/>
      <c r="F25" s="21"/>
      <c r="G25" s="66"/>
      <c r="H25" s="21"/>
    </row>
    <row r="33" spans="1:8" s="78" customFormat="1" x14ac:dyDescent="0.25">
      <c r="A33" s="21"/>
      <c r="B33" s="21"/>
      <c r="C33" s="21"/>
      <c r="D33" s="21"/>
      <c r="E33" s="21"/>
      <c r="F33" s="21"/>
      <c r="G33" s="66"/>
      <c r="H33" s="21"/>
    </row>
    <row r="37" spans="1:8" s="39" customFormat="1" x14ac:dyDescent="0.25">
      <c r="A37" s="21"/>
      <c r="B37" s="21"/>
      <c r="C37" s="21"/>
      <c r="D37" s="21"/>
      <c r="E37" s="21"/>
      <c r="F37" s="21"/>
      <c r="G37" s="66"/>
      <c r="H37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0" sqref="H20"/>
    </sheetView>
  </sheetViews>
  <sheetFormatPr defaultColWidth="8.85546875" defaultRowHeight="15" x14ac:dyDescent="0.25"/>
  <cols>
    <col min="1" max="2" width="12.28515625" style="21" customWidth="1"/>
    <col min="3" max="3" width="13.7109375" style="21" customWidth="1"/>
    <col min="4" max="6" width="8.85546875" style="21"/>
    <col min="7" max="7" width="8.85546875" style="66"/>
    <col min="8" max="16384" width="8.85546875" style="21"/>
  </cols>
  <sheetData>
    <row r="1" spans="1:8" x14ac:dyDescent="0.25">
      <c r="A1" s="71" t="s">
        <v>43</v>
      </c>
      <c r="B1" s="39" t="s">
        <v>133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66</v>
      </c>
      <c r="H1" s="72" t="s">
        <v>47</v>
      </c>
    </row>
    <row r="2" spans="1:8" x14ac:dyDescent="0.25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84" t="s">
        <v>90</v>
      </c>
      <c r="H2" s="76"/>
    </row>
    <row r="3" spans="1:8" x14ac:dyDescent="0.25">
      <c r="A3" s="73" t="s">
        <v>2</v>
      </c>
      <c r="B3" s="48"/>
      <c r="C3" s="74" t="s">
        <v>52</v>
      </c>
      <c r="D3" s="75" t="s">
        <v>53</v>
      </c>
      <c r="E3" s="76"/>
      <c r="F3" s="76"/>
      <c r="G3" s="84"/>
      <c r="H3" s="76"/>
    </row>
    <row r="4" spans="1:8" s="29" customFormat="1" ht="15.75" thickBot="1" x14ac:dyDescent="0.3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1"/>
    </row>
    <row r="5" spans="1:8" s="39" customFormat="1" x14ac:dyDescent="0.25">
      <c r="A5" s="32" t="s">
        <v>78</v>
      </c>
      <c r="B5" s="32" t="s">
        <v>134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5"/>
    </row>
    <row r="6" spans="1:8" x14ac:dyDescent="0.25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5">
        <f>G5</f>
        <v>1E-3</v>
      </c>
    </row>
    <row r="7" spans="1:8" s="29" customFormat="1" ht="15.75" thickBot="1" x14ac:dyDescent="0.3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6">
        <f>G5</f>
        <v>1E-3</v>
      </c>
    </row>
    <row r="8" spans="1:8" x14ac:dyDescent="0.25">
      <c r="A8" s="60" t="s">
        <v>63</v>
      </c>
      <c r="B8" s="32" t="s">
        <v>134</v>
      </c>
      <c r="C8" s="43">
        <v>1</v>
      </c>
      <c r="D8" s="43">
        <v>0.9</v>
      </c>
      <c r="E8" s="43">
        <f>151.9/1.119*Ref!$B$18</f>
        <v>0.48868632707774806</v>
      </c>
      <c r="F8" s="43">
        <f>3.7667/1.243</f>
        <v>3.0303298471440061</v>
      </c>
      <c r="G8" s="22">
        <f>0.001</f>
        <v>1E-3</v>
      </c>
      <c r="H8" s="78"/>
    </row>
    <row r="9" spans="1:8" s="39" customFormat="1" x14ac:dyDescent="0.25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0.48868632707774806</v>
      </c>
      <c r="F9" s="38">
        <f t="shared" si="2"/>
        <v>3.0303298471440061</v>
      </c>
      <c r="G9" s="95">
        <f>G8</f>
        <v>1E-3</v>
      </c>
      <c r="H9" s="21"/>
    </row>
    <row r="10" spans="1:8" s="29" customFormat="1" ht="15.75" thickBot="1" x14ac:dyDescent="0.3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0.48868632707774806</v>
      </c>
      <c r="F10" s="37">
        <f t="shared" si="3"/>
        <v>3.0303298471440061</v>
      </c>
      <c r="G10" s="96">
        <f>G8</f>
        <v>1E-3</v>
      </c>
    </row>
    <row r="11" spans="1:8" x14ac:dyDescent="0.25">
      <c r="A11" s="53" t="s">
        <v>64</v>
      </c>
      <c r="B11" s="32" t="s">
        <v>134</v>
      </c>
      <c r="C11" s="43">
        <v>1</v>
      </c>
      <c r="D11" s="43">
        <v>0.9</v>
      </c>
      <c r="E11" s="43">
        <f>151.9/1.119*Ref!$B$18</f>
        <v>0.48868632707774806</v>
      </c>
      <c r="F11" s="43">
        <f>3.7667/1.243</f>
        <v>3.0303298471440061</v>
      </c>
      <c r="G11" s="22">
        <f>0.001</f>
        <v>1E-3</v>
      </c>
    </row>
    <row r="12" spans="1:8" x14ac:dyDescent="0.25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0.48868632707774806</v>
      </c>
      <c r="F12" s="38">
        <f t="shared" si="4"/>
        <v>3.0303298471440061</v>
      </c>
      <c r="G12" s="49">
        <f>G11</f>
        <v>1E-3</v>
      </c>
    </row>
    <row r="13" spans="1:8" s="57" customFormat="1" ht="15.75" thickBot="1" x14ac:dyDescent="0.3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0.48868632707774806</v>
      </c>
      <c r="F13" s="37">
        <f t="shared" si="5"/>
        <v>3.0303298471440061</v>
      </c>
      <c r="G13" s="83">
        <f>G11</f>
        <v>1E-3</v>
      </c>
      <c r="H13" s="29"/>
    </row>
    <row r="14" spans="1:8" x14ac:dyDescent="0.25">
      <c r="A14" s="21" t="s">
        <v>72</v>
      </c>
      <c r="B14" s="32" t="s">
        <v>134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5"/>
    </row>
    <row r="15" spans="1:8" x14ac:dyDescent="0.25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5.75" thickBot="1" x14ac:dyDescent="0.3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3">
        <f>G14</f>
        <v>1E-3</v>
      </c>
    </row>
    <row r="17" spans="1:8" s="39" customFormat="1" x14ac:dyDescent="0.25">
      <c r="A17" s="21" t="s">
        <v>75</v>
      </c>
      <c r="B17" s="32" t="s">
        <v>134</v>
      </c>
      <c r="C17" s="43">
        <v>1</v>
      </c>
      <c r="D17" s="43">
        <v>0.9</v>
      </c>
      <c r="E17" s="43">
        <f>151.9/1.119*Ref!$B$18</f>
        <v>0.48868632707774806</v>
      </c>
      <c r="F17" s="43">
        <f>3.7667/1.243</f>
        <v>3.0303298471440061</v>
      </c>
      <c r="G17" s="22">
        <f>0.001</f>
        <v>1E-3</v>
      </c>
      <c r="H17" s="21"/>
    </row>
    <row r="18" spans="1:8" x14ac:dyDescent="0.25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0.9</v>
      </c>
      <c r="E18" s="38">
        <f t="shared" si="8"/>
        <v>0.48868632707774806</v>
      </c>
      <c r="F18" s="38">
        <f t="shared" si="8"/>
        <v>3.0303298471440061</v>
      </c>
      <c r="G18" s="26">
        <f>G17</f>
        <v>1E-3</v>
      </c>
    </row>
    <row r="19" spans="1:8" s="29" customFormat="1" ht="15.75" thickBot="1" x14ac:dyDescent="0.3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0.9</v>
      </c>
      <c r="E19" s="37">
        <f t="shared" si="9"/>
        <v>0.48868632707774806</v>
      </c>
      <c r="F19" s="37">
        <f t="shared" si="9"/>
        <v>3.0303298471440061</v>
      </c>
      <c r="G19" s="58">
        <f>G17</f>
        <v>1E-3</v>
      </c>
      <c r="H19" s="21"/>
    </row>
    <row r="20" spans="1:8" x14ac:dyDescent="0.25">
      <c r="A20" t="s">
        <v>135</v>
      </c>
      <c r="B20" s="21" t="s">
        <v>136</v>
      </c>
      <c r="C20" s="21">
        <f>C4</f>
        <v>1</v>
      </c>
      <c r="D20" s="21">
        <f>D4</f>
        <v>0.9</v>
      </c>
      <c r="E20" s="21">
        <f>E4</f>
        <v>1.05</v>
      </c>
      <c r="F20" s="21">
        <f>F4</f>
        <v>0</v>
      </c>
      <c r="G20" s="21">
        <f>G4</f>
        <v>0</v>
      </c>
    </row>
    <row r="21" spans="1:8" s="39" customFormat="1" x14ac:dyDescent="0.25">
      <c r="A21" s="21"/>
      <c r="B21" s="21"/>
      <c r="C21" s="21"/>
      <c r="D21" s="21"/>
      <c r="E21" s="21"/>
      <c r="F21" s="21"/>
      <c r="G21" s="66"/>
      <c r="H21" s="21"/>
    </row>
    <row r="25" spans="1:8" s="39" customFormat="1" x14ac:dyDescent="0.25">
      <c r="A25" s="21"/>
      <c r="B25" s="21"/>
      <c r="C25" s="21"/>
      <c r="D25" s="21"/>
      <c r="E25" s="21"/>
      <c r="F25" s="21"/>
      <c r="G25" s="66"/>
      <c r="H25" s="21"/>
    </row>
    <row r="33" spans="1:8" s="78" customFormat="1" x14ac:dyDescent="0.25">
      <c r="A33" s="21"/>
      <c r="B33" s="21"/>
      <c r="C33" s="21"/>
      <c r="D33" s="21"/>
      <c r="E33" s="21"/>
      <c r="F33" s="21"/>
      <c r="G33" s="66"/>
      <c r="H33" s="21"/>
    </row>
    <row r="37" spans="1:8" s="39" customFormat="1" x14ac:dyDescent="0.25">
      <c r="A37" s="21"/>
      <c r="B37" s="21"/>
      <c r="C37" s="21"/>
      <c r="D37" s="21"/>
      <c r="E37" s="21"/>
      <c r="F37" s="21"/>
      <c r="G37" s="66"/>
      <c r="H37" s="2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G28" sqref="G28"/>
    </sheetView>
  </sheetViews>
  <sheetFormatPr defaultColWidth="11.42578125" defaultRowHeight="15" x14ac:dyDescent="0.25"/>
  <sheetData>
    <row r="1" spans="1:4" x14ac:dyDescent="0.25">
      <c r="A1" s="71" t="s">
        <v>43</v>
      </c>
      <c r="B1" s="39" t="s">
        <v>133</v>
      </c>
      <c r="C1" s="71" t="s">
        <v>129</v>
      </c>
      <c r="D1" s="72" t="s">
        <v>6</v>
      </c>
    </row>
    <row r="2" spans="1:4" x14ac:dyDescent="0.25">
      <c r="A2" s="73" t="s">
        <v>38</v>
      </c>
      <c r="B2" s="48"/>
      <c r="C2" s="74" t="s">
        <v>130</v>
      </c>
      <c r="D2" s="75" t="s">
        <v>50</v>
      </c>
    </row>
    <row r="3" spans="1:4" x14ac:dyDescent="0.25">
      <c r="A3" s="73" t="s">
        <v>2</v>
      </c>
      <c r="B3" s="48"/>
      <c r="C3" s="74" t="s">
        <v>52</v>
      </c>
      <c r="D3" s="76"/>
    </row>
    <row r="4" spans="1:4" ht="15.75" thickBot="1" x14ac:dyDescent="0.3">
      <c r="A4" s="79" t="s">
        <v>3</v>
      </c>
      <c r="B4" s="29"/>
      <c r="C4" s="43">
        <v>0</v>
      </c>
      <c r="D4" s="80">
        <v>0.32</v>
      </c>
    </row>
    <row r="5" spans="1:4" x14ac:dyDescent="0.25">
      <c r="A5" s="32" t="s">
        <v>78</v>
      </c>
      <c r="B5" s="32" t="s">
        <v>134</v>
      </c>
      <c r="C5" s="43">
        <v>0</v>
      </c>
      <c r="D5" s="43">
        <f>90*Ref!$B$18</f>
        <v>0.32400000000000001</v>
      </c>
    </row>
    <row r="6" spans="1:4" x14ac:dyDescent="0.25">
      <c r="A6" s="25" t="s">
        <v>79</v>
      </c>
      <c r="B6" s="25" t="str">
        <f>B5</f>
        <v>steel</v>
      </c>
      <c r="C6" s="38">
        <f>C$5</f>
        <v>0</v>
      </c>
      <c r="D6" s="38">
        <f t="shared" ref="D6" si="0">D$5</f>
        <v>0.32400000000000001</v>
      </c>
    </row>
    <row r="7" spans="1:4" ht="15.75" thickBot="1" x14ac:dyDescent="0.3">
      <c r="A7" s="30" t="s">
        <v>82</v>
      </c>
      <c r="B7" s="30" t="str">
        <f>B5</f>
        <v>steel</v>
      </c>
      <c r="C7" s="37">
        <f t="shared" ref="C7:D7" si="1">C$5</f>
        <v>0</v>
      </c>
      <c r="D7" s="37">
        <f t="shared" si="1"/>
        <v>0.32400000000000001</v>
      </c>
    </row>
    <row r="8" spans="1:4" x14ac:dyDescent="0.25">
      <c r="A8" s="60" t="s">
        <v>63</v>
      </c>
      <c r="B8" s="32" t="s">
        <v>134</v>
      </c>
      <c r="C8" s="43">
        <v>0</v>
      </c>
      <c r="D8" s="43">
        <f>90*Ref!$B$18</f>
        <v>0.32400000000000001</v>
      </c>
    </row>
    <row r="9" spans="1:4" x14ac:dyDescent="0.25">
      <c r="A9" s="52" t="s">
        <v>80</v>
      </c>
      <c r="B9" s="25" t="str">
        <f>B8</f>
        <v>steel</v>
      </c>
      <c r="C9" s="38">
        <f t="shared" ref="C9" si="2">C8</f>
        <v>0</v>
      </c>
      <c r="D9" s="38">
        <f>D8</f>
        <v>0.32400000000000001</v>
      </c>
    </row>
    <row r="10" spans="1:4" ht="15.75" thickBot="1" x14ac:dyDescent="0.3">
      <c r="A10" s="54" t="s">
        <v>83</v>
      </c>
      <c r="B10" s="30" t="str">
        <f>B8</f>
        <v>steel</v>
      </c>
      <c r="C10" s="37">
        <f t="shared" ref="C10:D10" si="3">C8</f>
        <v>0</v>
      </c>
      <c r="D10" s="37">
        <f t="shared" si="3"/>
        <v>0.32400000000000001</v>
      </c>
    </row>
    <row r="11" spans="1:4" x14ac:dyDescent="0.25">
      <c r="A11" s="53" t="s">
        <v>64</v>
      </c>
      <c r="B11" s="32" t="s">
        <v>134</v>
      </c>
      <c r="C11" s="43">
        <v>0</v>
      </c>
      <c r="D11" s="43">
        <f>90*Ref!$B$18</f>
        <v>0.32400000000000001</v>
      </c>
    </row>
    <row r="12" spans="1:4" x14ac:dyDescent="0.25">
      <c r="A12" s="46" t="s">
        <v>81</v>
      </c>
      <c r="B12" s="25" t="str">
        <f>B11</f>
        <v>steel</v>
      </c>
      <c r="C12" s="38">
        <f t="shared" ref="C12:D12" si="4">C11</f>
        <v>0</v>
      </c>
      <c r="D12" s="38">
        <f t="shared" si="4"/>
        <v>0.32400000000000001</v>
      </c>
    </row>
    <row r="13" spans="1:4" ht="15.75" thickBot="1" x14ac:dyDescent="0.3">
      <c r="A13" s="54" t="s">
        <v>84</v>
      </c>
      <c r="B13" s="30" t="str">
        <f>B11</f>
        <v>steel</v>
      </c>
      <c r="C13" s="37">
        <f t="shared" ref="C13:D13" si="5">C11</f>
        <v>0</v>
      </c>
      <c r="D13" s="37">
        <f t="shared" si="5"/>
        <v>0.32400000000000001</v>
      </c>
    </row>
    <row r="14" spans="1:4" x14ac:dyDescent="0.25">
      <c r="A14" s="21" t="s">
        <v>72</v>
      </c>
      <c r="B14" s="32" t="s">
        <v>134</v>
      </c>
      <c r="C14" s="43">
        <v>0</v>
      </c>
      <c r="D14" s="43">
        <f>90*Ref!$B$18</f>
        <v>0.32400000000000001</v>
      </c>
    </row>
    <row r="15" spans="1:4" x14ac:dyDescent="0.25">
      <c r="A15" s="21" t="s">
        <v>73</v>
      </c>
      <c r="B15" s="25" t="str">
        <f>B14</f>
        <v>steel</v>
      </c>
      <c r="C15" s="38">
        <f t="shared" ref="C15:D15" si="6">C14</f>
        <v>0</v>
      </c>
      <c r="D15" s="38">
        <f t="shared" si="6"/>
        <v>0.32400000000000001</v>
      </c>
    </row>
    <row r="16" spans="1:4" ht="15.75" thickBot="1" x14ac:dyDescent="0.3">
      <c r="A16" s="29" t="s">
        <v>74</v>
      </c>
      <c r="B16" s="30" t="str">
        <f>B14</f>
        <v>steel</v>
      </c>
      <c r="C16" s="37">
        <f t="shared" ref="C16:D16" si="7">C14</f>
        <v>0</v>
      </c>
      <c r="D16" s="37">
        <f t="shared" si="7"/>
        <v>0.32400000000000001</v>
      </c>
    </row>
    <row r="17" spans="1:4" x14ac:dyDescent="0.25">
      <c r="A17" s="21" t="s">
        <v>75</v>
      </c>
      <c r="B17" s="32" t="s">
        <v>134</v>
      </c>
      <c r="C17" s="43">
        <v>0</v>
      </c>
      <c r="D17" s="43">
        <f>90*Ref!$B$18</f>
        <v>0.32400000000000001</v>
      </c>
    </row>
    <row r="18" spans="1:4" x14ac:dyDescent="0.25">
      <c r="A18" s="21" t="s">
        <v>76</v>
      </c>
      <c r="B18" s="25" t="str">
        <f>B17</f>
        <v>steel</v>
      </c>
      <c r="C18" s="38">
        <f t="shared" ref="C18:D18" si="8">C17</f>
        <v>0</v>
      </c>
      <c r="D18" s="38">
        <f t="shared" si="8"/>
        <v>0.32400000000000001</v>
      </c>
    </row>
    <row r="19" spans="1:4" ht="15.75" thickBot="1" x14ac:dyDescent="0.3">
      <c r="A19" s="29" t="s">
        <v>77</v>
      </c>
      <c r="B19" s="30" t="str">
        <f>B17</f>
        <v>steel</v>
      </c>
      <c r="C19" s="37">
        <f t="shared" ref="C19:D19" si="9">C17</f>
        <v>0</v>
      </c>
      <c r="D19" s="37">
        <f t="shared" si="9"/>
        <v>0.32400000000000001</v>
      </c>
    </row>
    <row r="20" spans="1:4" x14ac:dyDescent="0.25">
      <c r="A20" t="s">
        <v>135</v>
      </c>
      <c r="B20" s="21" t="s">
        <v>136</v>
      </c>
      <c r="C20" s="24">
        <f>C4</f>
        <v>0</v>
      </c>
      <c r="D20" s="24">
        <f>D4</f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Lime</vt:lpstr>
      <vt:lpstr>Charcoal</vt:lpstr>
      <vt:lpstr>Syngas</vt:lpstr>
      <vt:lpstr>Oxygen</vt:lpstr>
      <vt:lpstr>Electricity</vt:lpstr>
      <vt:lpstr>Heat</vt:lpstr>
      <vt:lpstr>CO2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Eleanor Tanzer - TBM</cp:lastModifiedBy>
  <dcterms:created xsi:type="dcterms:W3CDTF">2019-04-04T16:15:53Z</dcterms:created>
  <dcterms:modified xsi:type="dcterms:W3CDTF">2019-11-14T17:22:54Z</dcterms:modified>
</cp:coreProperties>
</file>