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anzer\GitHub\BlackBlox\data\steel\"/>
    </mc:Choice>
  </mc:AlternateContent>
  <bookViews>
    <workbookView xWindow="3135" yWindow="465" windowWidth="25665" windowHeight="17535" tabRatio="598" firstSheet="2" activeTab="6"/>
  </bookViews>
  <sheets>
    <sheet name="Coke" sheetId="17" r:id="rId1"/>
    <sheet name="Lime" sheetId="2" r:id="rId2"/>
    <sheet name="Pellets" sheetId="3" r:id="rId3"/>
    <sheet name="Sinter" sheetId="4" r:id="rId4"/>
    <sheet name="Iron" sheetId="15" r:id="rId5"/>
    <sheet name="Steel" sheetId="6" r:id="rId6"/>
    <sheet name="Charcoal" sheetId="22" r:id="rId7"/>
    <sheet name="DRI" sheetId="19" r:id="rId8"/>
    <sheet name="EAF" sheetId="16" r:id="rId9"/>
    <sheet name="Syngas" sheetId="20" r:id="rId10"/>
    <sheet name="Finish" sheetId="21" r:id="rId11"/>
    <sheet name="Oxygen" sheetId="8" r:id="rId12"/>
    <sheet name="Electricity" sheetId="9" r:id="rId13"/>
    <sheet name="Heat" sheetId="18" r:id="rId14"/>
    <sheet name="CO2 Capture" sheetId="12" r:id="rId15"/>
    <sheet name="CO2 Storage" sheetId="13" r:id="rId16"/>
    <sheet name="Ref" sheetId="7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22" l="1"/>
  <c r="F4" i="22"/>
  <c r="E8" i="12" l="1"/>
  <c r="E14" i="12"/>
  <c r="D14" i="12"/>
  <c r="C20" i="8"/>
  <c r="B17" i="3"/>
  <c r="B14" i="3"/>
  <c r="C13" i="16"/>
  <c r="C12" i="16"/>
  <c r="C10" i="16"/>
  <c r="C9" i="16"/>
  <c r="K11" i="20"/>
  <c r="K8" i="20"/>
  <c r="D11" i="12" l="1"/>
  <c r="F14" i="12"/>
  <c r="F8" i="12"/>
  <c r="F5" i="12"/>
  <c r="J11" i="20" l="1"/>
  <c r="L11" i="20" s="1"/>
  <c r="J8" i="20"/>
  <c r="L8" i="20" s="1"/>
  <c r="D11" i="15"/>
  <c r="F11" i="15"/>
  <c r="F10" i="15"/>
  <c r="F9" i="15"/>
  <c r="F8" i="15"/>
  <c r="F7" i="15"/>
  <c r="F6" i="15"/>
  <c r="F5" i="15"/>
  <c r="F13" i="15"/>
  <c r="F12" i="15"/>
  <c r="D19" i="13" l="1"/>
  <c r="D18" i="13"/>
  <c r="D16" i="13"/>
  <c r="D15" i="13"/>
  <c r="D13" i="13"/>
  <c r="D12" i="13"/>
  <c r="D10" i="13"/>
  <c r="D9" i="13"/>
  <c r="D7" i="13"/>
  <c r="D6" i="13"/>
  <c r="L5" i="20" l="1"/>
  <c r="L4" i="20"/>
  <c r="D6" i="9"/>
  <c r="D5" i="9"/>
  <c r="B6" i="8"/>
  <c r="B5" i="8"/>
  <c r="J6" i="20"/>
  <c r="L6" i="20" s="1"/>
  <c r="I5" i="20"/>
  <c r="F5" i="20"/>
  <c r="D7" i="9" l="1"/>
  <c r="B4" i="9"/>
  <c r="B7" i="8"/>
  <c r="N7" i="20"/>
  <c r="M7" i="20"/>
  <c r="K7" i="20"/>
  <c r="J7" i="20"/>
  <c r="L7" i="20" s="1"/>
  <c r="I7" i="20"/>
  <c r="H7" i="20"/>
  <c r="E7" i="20"/>
  <c r="D7" i="20"/>
  <c r="C7" i="20"/>
  <c r="B7" i="20"/>
  <c r="M13" i="15"/>
  <c r="M12" i="15"/>
  <c r="B5" i="9" l="1"/>
  <c r="B6" i="9"/>
  <c r="B7" i="9"/>
  <c r="N13" i="20"/>
  <c r="N12" i="20"/>
  <c r="N10" i="20"/>
  <c r="N9" i="20"/>
  <c r="M13" i="20" l="1"/>
  <c r="M12" i="20"/>
  <c r="M10" i="20"/>
  <c r="M9" i="20"/>
  <c r="I12" i="20" l="1"/>
  <c r="J11" i="16" l="1"/>
  <c r="J8" i="16"/>
  <c r="D11" i="16"/>
  <c r="D8" i="16"/>
  <c r="G17" i="3"/>
  <c r="G18" i="3" s="1"/>
  <c r="G14" i="3"/>
  <c r="G16" i="3" s="1"/>
  <c r="B5" i="19"/>
  <c r="E7" i="19"/>
  <c r="E6" i="19"/>
  <c r="G19" i="3"/>
  <c r="G15" i="3" l="1"/>
  <c r="B19" i="2"/>
  <c r="B18" i="2"/>
  <c r="B16" i="2"/>
  <c r="B15" i="2"/>
  <c r="D19" i="3"/>
  <c r="D18" i="3"/>
  <c r="D16" i="3"/>
  <c r="D15" i="3"/>
  <c r="D7" i="19"/>
  <c r="D6" i="19"/>
  <c r="D10" i="19"/>
  <c r="D9" i="19"/>
  <c r="E13" i="16"/>
  <c r="E12" i="16"/>
  <c r="E10" i="16"/>
  <c r="E9" i="16"/>
  <c r="E7" i="16"/>
  <c r="E6" i="16"/>
  <c r="G7" i="19"/>
  <c r="G6" i="19"/>
  <c r="G10" i="19"/>
  <c r="G9" i="19"/>
  <c r="F19" i="12" l="1"/>
  <c r="F18" i="12"/>
  <c r="F16" i="12"/>
  <c r="F15" i="12"/>
  <c r="F13" i="12"/>
  <c r="F12" i="12"/>
  <c r="K10" i="20"/>
  <c r="H10" i="20"/>
  <c r="G10" i="20"/>
  <c r="E10" i="20"/>
  <c r="C10" i="20"/>
  <c r="B10" i="20"/>
  <c r="L9" i="20"/>
  <c r="K9" i="20"/>
  <c r="H9" i="20"/>
  <c r="G9" i="20"/>
  <c r="E9" i="20"/>
  <c r="C9" i="20"/>
  <c r="B9" i="20"/>
  <c r="L10" i="20"/>
  <c r="J9" i="20"/>
  <c r="I9" i="20"/>
  <c r="F9" i="20"/>
  <c r="B13" i="20"/>
  <c r="B12" i="20"/>
  <c r="C13" i="20"/>
  <c r="C12" i="20"/>
  <c r="E13" i="20"/>
  <c r="E12" i="20"/>
  <c r="F13" i="20"/>
  <c r="F12" i="20"/>
  <c r="G13" i="20"/>
  <c r="G12" i="20"/>
  <c r="H13" i="20"/>
  <c r="H12" i="20"/>
  <c r="I13" i="20"/>
  <c r="J13" i="20"/>
  <c r="J12" i="20"/>
  <c r="K13" i="20"/>
  <c r="K12" i="20"/>
  <c r="L13" i="20"/>
  <c r="L12" i="20"/>
  <c r="I10" i="20" l="1"/>
  <c r="J10" i="20"/>
  <c r="F10" i="20"/>
  <c r="F10" i="12" l="1"/>
  <c r="F9" i="12"/>
  <c r="F7" i="12"/>
  <c r="F6" i="12"/>
  <c r="H8" i="16"/>
  <c r="I13" i="16"/>
  <c r="I12" i="16"/>
  <c r="I10" i="16"/>
  <c r="I8" i="16"/>
  <c r="I9" i="16" s="1"/>
  <c r="D11" i="6"/>
  <c r="C11" i="6"/>
  <c r="D8" i="6"/>
  <c r="C8" i="6"/>
  <c r="D5" i="6"/>
  <c r="C5" i="6"/>
  <c r="H13" i="16"/>
  <c r="D13" i="16"/>
  <c r="H12" i="16"/>
  <c r="D12" i="16"/>
  <c r="J13" i="16"/>
  <c r="D19" i="21"/>
  <c r="D18" i="21"/>
  <c r="E17" i="21"/>
  <c r="E18" i="21" s="1"/>
  <c r="D16" i="21"/>
  <c r="D15" i="21"/>
  <c r="E14" i="21"/>
  <c r="E16" i="21" s="1"/>
  <c r="D13" i="21"/>
  <c r="D12" i="21"/>
  <c r="E11" i="21"/>
  <c r="E13" i="21" s="1"/>
  <c r="D10" i="21"/>
  <c r="D9" i="21"/>
  <c r="E8" i="21"/>
  <c r="E10" i="21" s="1"/>
  <c r="E5" i="21"/>
  <c r="E7" i="21" s="1"/>
  <c r="D7" i="21"/>
  <c r="D6" i="21"/>
  <c r="B19" i="18"/>
  <c r="D18" i="18"/>
  <c r="B18" i="18"/>
  <c r="C19" i="18"/>
  <c r="B16" i="18"/>
  <c r="D15" i="18"/>
  <c r="B15" i="18"/>
  <c r="C16" i="18"/>
  <c r="E19" i="12"/>
  <c r="C19" i="12"/>
  <c r="B19" i="12"/>
  <c r="E18" i="12"/>
  <c r="C18" i="12"/>
  <c r="B18" i="12"/>
  <c r="E16" i="12"/>
  <c r="C16" i="12"/>
  <c r="B16" i="12"/>
  <c r="E15" i="12"/>
  <c r="C15" i="12"/>
  <c r="B15" i="12"/>
  <c r="B18" i="13"/>
  <c r="B19" i="13"/>
  <c r="C19" i="13"/>
  <c r="C18" i="13"/>
  <c r="C16" i="13"/>
  <c r="C15" i="13"/>
  <c r="B14" i="13"/>
  <c r="B15" i="13" s="1"/>
  <c r="D9" i="18"/>
  <c r="D6" i="18"/>
  <c r="D9" i="9"/>
  <c r="E6" i="21" l="1"/>
  <c r="B16" i="13"/>
  <c r="C15" i="18"/>
  <c r="C18" i="18"/>
  <c r="E15" i="21"/>
  <c r="J12" i="16"/>
  <c r="E19" i="21"/>
  <c r="E12" i="21"/>
  <c r="E9" i="21"/>
  <c r="P13" i="15"/>
  <c r="P12" i="15"/>
  <c r="E7" i="4"/>
  <c r="E6" i="4"/>
  <c r="F19" i="3"/>
  <c r="F18" i="3"/>
  <c r="E18" i="3"/>
  <c r="F16" i="3"/>
  <c r="F15" i="3"/>
  <c r="E15" i="3"/>
  <c r="C11" i="3"/>
  <c r="C8" i="3"/>
  <c r="C10" i="3" s="1"/>
  <c r="C5" i="3"/>
  <c r="G5" i="3"/>
  <c r="B7" i="2"/>
  <c r="B6" i="2"/>
  <c r="D22" i="9"/>
  <c r="C22" i="9"/>
  <c r="B22" i="9"/>
  <c r="D21" i="9"/>
  <c r="C21" i="9"/>
  <c r="B21" i="9"/>
  <c r="D19" i="9"/>
  <c r="C19" i="9"/>
  <c r="B19" i="9"/>
  <c r="D18" i="9"/>
  <c r="C18" i="9"/>
  <c r="B18" i="9"/>
  <c r="B22" i="8"/>
  <c r="B21" i="8"/>
  <c r="B19" i="8"/>
  <c r="B18" i="8"/>
  <c r="E9" i="19"/>
  <c r="E10" i="19"/>
  <c r="B10" i="19"/>
  <c r="B6" i="19"/>
  <c r="B7" i="19" s="1"/>
  <c r="D10" i="16" l="1"/>
  <c r="D9" i="16"/>
  <c r="H10" i="16"/>
  <c r="B9" i="19"/>
  <c r="H9" i="16" l="1"/>
  <c r="J11" i="6"/>
  <c r="J5" i="6"/>
  <c r="J8" i="6"/>
  <c r="C8" i="9"/>
  <c r="C4" i="9" s="1"/>
  <c r="C8" i="18"/>
  <c r="C5" i="18"/>
  <c r="E5" i="12"/>
  <c r="D8" i="15"/>
  <c r="D9" i="15" s="1"/>
  <c r="D5" i="15"/>
  <c r="D7" i="15" s="1"/>
  <c r="H11" i="15"/>
  <c r="D12" i="15"/>
  <c r="F11" i="4"/>
  <c r="F8" i="4"/>
  <c r="F5" i="4"/>
  <c r="B11" i="17"/>
  <c r="B8" i="17"/>
  <c r="B5" i="17"/>
  <c r="D13" i="15" l="1"/>
  <c r="D10" i="15"/>
  <c r="D6" i="15"/>
  <c r="J10" i="16"/>
  <c r="J9" i="16"/>
  <c r="C10" i="15"/>
  <c r="C9" i="15"/>
  <c r="J13" i="6" l="1"/>
  <c r="I13" i="6"/>
  <c r="H13" i="6"/>
  <c r="G13" i="6"/>
  <c r="F13" i="6"/>
  <c r="D13" i="6"/>
  <c r="J12" i="6"/>
  <c r="I12" i="6"/>
  <c r="H12" i="6"/>
  <c r="G12" i="6"/>
  <c r="F12" i="6"/>
  <c r="D12" i="6"/>
  <c r="C12" i="6"/>
  <c r="C13" i="6"/>
  <c r="J10" i="6"/>
  <c r="I10" i="6"/>
  <c r="H10" i="6"/>
  <c r="G10" i="6"/>
  <c r="F10" i="6"/>
  <c r="D10" i="6"/>
  <c r="J9" i="6"/>
  <c r="I9" i="6"/>
  <c r="H9" i="6"/>
  <c r="G9" i="6"/>
  <c r="F9" i="6"/>
  <c r="D9" i="6"/>
  <c r="C10" i="6" l="1"/>
  <c r="C9" i="6"/>
  <c r="B11" i="6"/>
  <c r="B12" i="6" s="1"/>
  <c r="E12" i="6" s="1"/>
  <c r="E11" i="6" l="1"/>
  <c r="B13" i="6"/>
  <c r="E13" i="6" s="1"/>
  <c r="C13" i="13"/>
  <c r="C12" i="13"/>
  <c r="B11" i="13"/>
  <c r="C9" i="13"/>
  <c r="B8" i="13"/>
  <c r="B10" i="13" s="1"/>
  <c r="E13" i="12"/>
  <c r="D13" i="12"/>
  <c r="C13" i="12"/>
  <c r="B13" i="12"/>
  <c r="E12" i="12"/>
  <c r="D12" i="12"/>
  <c r="C12" i="12"/>
  <c r="B12" i="12"/>
  <c r="E10" i="12"/>
  <c r="C10" i="12"/>
  <c r="B10" i="12"/>
  <c r="E9" i="12"/>
  <c r="C9" i="12"/>
  <c r="B9" i="12"/>
  <c r="C13" i="18"/>
  <c r="B13" i="18"/>
  <c r="C12" i="18"/>
  <c r="B12" i="18"/>
  <c r="C10" i="18"/>
  <c r="B10" i="18"/>
  <c r="C9" i="18"/>
  <c r="B9" i="18"/>
  <c r="B16" i="8"/>
  <c r="B15" i="8"/>
  <c r="B13" i="8"/>
  <c r="B12" i="8"/>
  <c r="D16" i="9"/>
  <c r="C16" i="9"/>
  <c r="B16" i="9"/>
  <c r="D15" i="9"/>
  <c r="C15" i="9"/>
  <c r="B15" i="9"/>
  <c r="D13" i="9"/>
  <c r="C13" i="9"/>
  <c r="B13" i="9"/>
  <c r="D12" i="9"/>
  <c r="C12" i="9"/>
  <c r="B12" i="9"/>
  <c r="B9" i="13" l="1"/>
  <c r="B13" i="13"/>
  <c r="B12" i="13"/>
  <c r="S11" i="15"/>
  <c r="S8" i="15"/>
  <c r="S5" i="15"/>
  <c r="I13" i="15" l="1"/>
  <c r="I12" i="15"/>
  <c r="D13" i="17"/>
  <c r="D12" i="17"/>
  <c r="F13" i="4" l="1"/>
  <c r="F12" i="4"/>
  <c r="E13" i="4"/>
  <c r="E12" i="4"/>
  <c r="C13" i="4"/>
  <c r="C12" i="4"/>
  <c r="B13" i="4"/>
  <c r="B12" i="4"/>
  <c r="F10" i="4"/>
  <c r="F9" i="4"/>
  <c r="E10" i="4"/>
  <c r="E9" i="4"/>
  <c r="C10" i="4"/>
  <c r="C9" i="4"/>
  <c r="B10" i="4"/>
  <c r="B9" i="4"/>
  <c r="G10" i="3"/>
  <c r="G9" i="3"/>
  <c r="F10" i="3"/>
  <c r="F9" i="3"/>
  <c r="D10" i="3"/>
  <c r="D9" i="3"/>
  <c r="E9" i="3"/>
  <c r="E12" i="3"/>
  <c r="C13" i="3"/>
  <c r="C12" i="3"/>
  <c r="D13" i="3"/>
  <c r="D12" i="3"/>
  <c r="F13" i="3"/>
  <c r="F12" i="3"/>
  <c r="G13" i="3"/>
  <c r="G12" i="3"/>
  <c r="B13" i="2"/>
  <c r="B12" i="2"/>
  <c r="B9" i="2"/>
  <c r="B10" i="2"/>
  <c r="D7" i="17"/>
  <c r="D6" i="17"/>
  <c r="B12" i="17"/>
  <c r="B13" i="17" s="1"/>
  <c r="D10" i="17"/>
  <c r="D9" i="17" s="1"/>
  <c r="B10" i="17"/>
  <c r="B9" i="17" s="1"/>
  <c r="B7" i="17"/>
  <c r="N13" i="15"/>
  <c r="S13" i="15"/>
  <c r="J13" i="15"/>
  <c r="G13" i="15"/>
  <c r="C13" i="15"/>
  <c r="N12" i="15"/>
  <c r="S12" i="15"/>
  <c r="J12" i="15"/>
  <c r="G12" i="15"/>
  <c r="C12" i="15"/>
  <c r="B13" i="15"/>
  <c r="B12" i="15"/>
  <c r="M10" i="15"/>
  <c r="M9" i="15"/>
  <c r="I10" i="15"/>
  <c r="I9" i="15"/>
  <c r="B10" i="15"/>
  <c r="B9" i="15"/>
  <c r="M6" i="15"/>
  <c r="J6" i="15"/>
  <c r="I6" i="15"/>
  <c r="C6" i="15"/>
  <c r="B6" i="15"/>
  <c r="S6" i="15" l="1"/>
  <c r="S10" i="15"/>
  <c r="S9" i="15"/>
  <c r="B6" i="17"/>
  <c r="B4" i="6" l="1"/>
  <c r="E4" i="6" s="1"/>
  <c r="B5" i="6"/>
  <c r="E5" i="6" l="1"/>
  <c r="B6" i="6"/>
  <c r="B7" i="6"/>
  <c r="F4" i="4" l="1"/>
  <c r="D4" i="15"/>
  <c r="B4" i="4"/>
  <c r="I4" i="15"/>
  <c r="C4" i="3"/>
  <c r="B8" i="6" l="1"/>
  <c r="E8" i="6" s="1"/>
  <c r="B9" i="6" l="1"/>
  <c r="E9" i="6" s="1"/>
  <c r="B10" i="6"/>
  <c r="E10" i="6" s="1"/>
  <c r="C7" i="13"/>
  <c r="B7" i="13"/>
  <c r="C6" i="13"/>
  <c r="B6" i="13"/>
  <c r="E7" i="12"/>
  <c r="C7" i="12"/>
  <c r="B7" i="12"/>
  <c r="E6" i="12"/>
  <c r="C6" i="12"/>
  <c r="B6" i="12"/>
  <c r="C7" i="18"/>
  <c r="B7" i="18"/>
  <c r="C6" i="18"/>
  <c r="B6" i="18"/>
  <c r="D10" i="9"/>
  <c r="C10" i="9"/>
  <c r="C9" i="9"/>
  <c r="J7" i="6"/>
  <c r="I7" i="6"/>
  <c r="H7" i="6"/>
  <c r="G7" i="6"/>
  <c r="D7" i="6"/>
  <c r="E7" i="6" s="1"/>
  <c r="C7" i="6"/>
  <c r="J6" i="6"/>
  <c r="I6" i="6"/>
  <c r="H6" i="6"/>
  <c r="G6" i="6"/>
  <c r="D6" i="6"/>
  <c r="E6" i="6" s="1"/>
  <c r="C6" i="6"/>
  <c r="P10" i="15"/>
  <c r="N10" i="15"/>
  <c r="L10" i="15"/>
  <c r="K10" i="15"/>
  <c r="J10" i="15"/>
  <c r="M7" i="15"/>
  <c r="J7" i="15"/>
  <c r="I7" i="15"/>
  <c r="C7" i="15"/>
  <c r="B7" i="15"/>
  <c r="C7" i="4"/>
  <c r="C6" i="4"/>
  <c r="F7" i="3"/>
  <c r="D7" i="3"/>
  <c r="F6" i="3"/>
  <c r="E6" i="3"/>
  <c r="D6" i="3"/>
  <c r="S7" i="15" l="1"/>
  <c r="C9" i="3"/>
  <c r="C6" i="3"/>
  <c r="F6" i="6"/>
  <c r="F7" i="6"/>
  <c r="B9" i="8"/>
  <c r="B10" i="8"/>
  <c r="B6" i="4"/>
  <c r="F6" i="4"/>
  <c r="B7" i="4"/>
  <c r="F7" i="4"/>
  <c r="C7" i="3"/>
  <c r="G6" i="3"/>
  <c r="G7" i="3"/>
  <c r="L12" i="15" l="1"/>
  <c r="L13" i="15"/>
  <c r="K13" i="15"/>
  <c r="K12" i="15"/>
  <c r="B21" i="7" l="1"/>
  <c r="B20" i="7" l="1"/>
  <c r="B19" i="7" l="1"/>
  <c r="C7" i="7" s="1"/>
  <c r="B18" i="7"/>
  <c r="B10" i="7"/>
  <c r="D17" i="12" l="1"/>
  <c r="D8" i="12"/>
  <c r="D9" i="12" s="1"/>
  <c r="D5" i="12"/>
  <c r="E4" i="13"/>
  <c r="E5" i="13" s="1"/>
  <c r="H17" i="3"/>
  <c r="E14" i="18"/>
  <c r="G11" i="4"/>
  <c r="G5" i="4"/>
  <c r="G8" i="4"/>
  <c r="K5" i="20"/>
  <c r="C11" i="16"/>
  <c r="C5" i="19"/>
  <c r="C8" i="16"/>
  <c r="H14" i="3"/>
  <c r="C14" i="2"/>
  <c r="C17" i="2"/>
  <c r="K11" i="6"/>
  <c r="C11" i="21"/>
  <c r="C14" i="21"/>
  <c r="E17" i="18"/>
  <c r="K8" i="6"/>
  <c r="C8" i="21"/>
  <c r="E11" i="18"/>
  <c r="K5" i="6"/>
  <c r="C17" i="21"/>
  <c r="C5" i="21"/>
  <c r="E8" i="18"/>
  <c r="E5" i="18"/>
  <c r="H8" i="3"/>
  <c r="C8" i="2"/>
  <c r="H5" i="3"/>
  <c r="C5" i="2"/>
  <c r="H11" i="3"/>
  <c r="C11" i="2"/>
  <c r="C6" i="19"/>
  <c r="C7" i="19" s="1"/>
  <c r="C8" i="19"/>
  <c r="C6" i="16"/>
  <c r="C5" i="16"/>
  <c r="C7" i="16"/>
  <c r="C11" i="17"/>
  <c r="C12" i="17" s="1"/>
  <c r="C13" i="17" s="1"/>
  <c r="G8" i="15"/>
  <c r="G5" i="15"/>
  <c r="C8" i="17"/>
  <c r="C10" i="17" s="1"/>
  <c r="C9" i="17" s="1"/>
  <c r="C5" i="17"/>
  <c r="C6" i="7"/>
  <c r="C10" i="7"/>
  <c r="C4" i="7"/>
  <c r="C8" i="7"/>
  <c r="C11" i="7"/>
  <c r="C5" i="7"/>
  <c r="Q11" i="15" s="1"/>
  <c r="C9" i="7"/>
  <c r="C12" i="7"/>
  <c r="E19" i="13" l="1"/>
  <c r="E15" i="13"/>
  <c r="E7" i="13"/>
  <c r="E8" i="13" s="1"/>
  <c r="E18" i="13"/>
  <c r="E10" i="13"/>
  <c r="E11" i="13" s="1"/>
  <c r="E6" i="13"/>
  <c r="E13" i="13"/>
  <c r="E14" i="13" s="1"/>
  <c r="E9" i="13"/>
  <c r="E16" i="13"/>
  <c r="E17" i="13" s="1"/>
  <c r="E12" i="13"/>
  <c r="D16" i="12"/>
  <c r="D15" i="12"/>
  <c r="E7" i="18"/>
  <c r="E6" i="18"/>
  <c r="K6" i="6"/>
  <c r="K7" i="6"/>
  <c r="C12" i="21"/>
  <c r="C13" i="21"/>
  <c r="C16" i="2"/>
  <c r="C15" i="2"/>
  <c r="G10" i="4"/>
  <c r="G9" i="4"/>
  <c r="G13" i="4"/>
  <c r="G12" i="4"/>
  <c r="H8" i="19"/>
  <c r="H9" i="19" s="1"/>
  <c r="L8" i="6"/>
  <c r="B8" i="21"/>
  <c r="L5" i="6"/>
  <c r="B17" i="21"/>
  <c r="B5" i="21"/>
  <c r="B11" i="21"/>
  <c r="K13" i="16"/>
  <c r="K12" i="16"/>
  <c r="K11" i="16"/>
  <c r="B14" i="21"/>
  <c r="L11" i="6"/>
  <c r="E10" i="18"/>
  <c r="E9" i="18"/>
  <c r="E13" i="18"/>
  <c r="E12" i="18"/>
  <c r="K10" i="6"/>
  <c r="K9" i="6"/>
  <c r="K12" i="6"/>
  <c r="K13" i="6"/>
  <c r="C4" i="8"/>
  <c r="C11" i="8"/>
  <c r="E16" i="18"/>
  <c r="E15" i="18"/>
  <c r="C7" i="21"/>
  <c r="C6" i="21"/>
  <c r="C9" i="21"/>
  <c r="C10" i="21"/>
  <c r="E19" i="18"/>
  <c r="E18" i="18"/>
  <c r="D19" i="12"/>
  <c r="D18" i="12"/>
  <c r="C19" i="21"/>
  <c r="C18" i="21"/>
  <c r="C16" i="21"/>
  <c r="C15" i="21"/>
  <c r="C19" i="2"/>
  <c r="C18" i="2"/>
  <c r="C14" i="8"/>
  <c r="G7" i="4"/>
  <c r="G6" i="4"/>
  <c r="H15" i="3"/>
  <c r="H16" i="3"/>
  <c r="C17" i="8"/>
  <c r="H13" i="3"/>
  <c r="H12" i="3"/>
  <c r="H7" i="3"/>
  <c r="H6" i="3"/>
  <c r="C8" i="8"/>
  <c r="C10" i="8" s="1"/>
  <c r="C9" i="2"/>
  <c r="C10" i="2"/>
  <c r="H10" i="3"/>
  <c r="H9" i="3"/>
  <c r="H10" i="19"/>
  <c r="C9" i="19"/>
  <c r="C10" i="19"/>
  <c r="C13" i="2"/>
  <c r="C12" i="2"/>
  <c r="C7" i="2"/>
  <c r="C6" i="2"/>
  <c r="H19" i="3"/>
  <c r="H18" i="3"/>
  <c r="G6" i="15"/>
  <c r="K9" i="16"/>
  <c r="K8" i="16"/>
  <c r="K10" i="16"/>
  <c r="H5" i="15"/>
  <c r="H8" i="15"/>
  <c r="D7" i="12"/>
  <c r="D6" i="12"/>
  <c r="C6" i="17"/>
  <c r="C7" i="17"/>
  <c r="D10" i="12"/>
  <c r="G9" i="15"/>
  <c r="G10" i="15" s="1"/>
  <c r="H12" i="15"/>
  <c r="H13" i="15"/>
  <c r="G7" i="15"/>
  <c r="K6" i="16"/>
  <c r="K7" i="16"/>
  <c r="K5" i="16"/>
  <c r="C9" i="8" l="1"/>
  <c r="L13" i="6"/>
  <c r="L12" i="6"/>
  <c r="B15" i="21"/>
  <c r="B16" i="21"/>
  <c r="B13" i="21"/>
  <c r="B12" i="21"/>
  <c r="B10" i="21"/>
  <c r="B9" i="21"/>
  <c r="B7" i="21"/>
  <c r="B6" i="21"/>
  <c r="L10" i="6"/>
  <c r="L9" i="6"/>
  <c r="C7" i="8"/>
  <c r="C6" i="8"/>
  <c r="C5" i="8"/>
  <c r="B19" i="21"/>
  <c r="B18" i="21"/>
  <c r="C22" i="8"/>
  <c r="C21" i="8"/>
  <c r="C19" i="8"/>
  <c r="C18" i="8"/>
  <c r="C13" i="8"/>
  <c r="C12" i="8"/>
  <c r="H10" i="15"/>
  <c r="H9" i="15"/>
  <c r="H6" i="15"/>
  <c r="H7" i="15"/>
  <c r="C16" i="8"/>
  <c r="C15" i="8"/>
  <c r="L6" i="6"/>
  <c r="L7" i="6"/>
</calcChain>
</file>

<file path=xl/comments1.xml><?xml version="1.0" encoding="utf-8"?>
<comments xmlns="http://schemas.openxmlformats.org/spreadsheetml/2006/main">
  <authors>
    <author>S.E. Tanzer</author>
    <author>Microsoft Office User</author>
  </authors>
  <commentList>
    <comment ref="H5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possibly *also* 43 m3/t HM? Unlcear if they're cumulative
</t>
        </r>
      </text>
    </comment>
    <comment ref="M5" authorId="0" shapeId="0">
      <text>
        <r>
          <rPr>
            <b/>
            <sz val="9"/>
            <color rgb="FF000000"/>
            <rFont val="Tahoma"/>
            <family val="2"/>
          </rPr>
          <t xml:space="preserve">S.E. Tanzer:
</t>
        </r>
        <r>
          <rPr>
            <b/>
            <sz val="9"/>
            <color rgb="FF000000"/>
            <rFont val="Tahoma"/>
            <family val="2"/>
          </rPr>
          <t>increased from 0.162 to account for also 0.03 of oil and 0.002 of nat gas</t>
        </r>
      </text>
    </comment>
    <comment ref="M11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Zhang et al - </t>
        </r>
        <r>
          <rPr>
            <sz val="10"/>
            <color rgb="FF000000"/>
            <rFont val="Calibri"/>
            <family val="2"/>
          </rPr>
          <t>doi:10.1088/1755-1315/233/5/052016</t>
        </r>
      </text>
    </comment>
  </commentList>
</comments>
</file>

<file path=xl/comments2.xml><?xml version="1.0" encoding="utf-8"?>
<comments xmlns="http://schemas.openxmlformats.org/spreadsheetml/2006/main">
  <authors>
    <author>S.E. Tanzer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2007 - https://www.iea.org/publications/freepublications/publication/tracking_emissions.pdf
</t>
        </r>
      </text>
    </comment>
    <comment ref="C6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2007 - https://www.iea.org/publications/freepublications/publication/tracking_emissions.pdf
</t>
        </r>
      </text>
    </comment>
    <comment ref="C7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2007 - https://www.iea.org/publications/freepublications/publication/tracking_emissions.pdf
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K8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compression of CO2</t>
        </r>
      </text>
    </comment>
  </commentList>
</comments>
</file>

<file path=xl/comments4.xml><?xml version="1.0" encoding="utf-8"?>
<comments xmlns="http://schemas.openxmlformats.org/spreadsheetml/2006/main">
  <authors>
    <author>Microsoft Office User</author>
  </authors>
  <commentList>
    <comment ref="C3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<sst xmlns="http://schemas.openxmlformats.org/spreadsheetml/2006/main" count="614" uniqueCount="197">
  <si>
    <t>scenario</t>
  </si>
  <si>
    <t>meta-unit</t>
  </si>
  <si>
    <t>meta-notes</t>
  </si>
  <si>
    <t>default</t>
  </si>
  <si>
    <t>fossil fuel demand</t>
  </si>
  <si>
    <t>coking efficiency</t>
  </si>
  <si>
    <t>t coke out/t coal in</t>
  </si>
  <si>
    <t>electricity demand</t>
  </si>
  <si>
    <t>C to Slag</t>
  </si>
  <si>
    <t>Electricity Demand</t>
  </si>
  <si>
    <t>fuel demand</t>
  </si>
  <si>
    <t>biofuel cofire rate</t>
  </si>
  <si>
    <t>biofuel type</t>
  </si>
  <si>
    <t>CaO in pellets</t>
  </si>
  <si>
    <t>CaO in sinter</t>
  </si>
  <si>
    <t>secondary fuel type</t>
  </si>
  <si>
    <t>secondary fuel demand</t>
  </si>
  <si>
    <t>secondary-bio cofire</t>
  </si>
  <si>
    <t>secondary biofuel type</t>
  </si>
  <si>
    <t>CaO demand</t>
  </si>
  <si>
    <t>scrap demand</t>
  </si>
  <si>
    <t>fossil fuel type</t>
  </si>
  <si>
    <t>biomass cofire rate</t>
  </si>
  <si>
    <t>t solid fuel/t sinter</t>
  </si>
  <si>
    <t>t flux/t sinter</t>
  </si>
  <si>
    <t>sinter demand</t>
  </si>
  <si>
    <t>pellet demand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</si>
  <si>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</si>
  <si>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</si>
  <si>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</si>
  <si>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</si>
  <si>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</si>
  <si>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</si>
  <si>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</si>
  <si>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</si>
  <si>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</si>
  <si>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</si>
  <si>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</si>
  <si>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</si>
  <si>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</si>
  <si>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</si>
  <si>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</si>
  <si>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</si>
  <si>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</si>
  <si>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</si>
  <si>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GJ/t sinter</t>
  </si>
  <si>
    <t>t sinter/t hot metal</t>
  </si>
  <si>
    <t>t pellet / t hot metal</t>
  </si>
  <si>
    <t>t CaO/t hot metal</t>
  </si>
  <si>
    <t>t coke / t hot metal</t>
  </si>
  <si>
    <t>primary fuel demand</t>
  </si>
  <si>
    <t>primary fuel type</t>
  </si>
  <si>
    <t>primary-bio cofire</t>
  </si>
  <si>
    <t>% biofuel</t>
  </si>
  <si>
    <t>t fuel / t hot metal</t>
  </si>
  <si>
    <t>GJ/t hot metal</t>
  </si>
  <si>
    <t>combustion eff</t>
  </si>
  <si>
    <t>O2 Recovery Eff</t>
  </si>
  <si>
    <t>fueltype</t>
  </si>
  <si>
    <t>Remainder is lost to coal gas</t>
  </si>
  <si>
    <t>GJ/t coke out</t>
  </si>
  <si>
    <t>t CO2 in slag/t CO2 in CaCO3</t>
  </si>
  <si>
    <t>GJ/t CaO</t>
  </si>
  <si>
    <t>GJ electricity/GJ fuel</t>
  </si>
  <si>
    <t>oxygen demand</t>
  </si>
  <si>
    <t>t scrap/t crude steel</t>
  </si>
  <si>
    <t>t O2/t crude steel</t>
  </si>
  <si>
    <t>GJ/t crude steel</t>
  </si>
  <si>
    <t>hot metal demand</t>
  </si>
  <si>
    <t>t hot metal / t crude steel</t>
  </si>
  <si>
    <t>GJ/t</t>
  </si>
  <si>
    <t>Mbtu/ton in GJ/tonne</t>
  </si>
  <si>
    <t>meta-units</t>
  </si>
  <si>
    <t>short ton in metric tonnes</t>
  </si>
  <si>
    <t>meta-source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</si>
  <si>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</si>
  <si>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</si>
  <si>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</si>
  <si>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</si>
  <si>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</si>
  <si>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</si>
  <si>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</si>
  <si>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</si>
  <si>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</si>
  <si>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</si>
  <si>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</si>
  <si>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</si>
  <si>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</si>
  <si>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VSPA+compression+cryo flash</t>
  </si>
  <si>
    <t>Losses</t>
  </si>
  <si>
    <t>Ancillary Emissions</t>
  </si>
  <si>
    <t>CO2 lost  / CO2 in</t>
  </si>
  <si>
    <t>t CO2 / t CO2 stored</t>
  </si>
  <si>
    <t>coke - IPCC</t>
  </si>
  <si>
    <t>coal coking - IPCC</t>
  </si>
  <si>
    <t>natural gas - IPCC</t>
  </si>
  <si>
    <t>meta-IEA2016</t>
  </si>
  <si>
    <t>Process CO2</t>
  </si>
  <si>
    <t>Fuel Demand</t>
  </si>
  <si>
    <t>Biofuel Cofire Rate</t>
  </si>
  <si>
    <t>Biofuel Type</t>
  </si>
  <si>
    <t>t CO2 / t steel</t>
  </si>
  <si>
    <t>GJ Electricity / t steel</t>
  </si>
  <si>
    <t>i.e. not scrap</t>
  </si>
  <si>
    <t>t O2 / t hot metal</t>
  </si>
  <si>
    <t>tertiary fuel type</t>
  </si>
  <si>
    <t>CaO Demand</t>
  </si>
  <si>
    <t>Oxygen Demand</t>
  </si>
  <si>
    <t>t O2/t EAF steel</t>
  </si>
  <si>
    <t>GJ/t Pellet</t>
  </si>
  <si>
    <t>coal coking - Birat</t>
  </si>
  <si>
    <t>coke - Birat</t>
  </si>
  <si>
    <t>O2 demand</t>
  </si>
  <si>
    <t>charcoal - IPCC</t>
  </si>
  <si>
    <t>tertiary fuel demand</t>
  </si>
  <si>
    <t>total metal demand</t>
  </si>
  <si>
    <t>t metal in/t crude steel</t>
  </si>
  <si>
    <t>sum of scrap + HM</t>
  </si>
  <si>
    <t>coal bituminous - IPCC</t>
  </si>
  <si>
    <t>TGR-0B</t>
  </si>
  <si>
    <t>HIS-0B</t>
  </si>
  <si>
    <t>meta- GJ in</t>
  </si>
  <si>
    <t>Iron Lost</t>
  </si>
  <si>
    <t>t HM to scrap / t steel</t>
  </si>
  <si>
    <t>meta-scrap rate</t>
  </si>
  <si>
    <t>Fresh Metal Demand</t>
  </si>
  <si>
    <t>t fresh metal / t EAF steel</t>
  </si>
  <si>
    <t>t scrap / t EAF steel</t>
  </si>
  <si>
    <t>Scrap Demand</t>
  </si>
  <si>
    <t>heat from recovered energy</t>
  </si>
  <si>
    <t>Solvent demand</t>
  </si>
  <si>
    <t>GJ heat/GJ fuel</t>
  </si>
  <si>
    <t>GJ electricity/GJ heat</t>
  </si>
  <si>
    <t>%</t>
  </si>
  <si>
    <t>GJ/T DRI</t>
  </si>
  <si>
    <t>GJ/t DRI</t>
  </si>
  <si>
    <t>GJ fuel/t DRI</t>
  </si>
  <si>
    <t>t/ t DRI</t>
  </si>
  <si>
    <t>fuel energy demand</t>
  </si>
  <si>
    <t>t O2 / t gas</t>
  </si>
  <si>
    <t>t / t DRI</t>
  </si>
  <si>
    <t>MID-0B</t>
  </si>
  <si>
    <t>MID-LB</t>
  </si>
  <si>
    <t>MID-HB</t>
  </si>
  <si>
    <t>ULC-0B</t>
  </si>
  <si>
    <t>ULC-LB</t>
  </si>
  <si>
    <t>ULC-HB</t>
  </si>
  <si>
    <t>EAF-0B</t>
  </si>
  <si>
    <t>EAF-LB</t>
  </si>
  <si>
    <t>EAF-HB</t>
  </si>
  <si>
    <t>BBF-0B</t>
  </si>
  <si>
    <t>BBF-LB</t>
  </si>
  <si>
    <t>TGR-LB</t>
  </si>
  <si>
    <t>HIS-LB</t>
  </si>
  <si>
    <t>BBF-HB</t>
  </si>
  <si>
    <t>TGR-HB</t>
  </si>
  <si>
    <t>HIS-HB</t>
  </si>
  <si>
    <t>energy demand</t>
  </si>
  <si>
    <t>GJ/t pellet</t>
  </si>
  <si>
    <t>GJ fuel/t syngas</t>
  </si>
  <si>
    <t>feedstock demand</t>
  </si>
  <si>
    <t>t feedstock / t gas</t>
  </si>
  <si>
    <t>feedstock type</t>
  </si>
  <si>
    <t>% heat</t>
  </si>
  <si>
    <t>t lost (scrap) / t in</t>
  </si>
  <si>
    <t>t MEA-eq/t CO2</t>
  </si>
  <si>
    <t xml:space="preserve">solvent demand </t>
  </si>
  <si>
    <t>CO2 pure</t>
  </si>
  <si>
    <t>t / t syngas</t>
  </si>
  <si>
    <t>syngas - wood</t>
  </si>
  <si>
    <t>CO2 to flue gas</t>
  </si>
  <si>
    <t>wood (20% moisture)</t>
  </si>
  <si>
    <t>H2O demand</t>
  </si>
  <si>
    <t>t /t syngas</t>
  </si>
  <si>
    <t>air demand</t>
  </si>
  <si>
    <t>GJ electricity (supplemental) / t gas</t>
  </si>
  <si>
    <t>syngas_only</t>
  </si>
  <si>
    <t>wood chips (EU no swiss, dry)</t>
  </si>
  <si>
    <t>syngas_ecoinvent</t>
  </si>
  <si>
    <t>syngas_PNNL</t>
  </si>
  <si>
    <t>t MEA/ t syngas</t>
  </si>
  <si>
    <t>Pipeline Distance</t>
  </si>
  <si>
    <t>Dolomite demand</t>
  </si>
  <si>
    <t>t CaMg(CO3)2/t hot metal</t>
  </si>
  <si>
    <t>CO2 from dolomite</t>
  </si>
  <si>
    <t>from 2018 update report</t>
  </si>
  <si>
    <t>GJ / t CO2 stored</t>
  </si>
  <si>
    <t>Compression only</t>
  </si>
  <si>
    <t>t feedstock / t charcoal</t>
  </si>
  <si>
    <t>t / t charcoal</t>
  </si>
  <si>
    <t>GJ fuel/t charcoal</t>
  </si>
  <si>
    <t>ecoinvent GLO</t>
  </si>
  <si>
    <t>dry cleft timber</t>
  </si>
  <si>
    <t>heat demand</t>
  </si>
  <si>
    <t>GJ heat / t gas</t>
  </si>
  <si>
    <t>biogenic CO2</t>
  </si>
  <si>
    <t>CH4 biogenic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</si>
</sst>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"/>
    <numFmt numFmtId="166" formatCode="0.0000"/>
    <numFmt numFmtId="167" formatCode="0.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i/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9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3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165" fontId="0" fillId="0" borderId="0" xfId="0" applyNumberForma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2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ill="1" applyBorder="1"/>
    <xf numFmtId="165" fontId="0" fillId="0" borderId="0" xfId="0" applyNumberFormat="1" applyFill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" fillId="0" borderId="0" xfId="0" applyFont="1" applyBorder="1" applyAlignment="1">
      <alignment wrapText="1"/>
    </xf>
    <xf numFmtId="0" fontId="1" fillId="0" borderId="0" xfId="0" applyFont="1" applyFill="1" applyBorder="1"/>
    <xf numFmtId="165" fontId="1" fillId="0" borderId="0" xfId="0" applyNumberFormat="1" applyFont="1" applyFill="1" applyBorder="1"/>
    <xf numFmtId="0" fontId="15" fillId="0" borderId="0" xfId="0" applyFont="1"/>
    <xf numFmtId="0" fontId="15" fillId="0" borderId="9" xfId="0" applyFont="1" applyBorder="1"/>
    <xf numFmtId="0" fontId="0" fillId="0" borderId="9" xfId="0" applyFill="1" applyBorder="1"/>
    <xf numFmtId="165" fontId="0" fillId="0" borderId="9" xfId="0" applyNumberFormat="1" applyFill="1" applyBorder="1"/>
    <xf numFmtId="2" fontId="0" fillId="0" borderId="9" xfId="0" applyNumberFormat="1" applyBorder="1"/>
    <xf numFmtId="2" fontId="0" fillId="0" borderId="0" xfId="0" applyNumberFormat="1" applyBorder="1"/>
    <xf numFmtId="0" fontId="1" fillId="0" borderId="0" xfId="0" applyFont="1" applyBorder="1"/>
    <xf numFmtId="2" fontId="0" fillId="0" borderId="0" xfId="0" applyNumberFormat="1" applyFill="1" applyBorder="1"/>
    <xf numFmtId="2" fontId="0" fillId="0" borderId="9" xfId="0" applyNumberFormat="1" applyFill="1" applyBorder="1"/>
    <xf numFmtId="0" fontId="3" fillId="0" borderId="9" xfId="1" applyBorder="1"/>
    <xf numFmtId="2" fontId="3" fillId="0" borderId="9" xfId="1" applyNumberFormat="1" applyBorder="1"/>
    <xf numFmtId="2" fontId="1" fillId="0" borderId="0" xfId="0" applyNumberFormat="1" applyFont="1" applyBorder="1"/>
    <xf numFmtId="166" fontId="3" fillId="0" borderId="0" xfId="1" applyNumberFormat="1" applyBorder="1"/>
    <xf numFmtId="165" fontId="15" fillId="0" borderId="9" xfId="0" applyNumberFormat="1" applyFont="1" applyBorder="1"/>
    <xf numFmtId="165" fontId="1" fillId="0" borderId="0" xfId="0" applyNumberFormat="1" applyFont="1" applyBorder="1" applyAlignment="1">
      <alignment wrapText="1"/>
    </xf>
    <xf numFmtId="9" fontId="0" fillId="0" borderId="0" xfId="0" applyNumberFormat="1" applyBorder="1"/>
    <xf numFmtId="9" fontId="0" fillId="0" borderId="0" xfId="0" applyNumberFormat="1" applyFont="1" applyBorder="1"/>
    <xf numFmtId="0" fontId="0" fillId="0" borderId="0" xfId="0" applyFont="1" applyFill="1" applyBorder="1" applyAlignment="1">
      <alignment wrapText="1"/>
    </xf>
    <xf numFmtId="0" fontId="0" fillId="0" borderId="0" xfId="1" applyFont="1" applyBorder="1"/>
    <xf numFmtId="0" fontId="2" fillId="0" borderId="0" xfId="0" applyFont="1" applyBorder="1"/>
    <xf numFmtId="165" fontId="0" fillId="0" borderId="0" xfId="0" applyNumberFormat="1" applyFont="1" applyBorder="1"/>
    <xf numFmtId="165" fontId="1" fillId="0" borderId="0" xfId="0" applyNumberFormat="1" applyFont="1" applyBorder="1"/>
    <xf numFmtId="9" fontId="1" fillId="0" borderId="0" xfId="0" applyNumberFormat="1" applyFont="1" applyBorder="1"/>
    <xf numFmtId="0" fontId="16" fillId="0" borderId="0" xfId="0" applyFont="1" applyBorder="1"/>
    <xf numFmtId="0" fontId="0" fillId="0" borderId="0" xfId="0" applyBorder="1" applyAlignment="1">
      <alignment wrapText="1"/>
    </xf>
    <xf numFmtId="165" fontId="1" fillId="0" borderId="0" xfId="0" applyNumberFormat="1" applyFont="1" applyBorder="1" applyAlignment="1">
      <alignment horizontal="right"/>
    </xf>
    <xf numFmtId="0" fontId="1" fillId="0" borderId="0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0" fontId="2" fillId="0" borderId="0" xfId="0" applyFont="1" applyFill="1" applyBorder="1"/>
    <xf numFmtId="167" fontId="17" fillId="0" borderId="0" xfId="0" applyNumberFormat="1" applyFont="1" applyBorder="1"/>
    <xf numFmtId="9" fontId="15" fillId="0" borderId="0" xfId="4" applyFont="1" applyBorder="1"/>
    <xf numFmtId="9" fontId="15" fillId="0" borderId="9" xfId="4" applyFont="1" applyBorder="1"/>
    <xf numFmtId="165" fontId="3" fillId="0" borderId="9" xfId="1" applyNumberFormat="1" applyBorder="1"/>
    <xf numFmtId="0" fontId="0" fillId="0" borderId="9" xfId="0" applyBorder="1" applyAlignment="1">
      <alignment wrapText="1"/>
    </xf>
    <xf numFmtId="0" fontId="1" fillId="0" borderId="9" xfId="0" applyFont="1" applyBorder="1"/>
    <xf numFmtId="0" fontId="0" fillId="0" borderId="9" xfId="0" applyFont="1" applyBorder="1"/>
    <xf numFmtId="9" fontId="0" fillId="0" borderId="9" xfId="0" applyNumberFormat="1" applyFont="1" applyBorder="1"/>
    <xf numFmtId="167" fontId="17" fillId="0" borderId="9" xfId="0" applyNumberFormat="1" applyFont="1" applyBorder="1"/>
    <xf numFmtId="0" fontId="14" fillId="0" borderId="0" xfId="0" applyFont="1" applyFill="1" applyBorder="1"/>
    <xf numFmtId="167" fontId="20" fillId="0" borderId="0" xfId="0" applyNumberFormat="1" applyFont="1" applyBorder="1"/>
    <xf numFmtId="2" fontId="0" fillId="0" borderId="0" xfId="0" applyNumberFormat="1" applyFont="1" applyFill="1" applyBorder="1"/>
    <xf numFmtId="2" fontId="0" fillId="0" borderId="9" xfId="0" applyNumberFormat="1" applyFont="1" applyFill="1" applyBorder="1"/>
    <xf numFmtId="2" fontId="0" fillId="0" borderId="9" xfId="0" applyNumberFormat="1" applyFont="1" applyBorder="1"/>
    <xf numFmtId="167" fontId="2" fillId="0" borderId="0" xfId="0" applyNumberFormat="1" applyFont="1" applyBorder="1"/>
    <xf numFmtId="0" fontId="13" fillId="0" borderId="0" xfId="0" applyFont="1" applyBorder="1" applyAlignment="1">
      <alignment wrapText="1"/>
    </xf>
    <xf numFmtId="0" fontId="15" fillId="0" borderId="0" xfId="0" applyFont="1" applyBorder="1"/>
    <xf numFmtId="0" fontId="1" fillId="0" borderId="0" xfId="1" applyFont="1" applyBorder="1"/>
    <xf numFmtId="0" fontId="1" fillId="0" borderId="9" xfId="1" applyFont="1" applyBorder="1"/>
    <xf numFmtId="0" fontId="2" fillId="0" borderId="9" xfId="0" applyFont="1" applyBorder="1"/>
    <xf numFmtId="0" fontId="17" fillId="0" borderId="0" xfId="0" applyFont="1" applyBorder="1"/>
    <xf numFmtId="0" fontId="15" fillId="0" borderId="0" xfId="0" applyFont="1" applyBorder="1" applyAlignment="1">
      <alignment wrapText="1"/>
    </xf>
    <xf numFmtId="0" fontId="15" fillId="0" borderId="9" xfId="0" applyFont="1" applyBorder="1" applyAlignment="1">
      <alignment wrapText="1"/>
    </xf>
    <xf numFmtId="0" fontId="15" fillId="0" borderId="9" xfId="0" applyFont="1" applyFill="1" applyBorder="1" applyAlignment="1">
      <alignment wrapText="1"/>
    </xf>
    <xf numFmtId="0" fontId="15" fillId="0" borderId="0" xfId="0" applyFont="1" applyFill="1" applyBorder="1" applyAlignment="1">
      <alignment wrapText="1"/>
    </xf>
    <xf numFmtId="2" fontId="0" fillId="0" borderId="0" xfId="0" applyNumberFormat="1" applyFont="1" applyBorder="1"/>
    <xf numFmtId="165" fontId="0" fillId="0" borderId="0" xfId="0" applyNumberFormat="1" applyFont="1" applyFill="1" applyBorder="1"/>
    <xf numFmtId="165" fontId="16" fillId="0" borderId="0" xfId="0" applyNumberFormat="1" applyFont="1" applyBorder="1"/>
    <xf numFmtId="9" fontId="16" fillId="0" borderId="0" xfId="4" applyFont="1" applyBorder="1"/>
    <xf numFmtId="165" fontId="15" fillId="0" borderId="0" xfId="0" applyNumberFormat="1" applyFont="1" applyBorder="1"/>
    <xf numFmtId="165" fontId="1" fillId="0" borderId="9" xfId="0" applyNumberFormat="1" applyFont="1" applyBorder="1" applyAlignment="1">
      <alignment wrapText="1"/>
    </xf>
    <xf numFmtId="0" fontId="3" fillId="0" borderId="0" xfId="0" applyFont="1" applyBorder="1"/>
    <xf numFmtId="165" fontId="1" fillId="0" borderId="0" xfId="1" applyNumberFormat="1" applyFont="1" applyBorder="1"/>
    <xf numFmtId="0" fontId="9" fillId="0" borderId="0" xfId="2" applyBorder="1"/>
    <xf numFmtId="0" fontId="3" fillId="0" borderId="0" xfId="1" applyFont="1" applyBorder="1"/>
    <xf numFmtId="2" fontId="14" fillId="0" borderId="0" xfId="1" applyNumberFormat="1" applyFont="1" applyBorder="1"/>
    <xf numFmtId="0" fontId="10" fillId="0" borderId="0" xfId="3" applyFont="1" applyBorder="1"/>
    <xf numFmtId="0" fontId="1" fillId="0" borderId="0" xfId="3" applyFont="1" applyBorder="1"/>
    <xf numFmtId="0" fontId="11" fillId="0" borderId="0" xfId="3" applyFont="1" applyBorder="1"/>
    <xf numFmtId="0" fontId="12" fillId="0" borderId="0" xfId="3" applyFont="1" applyBorder="1"/>
    <xf numFmtId="0" fontId="0" fillId="0" borderId="0" xfId="3" applyFont="1" applyBorder="1"/>
    <xf numFmtId="0" fontId="3" fillId="0" borderId="0" xfId="3" applyBorder="1"/>
    <xf numFmtId="2" fontId="13" fillId="0" borderId="0" xfId="0" applyNumberFormat="1" applyFont="1" applyBorder="1"/>
    <xf numFmtId="0" fontId="13" fillId="0" borderId="0" xfId="0" applyFont="1" applyBorder="1"/>
    <xf numFmtId="0" fontId="12" fillId="0" borderId="9" xfId="3" applyFont="1" applyBorder="1"/>
    <xf numFmtId="0" fontId="3" fillId="0" borderId="9" xfId="3" applyBorder="1"/>
    <xf numFmtId="0" fontId="0" fillId="0" borderId="9" xfId="3" applyFont="1" applyBorder="1"/>
    <xf numFmtId="0" fontId="0" fillId="0" borderId="9" xfId="1" applyFont="1" applyBorder="1"/>
    <xf numFmtId="0" fontId="3" fillId="0" borderId="0" xfId="2" applyFont="1" applyBorder="1"/>
    <xf numFmtId="165" fontId="0" fillId="0" borderId="9" xfId="0" applyNumberFormat="1" applyFont="1" applyBorder="1"/>
    <xf numFmtId="0" fontId="3" fillId="0" borderId="0" xfId="3" applyFont="1" applyBorder="1"/>
    <xf numFmtId="0" fontId="15" fillId="0" borderId="0" xfId="0" applyFont="1" applyFill="1" applyBorder="1"/>
    <xf numFmtId="165" fontId="0" fillId="0" borderId="9" xfId="0" applyNumberFormat="1" applyFont="1" applyFill="1" applyBorder="1"/>
    <xf numFmtId="167" fontId="17" fillId="0" borderId="0" xfId="0" applyNumberFormat="1" applyFont="1" applyFill="1" applyBorder="1"/>
    <xf numFmtId="9" fontId="0" fillId="0" borderId="0" xfId="0" applyNumberFormat="1"/>
    <xf numFmtId="165" fontId="1" fillId="0" borderId="9" xfId="0" applyNumberFormat="1" applyFont="1" applyBorder="1"/>
    <xf numFmtId="166" fontId="0" fillId="0" borderId="0" xfId="0" applyNumberFormat="1" applyBorder="1"/>
    <xf numFmtId="166" fontId="0" fillId="0" borderId="0" xfId="0" applyNumberFormat="1"/>
    <xf numFmtId="166" fontId="0" fillId="0" borderId="9" xfId="0" applyNumberFormat="1" applyBorder="1"/>
    <xf numFmtId="0" fontId="21" fillId="0" borderId="0" xfId="0" applyFont="1" applyFill="1" applyBorder="1"/>
    <xf numFmtId="0" fontId="22" fillId="0" borderId="0" xfId="0" applyFont="1" applyBorder="1"/>
    <xf numFmtId="165" fontId="21" fillId="0" borderId="9" xfId="0" applyNumberFormat="1" applyFont="1" applyBorder="1"/>
    <xf numFmtId="165" fontId="23" fillId="0" borderId="0" xfId="0" applyNumberFormat="1" applyFont="1" applyBorder="1"/>
    <xf numFmtId="165" fontId="21" fillId="0" borderId="0" xfId="0" applyNumberFormat="1" applyFont="1" applyBorder="1"/>
    <xf numFmtId="0" fontId="21" fillId="0" borderId="0" xfId="0" applyFont="1" applyBorder="1"/>
    <xf numFmtId="2" fontId="0" fillId="0" borderId="0" xfId="1" applyNumberFormat="1" applyFont="1" applyBorder="1"/>
    <xf numFmtId="166" fontId="1" fillId="0" borderId="0" xfId="0" applyNumberFormat="1" applyFont="1" applyBorder="1"/>
    <xf numFmtId="2" fontId="1" fillId="0" borderId="0" xfId="0" applyNumberFormat="1" applyFont="1" applyFill="1" applyBorder="1"/>
    <xf numFmtId="0" fontId="14" fillId="0" borderId="0" xfId="0" applyFont="1" applyBorder="1"/>
    <xf numFmtId="2" fontId="24" fillId="0" borderId="0" xfId="0" applyNumberFormat="1" applyFont="1" applyBorder="1"/>
    <xf numFmtId="165" fontId="3" fillId="0" borderId="0" xfId="0" applyNumberFormat="1" applyFont="1" applyBorder="1"/>
    <xf numFmtId="165" fontId="3" fillId="0" borderId="9" xfId="0" applyNumberFormat="1" applyFont="1" applyBorder="1"/>
  </cellXfs>
  <cellStyles count="5">
    <cellStyle name="Hyperlink" xfId="2" builtinId="8"/>
    <cellStyle name="Normal" xfId="0" builtinId="0"/>
    <cellStyle name="Normal 2" xfId="1"/>
    <cellStyle name="Normal 3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6" sqref="F16"/>
    </sheetView>
  </sheetViews>
  <sheetFormatPr defaultColWidth="8.85546875" defaultRowHeight="15" x14ac:dyDescent="0.25"/>
  <cols>
    <col min="1" max="1" width="20.42578125" style="26" bestFit="1" customWidth="1"/>
    <col min="2" max="2" width="26.7109375" style="21" bestFit="1" customWidth="1"/>
    <col min="3" max="3" width="17.85546875" style="21" bestFit="1" customWidth="1"/>
    <col min="4" max="4" width="18.85546875" style="21" bestFit="1" customWidth="1"/>
    <col min="5" max="5" width="17.28515625" style="21" bestFit="1" customWidth="1"/>
    <col min="6" max="6" width="11.85546875" style="21" bestFit="1" customWidth="1"/>
    <col min="7" max="16384" width="8.85546875" style="21"/>
  </cols>
  <sheetData>
    <row r="1" spans="1:7" x14ac:dyDescent="0.25">
      <c r="A1" s="42" t="s">
        <v>0</v>
      </c>
      <c r="B1" s="21" t="s">
        <v>5</v>
      </c>
      <c r="C1" s="21" t="s">
        <v>7</v>
      </c>
      <c r="D1" s="21" t="s">
        <v>58</v>
      </c>
      <c r="E1" s="21" t="s">
        <v>11</v>
      </c>
      <c r="F1" s="21" t="s">
        <v>12</v>
      </c>
      <c r="G1" s="21" t="s">
        <v>74</v>
      </c>
    </row>
    <row r="2" spans="1:7" x14ac:dyDescent="0.25">
      <c r="A2" s="55" t="s">
        <v>1</v>
      </c>
      <c r="B2" s="55" t="s">
        <v>6</v>
      </c>
      <c r="C2" s="55" t="s">
        <v>60</v>
      </c>
      <c r="D2" s="55"/>
      <c r="E2" s="55"/>
      <c r="F2" s="55"/>
    </row>
    <row r="3" spans="1:7" x14ac:dyDescent="0.25">
      <c r="A3" s="55" t="s">
        <v>2</v>
      </c>
      <c r="B3" s="55" t="s">
        <v>59</v>
      </c>
      <c r="C3" s="55"/>
      <c r="D3" s="55"/>
      <c r="E3" s="55"/>
      <c r="F3" s="55"/>
    </row>
    <row r="4" spans="1:7" s="30" customFormat="1" ht="15.75" thickBot="1" x14ac:dyDescent="0.3">
      <c r="A4" s="71" t="s">
        <v>3</v>
      </c>
      <c r="B4" s="29">
        <v>0.8</v>
      </c>
      <c r="C4" s="29">
        <v>0</v>
      </c>
      <c r="D4" s="30" t="s">
        <v>94</v>
      </c>
      <c r="E4" s="30">
        <v>0</v>
      </c>
      <c r="F4" s="30" t="s">
        <v>113</v>
      </c>
    </row>
    <row r="5" spans="1:7" x14ac:dyDescent="0.25">
      <c r="A5" s="33" t="s">
        <v>150</v>
      </c>
      <c r="B5" s="57">
        <f>1/1.2852</f>
        <v>0.77808901338313108</v>
      </c>
      <c r="C5" s="57">
        <f>35*Ref!B18</f>
        <v>0.126</v>
      </c>
      <c r="D5" s="42" t="s">
        <v>94</v>
      </c>
      <c r="E5" s="21">
        <v>0</v>
      </c>
      <c r="F5" s="21" t="s">
        <v>113</v>
      </c>
    </row>
    <row r="6" spans="1:7" x14ac:dyDescent="0.25">
      <c r="A6" s="60" t="s">
        <v>151</v>
      </c>
      <c r="B6" s="22">
        <f>B5</f>
        <v>0.77808901338313108</v>
      </c>
      <c r="C6" s="22">
        <f>C5</f>
        <v>0.126</v>
      </c>
      <c r="D6" s="22" t="str">
        <f>D5</f>
        <v>coal coking - IPCC</v>
      </c>
      <c r="E6" s="21">
        <v>0</v>
      </c>
      <c r="F6" s="21" t="s">
        <v>113</v>
      </c>
    </row>
    <row r="7" spans="1:7" s="30" customFormat="1" ht="15.75" thickBot="1" x14ac:dyDescent="0.3">
      <c r="A7" s="69" t="s">
        <v>154</v>
      </c>
      <c r="B7" s="29">
        <f>B5</f>
        <v>0.77808901338313108</v>
      </c>
      <c r="C7" s="29">
        <f>C5</f>
        <v>0.126</v>
      </c>
      <c r="D7" s="29" t="str">
        <f>D5</f>
        <v>coal coking - IPCC</v>
      </c>
      <c r="E7" s="32">
        <v>0.05</v>
      </c>
      <c r="F7" s="30" t="s">
        <v>113</v>
      </c>
    </row>
    <row r="8" spans="1:7" x14ac:dyDescent="0.25">
      <c r="A8" s="33" t="s">
        <v>119</v>
      </c>
      <c r="B8" s="57">
        <f>1/1.2852</f>
        <v>0.77808901338313108</v>
      </c>
      <c r="C8" s="57">
        <f>35*Ref!B18</f>
        <v>0.126</v>
      </c>
      <c r="D8" s="42" t="s">
        <v>94</v>
      </c>
      <c r="E8" s="21">
        <v>0</v>
      </c>
      <c r="F8" s="21" t="s">
        <v>113</v>
      </c>
    </row>
    <row r="9" spans="1:7" x14ac:dyDescent="0.25">
      <c r="A9" s="53" t="s">
        <v>152</v>
      </c>
      <c r="B9" s="22">
        <f>B10</f>
        <v>0.77808901338313108</v>
      </c>
      <c r="C9" s="22">
        <f>C10</f>
        <v>0.126</v>
      </c>
      <c r="D9" s="21" t="str">
        <f>D10</f>
        <v>coal coking - IPCC</v>
      </c>
      <c r="E9" s="21">
        <v>0</v>
      </c>
      <c r="F9" s="21" t="s">
        <v>113</v>
      </c>
    </row>
    <row r="10" spans="1:7" s="30" customFormat="1" ht="15.75" thickBot="1" x14ac:dyDescent="0.3">
      <c r="A10" s="69" t="s">
        <v>155</v>
      </c>
      <c r="B10" s="29">
        <f t="shared" ref="B10:D10" si="0">B8</f>
        <v>0.77808901338313108</v>
      </c>
      <c r="C10" s="29">
        <f t="shared" si="0"/>
        <v>0.126</v>
      </c>
      <c r="D10" s="30" t="str">
        <f t="shared" si="0"/>
        <v>coal coking - IPCC</v>
      </c>
      <c r="E10" s="32">
        <v>0.05</v>
      </c>
      <c r="F10" s="30" t="s">
        <v>113</v>
      </c>
    </row>
    <row r="11" spans="1:7" x14ac:dyDescent="0.25">
      <c r="A11" s="53" t="s">
        <v>120</v>
      </c>
      <c r="B11" s="57">
        <f>1/1.2852</f>
        <v>0.77808901338313108</v>
      </c>
      <c r="C11" s="57">
        <f>35*Ref!B18</f>
        <v>0.126</v>
      </c>
      <c r="D11" s="42" t="s">
        <v>94</v>
      </c>
      <c r="E11" s="21">
        <v>0</v>
      </c>
      <c r="F11" s="21" t="s">
        <v>113</v>
      </c>
    </row>
    <row r="12" spans="1:7" x14ac:dyDescent="0.25">
      <c r="A12" s="53" t="s">
        <v>153</v>
      </c>
      <c r="B12" s="22">
        <f>B11</f>
        <v>0.77808901338313108</v>
      </c>
      <c r="C12" s="22">
        <f>C11</f>
        <v>0.126</v>
      </c>
      <c r="D12" s="21" t="str">
        <f>D11</f>
        <v>coal coking - IPCC</v>
      </c>
      <c r="E12" s="27">
        <v>0</v>
      </c>
      <c r="F12" s="21" t="s">
        <v>113</v>
      </c>
    </row>
    <row r="13" spans="1:7" s="30" customFormat="1" ht="15.75" thickBot="1" x14ac:dyDescent="0.3">
      <c r="A13" s="63" t="s">
        <v>156</v>
      </c>
      <c r="B13" s="29">
        <f t="shared" ref="B13" si="1">B12</f>
        <v>0.77808901338313108</v>
      </c>
      <c r="C13" s="29">
        <f t="shared" ref="C13" si="2">C12</f>
        <v>0.126</v>
      </c>
      <c r="D13" s="30" t="str">
        <f>D11</f>
        <v>coal coking - IPCC</v>
      </c>
      <c r="E13" s="32">
        <v>0.05</v>
      </c>
      <c r="F13" s="30" t="s">
        <v>113</v>
      </c>
    </row>
    <row r="14" spans="1:7" s="42" customFormat="1" x14ac:dyDescent="0.25">
      <c r="A14" s="21"/>
      <c r="B14" s="21"/>
      <c r="C14" s="21"/>
      <c r="D14" s="21"/>
      <c r="E14" s="21"/>
      <c r="F14" s="21"/>
      <c r="G14" s="21"/>
    </row>
    <row r="30" spans="1:7" s="42" customFormat="1" x14ac:dyDescent="0.25">
      <c r="A30" s="26"/>
      <c r="B30" s="21"/>
      <c r="C30" s="21"/>
      <c r="D30" s="21"/>
      <c r="E30" s="21"/>
      <c r="F30" s="21"/>
      <c r="G30" s="2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topLeftCell="B1" workbookViewId="0">
      <selection activeCell="B2" sqref="A2:XFD2"/>
    </sheetView>
  </sheetViews>
  <sheetFormatPr defaultColWidth="8.85546875" defaultRowHeight="15" x14ac:dyDescent="0.25"/>
  <cols>
    <col min="1" max="1" width="24.85546875" customWidth="1"/>
    <col min="2" max="5" width="11.7109375" customWidth="1"/>
    <col min="6" max="6" width="14.85546875" customWidth="1"/>
    <col min="7" max="7" width="27.42578125" bestFit="1" customWidth="1"/>
    <col min="8" max="8" width="15.28515625" customWidth="1"/>
    <col min="9" max="10" width="11.28515625" customWidth="1"/>
    <col min="11" max="11" width="18.42578125" customWidth="1"/>
  </cols>
  <sheetData>
    <row r="1" spans="1:14" x14ac:dyDescent="0.25">
      <c r="A1" s="1" t="s">
        <v>0</v>
      </c>
      <c r="B1" t="s">
        <v>21</v>
      </c>
      <c r="C1" s="17" t="s">
        <v>138</v>
      </c>
      <c r="D1" t="s">
        <v>11</v>
      </c>
      <c r="E1" t="s">
        <v>12</v>
      </c>
      <c r="F1" t="s">
        <v>160</v>
      </c>
      <c r="G1" t="s">
        <v>162</v>
      </c>
      <c r="H1" t="s">
        <v>64</v>
      </c>
      <c r="I1" t="s">
        <v>170</v>
      </c>
      <c r="J1" t="s">
        <v>167</v>
      </c>
      <c r="K1" t="s">
        <v>7</v>
      </c>
      <c r="L1" t="s">
        <v>166</v>
      </c>
      <c r="M1" t="s">
        <v>172</v>
      </c>
      <c r="N1" t="s">
        <v>174</v>
      </c>
    </row>
    <row r="2" spans="1:14" s="3" customFormat="1" x14ac:dyDescent="0.25">
      <c r="A2" s="3" t="s">
        <v>1</v>
      </c>
      <c r="C2" s="3" t="s">
        <v>159</v>
      </c>
      <c r="D2" s="3" t="s">
        <v>133</v>
      </c>
      <c r="F2" s="3" t="s">
        <v>161</v>
      </c>
      <c r="H2" s="3" t="s">
        <v>139</v>
      </c>
      <c r="I2" s="3" t="s">
        <v>168</v>
      </c>
      <c r="J2" s="3" t="s">
        <v>168</v>
      </c>
      <c r="K2" s="3" t="s">
        <v>175</v>
      </c>
      <c r="L2" s="3" t="s">
        <v>180</v>
      </c>
      <c r="M2" s="3" t="s">
        <v>173</v>
      </c>
      <c r="N2" s="3" t="s">
        <v>173</v>
      </c>
    </row>
    <row r="3" spans="1:14" s="3" customFormat="1" x14ac:dyDescent="0.25">
      <c r="A3" s="3" t="s">
        <v>2</v>
      </c>
    </row>
    <row r="4" spans="1:14" s="21" customFormat="1" x14ac:dyDescent="0.25">
      <c r="A4" s="21" t="s">
        <v>3</v>
      </c>
      <c r="B4" s="21" t="s">
        <v>95</v>
      </c>
      <c r="C4" s="21">
        <v>0</v>
      </c>
      <c r="D4" s="21">
        <v>0</v>
      </c>
      <c r="E4" s="21" t="s">
        <v>113</v>
      </c>
      <c r="F4" s="21">
        <v>0.78900000000000003</v>
      </c>
      <c r="G4" s="21" t="s">
        <v>177</v>
      </c>
      <c r="H4" s="21">
        <v>0.21</v>
      </c>
      <c r="I4" s="21">
        <v>0.17</v>
      </c>
      <c r="J4" s="21">
        <v>0.47</v>
      </c>
      <c r="K4" s="21">
        <v>0</v>
      </c>
      <c r="L4" s="22">
        <f>(J4/44)*2*61*(1-0.99)</f>
        <v>1.3031818181818193E-2</v>
      </c>
      <c r="M4" s="21">
        <v>0.45</v>
      </c>
      <c r="N4" s="21">
        <v>0.73399999999999999</v>
      </c>
    </row>
    <row r="5" spans="1:14" s="21" customFormat="1" x14ac:dyDescent="0.25">
      <c r="A5" s="21" t="s">
        <v>178</v>
      </c>
      <c r="B5" s="21" t="s">
        <v>95</v>
      </c>
      <c r="C5" s="21">
        <v>0</v>
      </c>
      <c r="D5" s="21">
        <v>0</v>
      </c>
      <c r="E5" s="21" t="s">
        <v>113</v>
      </c>
      <c r="F5" s="41">
        <f>(0.36+0.01)/1.15</f>
        <v>0.32173913043478264</v>
      </c>
      <c r="G5" s="21" t="s">
        <v>177</v>
      </c>
      <c r="H5" s="21">
        <v>0</v>
      </c>
      <c r="I5" s="41">
        <f>0.32/1.15</f>
        <v>0.27826086956521739</v>
      </c>
      <c r="J5" s="21">
        <v>0</v>
      </c>
      <c r="K5" s="41">
        <f>0.027/1.15*Ref!B18*1000</f>
        <v>8.4521739130434786E-2</v>
      </c>
      <c r="L5" s="121">
        <f>J5*0.0016</f>
        <v>0</v>
      </c>
      <c r="M5" s="21">
        <v>0.14299999999999999</v>
      </c>
      <c r="N5" s="27">
        <v>0</v>
      </c>
    </row>
    <row r="6" spans="1:14" s="21" customFormat="1" x14ac:dyDescent="0.25">
      <c r="A6" s="21" t="s">
        <v>179</v>
      </c>
      <c r="B6" s="21" t="s">
        <v>95</v>
      </c>
      <c r="C6" s="21">
        <v>0</v>
      </c>
      <c r="D6" s="21">
        <v>0</v>
      </c>
      <c r="E6" s="21" t="s">
        <v>113</v>
      </c>
      <c r="F6" s="41">
        <v>1.52</v>
      </c>
      <c r="G6" s="21" t="s">
        <v>177</v>
      </c>
      <c r="H6" s="27">
        <v>0.1918</v>
      </c>
      <c r="I6" s="41">
        <v>0.193</v>
      </c>
      <c r="J6" s="21">
        <f>1.29-0.05</f>
        <v>1.24</v>
      </c>
      <c r="K6" s="41">
        <v>0</v>
      </c>
      <c r="L6" s="121">
        <f>J6*0.0015</f>
        <v>1.8600000000000001E-3</v>
      </c>
      <c r="M6" s="43">
        <v>2</v>
      </c>
      <c r="N6" s="21">
        <v>0</v>
      </c>
    </row>
    <row r="7" spans="1:14" s="30" customFormat="1" ht="15.75" thickBot="1" x14ac:dyDescent="0.3">
      <c r="A7" s="30" t="s">
        <v>176</v>
      </c>
      <c r="B7" s="30" t="str">
        <f>B4</f>
        <v>natural gas - IPCC</v>
      </c>
      <c r="C7" s="30">
        <f t="shared" ref="C7:N7" si="0">C4</f>
        <v>0</v>
      </c>
      <c r="D7" s="30">
        <f t="shared" si="0"/>
        <v>0</v>
      </c>
      <c r="E7" s="30" t="str">
        <f t="shared" si="0"/>
        <v>charcoal - IPCC</v>
      </c>
      <c r="F7" s="30">
        <v>0.6</v>
      </c>
      <c r="G7" s="30" t="s">
        <v>171</v>
      </c>
      <c r="H7" s="30">
        <f t="shared" si="0"/>
        <v>0.21</v>
      </c>
      <c r="I7" s="30">
        <f t="shared" si="0"/>
        <v>0.17</v>
      </c>
      <c r="J7" s="30">
        <f t="shared" si="0"/>
        <v>0.47</v>
      </c>
      <c r="K7" s="30">
        <f t="shared" si="0"/>
        <v>0</v>
      </c>
      <c r="L7" s="123">
        <f>J7*0.0015</f>
        <v>7.0500000000000001E-4</v>
      </c>
      <c r="M7" s="30">
        <f t="shared" si="0"/>
        <v>0.45</v>
      </c>
      <c r="N7" s="30">
        <f t="shared" si="0"/>
        <v>0.73399999999999999</v>
      </c>
    </row>
    <row r="8" spans="1:14" s="1" customFormat="1" x14ac:dyDescent="0.25">
      <c r="A8" s="1" t="s">
        <v>141</v>
      </c>
      <c r="B8" s="42" t="s">
        <v>95</v>
      </c>
      <c r="C8" s="42">
        <v>0</v>
      </c>
      <c r="D8" s="42">
        <v>0</v>
      </c>
      <c r="E8" s="42" t="s">
        <v>113</v>
      </c>
      <c r="F8" s="47">
        <v>1.52</v>
      </c>
      <c r="G8" s="42" t="s">
        <v>177</v>
      </c>
      <c r="H8" s="34">
        <v>0.1918</v>
      </c>
      <c r="I8" s="57">
        <v>0.193</v>
      </c>
      <c r="J8" s="42">
        <f>1.29-0.05</f>
        <v>1.24</v>
      </c>
      <c r="K8" s="47">
        <f>J8*90*Ref!B$18</f>
        <v>0.40175999999999995</v>
      </c>
      <c r="L8" s="131">
        <f>J8*0.0015</f>
        <v>1.8600000000000001E-3</v>
      </c>
      <c r="M8" s="132">
        <v>2</v>
      </c>
      <c r="N8" s="42">
        <v>0</v>
      </c>
    </row>
    <row r="9" spans="1:14" x14ac:dyDescent="0.25">
      <c r="A9" t="s">
        <v>142</v>
      </c>
      <c r="B9" t="str">
        <f t="shared" ref="B9:L9" si="1">B8</f>
        <v>natural gas - IPCC</v>
      </c>
      <c r="C9">
        <f t="shared" si="1"/>
        <v>0</v>
      </c>
      <c r="D9" s="119">
        <v>0.5</v>
      </c>
      <c r="E9" t="str">
        <f t="shared" si="1"/>
        <v>charcoal - IPCC</v>
      </c>
      <c r="F9">
        <f t="shared" si="1"/>
        <v>1.52</v>
      </c>
      <c r="G9" t="str">
        <f t="shared" si="1"/>
        <v>wood chips (EU no swiss, dry)</v>
      </c>
      <c r="H9">
        <f t="shared" si="1"/>
        <v>0.1918</v>
      </c>
      <c r="I9" s="18">
        <f t="shared" si="1"/>
        <v>0.193</v>
      </c>
      <c r="J9">
        <f t="shared" si="1"/>
        <v>1.24</v>
      </c>
      <c r="K9" s="24">
        <f t="shared" si="1"/>
        <v>0.40175999999999995</v>
      </c>
      <c r="L9" s="122">
        <f t="shared" si="1"/>
        <v>1.8600000000000001E-3</v>
      </c>
      <c r="M9">
        <f>M8</f>
        <v>2</v>
      </c>
      <c r="N9">
        <f>N8</f>
        <v>0</v>
      </c>
    </row>
    <row r="10" spans="1:14" s="30" customFormat="1" ht="15.75" thickBot="1" x14ac:dyDescent="0.3">
      <c r="A10" s="30" t="s">
        <v>143</v>
      </c>
      <c r="B10" s="30" t="str">
        <f t="shared" ref="B10:L10" si="2">B8</f>
        <v>natural gas - IPCC</v>
      </c>
      <c r="C10" s="30">
        <f t="shared" si="2"/>
        <v>0</v>
      </c>
      <c r="D10" s="32">
        <v>1</v>
      </c>
      <c r="E10" s="30" t="str">
        <f t="shared" si="2"/>
        <v>charcoal - IPCC</v>
      </c>
      <c r="F10" s="30">
        <f t="shared" si="2"/>
        <v>1.52</v>
      </c>
      <c r="G10" s="30" t="str">
        <f t="shared" si="2"/>
        <v>wood chips (EU no swiss, dry)</v>
      </c>
      <c r="H10" s="30">
        <f t="shared" si="2"/>
        <v>0.1918</v>
      </c>
      <c r="I10" s="29">
        <f t="shared" si="2"/>
        <v>0.193</v>
      </c>
      <c r="J10" s="30">
        <f t="shared" si="2"/>
        <v>1.24</v>
      </c>
      <c r="K10" s="40">
        <f t="shared" si="2"/>
        <v>0.40175999999999995</v>
      </c>
      <c r="L10" s="123">
        <f t="shared" si="2"/>
        <v>1.8600000000000001E-3</v>
      </c>
      <c r="M10" s="30">
        <f>M8</f>
        <v>2</v>
      </c>
      <c r="N10" s="30">
        <f>N8</f>
        <v>0</v>
      </c>
    </row>
    <row r="11" spans="1:14" s="1" customFormat="1" x14ac:dyDescent="0.25">
      <c r="A11" s="1" t="s">
        <v>144</v>
      </c>
      <c r="B11" s="42" t="s">
        <v>95</v>
      </c>
      <c r="C11" s="42">
        <v>0</v>
      </c>
      <c r="D11" s="42">
        <v>0</v>
      </c>
      <c r="E11" s="42" t="s">
        <v>113</v>
      </c>
      <c r="F11" s="47">
        <v>1.52</v>
      </c>
      <c r="G11" s="42" t="s">
        <v>177</v>
      </c>
      <c r="H11" s="34">
        <v>0.1918</v>
      </c>
      <c r="I11" s="57">
        <v>0.193</v>
      </c>
      <c r="J11" s="42">
        <f>1.29-0.05</f>
        <v>1.24</v>
      </c>
      <c r="K11" s="47">
        <f>J11*90*Ref!B$18</f>
        <v>0.40175999999999995</v>
      </c>
      <c r="L11" s="131">
        <f>J11*0.0015</f>
        <v>1.8600000000000001E-3</v>
      </c>
      <c r="M11" s="132">
        <v>2</v>
      </c>
      <c r="N11" s="42">
        <v>0</v>
      </c>
    </row>
    <row r="12" spans="1:14" x14ac:dyDescent="0.25">
      <c r="A12" t="s">
        <v>145</v>
      </c>
      <c r="B12" t="str">
        <f t="shared" ref="B12:L12" si="3">B11</f>
        <v>natural gas - IPCC</v>
      </c>
      <c r="C12">
        <f t="shared" si="3"/>
        <v>0</v>
      </c>
      <c r="D12" s="119">
        <v>0.5</v>
      </c>
      <c r="E12" t="str">
        <f t="shared" si="3"/>
        <v>charcoal - IPCC</v>
      </c>
      <c r="F12">
        <f t="shared" si="3"/>
        <v>1.52</v>
      </c>
      <c r="G12" t="str">
        <f t="shared" si="3"/>
        <v>wood chips (EU no swiss, dry)</v>
      </c>
      <c r="H12">
        <f t="shared" si="3"/>
        <v>0.1918</v>
      </c>
      <c r="I12" s="18">
        <f t="shared" si="3"/>
        <v>0.193</v>
      </c>
      <c r="J12">
        <f t="shared" si="3"/>
        <v>1.24</v>
      </c>
      <c r="K12" s="24">
        <f t="shared" si="3"/>
        <v>0.40175999999999995</v>
      </c>
      <c r="L12" s="122">
        <f t="shared" si="3"/>
        <v>1.8600000000000001E-3</v>
      </c>
      <c r="M12">
        <f>M11</f>
        <v>2</v>
      </c>
      <c r="N12">
        <f>N11</f>
        <v>0</v>
      </c>
    </row>
    <row r="13" spans="1:14" s="30" customFormat="1" ht="15.75" thickBot="1" x14ac:dyDescent="0.3">
      <c r="A13" s="30" t="s">
        <v>146</v>
      </c>
      <c r="B13" s="30" t="str">
        <f t="shared" ref="B13:L13" si="4">B11</f>
        <v>natural gas - IPCC</v>
      </c>
      <c r="C13" s="30">
        <f t="shared" si="4"/>
        <v>0</v>
      </c>
      <c r="D13" s="32">
        <v>1</v>
      </c>
      <c r="E13" s="30" t="str">
        <f t="shared" si="4"/>
        <v>charcoal - IPCC</v>
      </c>
      <c r="F13" s="30">
        <f t="shared" si="4"/>
        <v>1.52</v>
      </c>
      <c r="G13" s="30" t="str">
        <f t="shared" si="4"/>
        <v>wood chips (EU no swiss, dry)</v>
      </c>
      <c r="H13" s="30">
        <f t="shared" si="4"/>
        <v>0.1918</v>
      </c>
      <c r="I13" s="29">
        <f t="shared" si="4"/>
        <v>0.193</v>
      </c>
      <c r="J13" s="30">
        <f t="shared" si="4"/>
        <v>1.24</v>
      </c>
      <c r="K13" s="40">
        <f t="shared" si="4"/>
        <v>0.40175999999999995</v>
      </c>
      <c r="L13" s="123">
        <f t="shared" si="4"/>
        <v>1.8600000000000001E-3</v>
      </c>
      <c r="M13" s="30">
        <f>M11</f>
        <v>2</v>
      </c>
      <c r="N13" s="30">
        <f>N11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24" sqref="E24"/>
    </sheetView>
  </sheetViews>
  <sheetFormatPr defaultColWidth="8.85546875" defaultRowHeight="15" x14ac:dyDescent="0.25"/>
  <cols>
    <col min="1" max="1" width="24.140625" style="21" customWidth="1"/>
    <col min="2" max="2" width="15" style="20" bestFit="1" customWidth="1"/>
    <col min="3" max="3" width="17.85546875" style="20" bestFit="1" customWidth="1"/>
    <col min="4" max="4" width="15.85546875" style="20" bestFit="1" customWidth="1"/>
  </cols>
  <sheetData>
    <row r="1" spans="1:5" x14ac:dyDescent="0.25">
      <c r="A1" s="42" t="s">
        <v>0</v>
      </c>
      <c r="B1" s="54" t="s">
        <v>112</v>
      </c>
      <c r="C1" s="96" t="s">
        <v>9</v>
      </c>
      <c r="D1" s="42" t="s">
        <v>106</v>
      </c>
      <c r="E1" t="s">
        <v>89</v>
      </c>
    </row>
    <row r="2" spans="1:5" x14ac:dyDescent="0.25">
      <c r="A2" s="55" t="s">
        <v>1</v>
      </c>
      <c r="C2" s="54" t="s">
        <v>70</v>
      </c>
      <c r="E2" t="s">
        <v>164</v>
      </c>
    </row>
    <row r="3" spans="1:5" x14ac:dyDescent="0.25">
      <c r="A3" s="55" t="s">
        <v>2</v>
      </c>
    </row>
    <row r="4" spans="1:5" s="30" customFormat="1" ht="15.75" thickBot="1" x14ac:dyDescent="0.3">
      <c r="A4" s="30" t="s">
        <v>3</v>
      </c>
      <c r="B4" s="45"/>
      <c r="C4" s="45"/>
      <c r="D4" s="45"/>
    </row>
    <row r="5" spans="1:5" x14ac:dyDescent="0.25">
      <c r="A5" s="33" t="s">
        <v>150</v>
      </c>
      <c r="B5" s="97">
        <f>(2.1+2.1+2.6)*Ref!$C$12</f>
        <v>9.7078540198090469E-3</v>
      </c>
      <c r="C5" s="57">
        <f>(10.3+25+105.3)*Ref!B$18</f>
        <v>0.50615999999999994</v>
      </c>
      <c r="D5" s="113">
        <v>5.0000000000000001E-3</v>
      </c>
      <c r="E5">
        <f>1-(1000/1080)</f>
        <v>7.407407407407407E-2</v>
      </c>
    </row>
    <row r="6" spans="1:5" x14ac:dyDescent="0.25">
      <c r="A6" s="25" t="s">
        <v>151</v>
      </c>
      <c r="B6" s="22">
        <f t="shared" ref="B6:C7" si="0">B$5</f>
        <v>9.7078540198090469E-3</v>
      </c>
      <c r="C6" s="22">
        <f t="shared" si="0"/>
        <v>0.50615999999999994</v>
      </c>
      <c r="D6" s="21">
        <f>D5</f>
        <v>5.0000000000000001E-3</v>
      </c>
      <c r="E6">
        <f>E5</f>
        <v>7.407407407407407E-2</v>
      </c>
    </row>
    <row r="7" spans="1:5" s="30" customFormat="1" ht="15.75" thickBot="1" x14ac:dyDescent="0.3">
      <c r="A7" s="31" t="s">
        <v>154</v>
      </c>
      <c r="B7" s="29">
        <f t="shared" si="0"/>
        <v>9.7078540198090469E-3</v>
      </c>
      <c r="C7" s="29">
        <f t="shared" si="0"/>
        <v>0.50615999999999994</v>
      </c>
      <c r="D7" s="30">
        <f>D5</f>
        <v>5.0000000000000001E-3</v>
      </c>
      <c r="E7" s="30">
        <f>E5</f>
        <v>7.407407407407407E-2</v>
      </c>
    </row>
    <row r="8" spans="1:5" x14ac:dyDescent="0.25">
      <c r="A8" s="33" t="s">
        <v>119</v>
      </c>
      <c r="B8" s="97">
        <f>(2.1+2.1+2.6)*Ref!$C$12</f>
        <v>9.7078540198090469E-3</v>
      </c>
      <c r="C8" s="57">
        <f>(10.3+25+105.3)*Ref!B$18</f>
        <v>0.50615999999999994</v>
      </c>
      <c r="D8" s="113">
        <v>5.0000000000000001E-3</v>
      </c>
      <c r="E8">
        <f>1-(1000/1080)</f>
        <v>7.407407407407407E-2</v>
      </c>
    </row>
    <row r="9" spans="1:5" x14ac:dyDescent="0.25">
      <c r="A9" s="60" t="s">
        <v>152</v>
      </c>
      <c r="B9" s="23">
        <f>B8</f>
        <v>9.7078540198090469E-3</v>
      </c>
      <c r="C9" s="23">
        <f>C8</f>
        <v>0.50615999999999994</v>
      </c>
      <c r="D9" s="21">
        <f>D8</f>
        <v>5.0000000000000001E-3</v>
      </c>
      <c r="E9">
        <f>E8</f>
        <v>7.407407407407407E-2</v>
      </c>
    </row>
    <row r="10" spans="1:5" s="30" customFormat="1" ht="15.75" thickBot="1" x14ac:dyDescent="0.3">
      <c r="A10" s="63" t="s">
        <v>155</v>
      </c>
      <c r="B10" s="68">
        <f>B8</f>
        <v>9.7078540198090469E-3</v>
      </c>
      <c r="C10" s="68">
        <f>C8</f>
        <v>0.50615999999999994</v>
      </c>
      <c r="D10" s="30">
        <f>D8</f>
        <v>5.0000000000000001E-3</v>
      </c>
      <c r="E10" s="30">
        <f>E8</f>
        <v>7.407407407407407E-2</v>
      </c>
    </row>
    <row r="11" spans="1:5" x14ac:dyDescent="0.25">
      <c r="A11" s="62" t="s">
        <v>120</v>
      </c>
      <c r="B11" s="97">
        <f>(2.1+2.1+2.6)*Ref!$C$12</f>
        <v>9.7078540198090469E-3</v>
      </c>
      <c r="C11" s="57">
        <f>(10.3+25+105.3)*Ref!B$18</f>
        <v>0.50615999999999994</v>
      </c>
      <c r="D11" s="113">
        <v>5.0000000000000001E-3</v>
      </c>
      <c r="E11">
        <f>1-(1000/1080)</f>
        <v>7.407407407407407E-2</v>
      </c>
    </row>
    <row r="12" spans="1:5" x14ac:dyDescent="0.25">
      <c r="A12" s="53" t="s">
        <v>153</v>
      </c>
      <c r="B12" s="23">
        <f>B11</f>
        <v>9.7078540198090469E-3</v>
      </c>
      <c r="C12" s="23">
        <f>C11</f>
        <v>0.50615999999999994</v>
      </c>
      <c r="D12" s="21">
        <f>D11</f>
        <v>5.0000000000000001E-3</v>
      </c>
      <c r="E12">
        <f>E11</f>
        <v>7.407407407407407E-2</v>
      </c>
    </row>
    <row r="13" spans="1:5" s="30" customFormat="1" ht="15.75" thickBot="1" x14ac:dyDescent="0.3">
      <c r="A13" s="63" t="s">
        <v>156</v>
      </c>
      <c r="B13" s="68">
        <f>B11</f>
        <v>9.7078540198090469E-3</v>
      </c>
      <c r="C13" s="68">
        <f>C11</f>
        <v>0.50615999999999994</v>
      </c>
      <c r="D13" s="30">
        <f>D11</f>
        <v>5.0000000000000001E-3</v>
      </c>
      <c r="E13" s="30">
        <f>E11</f>
        <v>7.407407407407407E-2</v>
      </c>
    </row>
    <row r="14" spans="1:5" x14ac:dyDescent="0.25">
      <c r="A14" s="21" t="s">
        <v>141</v>
      </c>
      <c r="B14" s="97">
        <f>(2.1+2.1+2.6)*Ref!$C$12</f>
        <v>9.7078540198090469E-3</v>
      </c>
      <c r="C14" s="57">
        <f>(10.3+25+105.3)*Ref!B$18</f>
        <v>0.50615999999999994</v>
      </c>
      <c r="D14" s="113">
        <v>5.0000000000000001E-3</v>
      </c>
      <c r="E14">
        <f>1-(1000/1080)</f>
        <v>7.407407407407407E-2</v>
      </c>
    </row>
    <row r="15" spans="1:5" x14ac:dyDescent="0.25">
      <c r="A15" s="21" t="s">
        <v>142</v>
      </c>
      <c r="B15" s="23">
        <f>B14</f>
        <v>9.7078540198090469E-3</v>
      </c>
      <c r="C15" s="23">
        <f>C14</f>
        <v>0.50615999999999994</v>
      </c>
      <c r="D15" s="21">
        <f>D14</f>
        <v>5.0000000000000001E-3</v>
      </c>
      <c r="E15">
        <f>E14</f>
        <v>7.407407407407407E-2</v>
      </c>
    </row>
    <row r="16" spans="1:5" s="30" customFormat="1" ht="15.75" thickBot="1" x14ac:dyDescent="0.3">
      <c r="A16" s="30" t="s">
        <v>143</v>
      </c>
      <c r="B16" s="68">
        <f>B14</f>
        <v>9.7078540198090469E-3</v>
      </c>
      <c r="C16" s="68">
        <f>C14</f>
        <v>0.50615999999999994</v>
      </c>
      <c r="D16" s="30">
        <f>D14</f>
        <v>5.0000000000000001E-3</v>
      </c>
      <c r="E16" s="30">
        <f>E14</f>
        <v>7.407407407407407E-2</v>
      </c>
    </row>
    <row r="17" spans="1:5" x14ac:dyDescent="0.25">
      <c r="A17" s="21" t="s">
        <v>144</v>
      </c>
      <c r="B17" s="97">
        <f>(2.1+2.1+2.6)*Ref!$C$12</f>
        <v>9.7078540198090469E-3</v>
      </c>
      <c r="C17" s="57">
        <f>(10.3+25+105.3)*Ref!B$18</f>
        <v>0.50615999999999994</v>
      </c>
      <c r="D17" s="113">
        <v>5.0000000000000001E-3</v>
      </c>
      <c r="E17">
        <f>1-(1000/1080)</f>
        <v>7.407407407407407E-2</v>
      </c>
    </row>
    <row r="18" spans="1:5" x14ac:dyDescent="0.25">
      <c r="A18" s="21" t="s">
        <v>145</v>
      </c>
      <c r="B18" s="23">
        <f>B17</f>
        <v>9.7078540198090469E-3</v>
      </c>
      <c r="C18" s="23">
        <f>C17</f>
        <v>0.50615999999999994</v>
      </c>
      <c r="D18" s="21">
        <f>D17</f>
        <v>5.0000000000000001E-3</v>
      </c>
      <c r="E18">
        <f>E17</f>
        <v>7.407407407407407E-2</v>
      </c>
    </row>
    <row r="19" spans="1:5" s="30" customFormat="1" ht="15.75" thickBot="1" x14ac:dyDescent="0.3">
      <c r="A19" s="30" t="s">
        <v>146</v>
      </c>
      <c r="B19" s="68">
        <f>B17</f>
        <v>9.7078540198090469E-3</v>
      </c>
      <c r="C19" s="68">
        <f>C17</f>
        <v>0.50615999999999994</v>
      </c>
      <c r="D19" s="30">
        <f>D17</f>
        <v>5.0000000000000001E-3</v>
      </c>
      <c r="E19" s="30">
        <f>E17</f>
        <v>7.407407407407407E-2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E24" sqref="E24"/>
    </sheetView>
  </sheetViews>
  <sheetFormatPr defaultColWidth="10.140625" defaultRowHeight="15" x14ac:dyDescent="0.25"/>
  <cols>
    <col min="1" max="1" width="24.140625" style="21" customWidth="1"/>
    <col min="2" max="2" width="15" style="20" bestFit="1" customWidth="1"/>
    <col min="3" max="3" width="17.85546875" style="20" bestFit="1" customWidth="1"/>
    <col min="4" max="4" width="15.85546875" style="20" bestFit="1" customWidth="1"/>
    <col min="5" max="5" width="19" style="20" bestFit="1" customWidth="1"/>
    <col min="6" max="6" width="17.85546875" style="20" bestFit="1" customWidth="1"/>
    <col min="7" max="7" width="28.42578125" style="20" bestFit="1" customWidth="1"/>
    <col min="8" max="16384" width="10.140625" style="20"/>
  </cols>
  <sheetData>
    <row r="1" spans="1:4" s="42" customFormat="1" x14ac:dyDescent="0.25">
      <c r="A1" s="42" t="s">
        <v>0</v>
      </c>
      <c r="B1" s="54" t="s">
        <v>57</v>
      </c>
      <c r="C1" s="96" t="s">
        <v>9</v>
      </c>
      <c r="D1" s="42" t="s">
        <v>74</v>
      </c>
    </row>
    <row r="2" spans="1:4" x14ac:dyDescent="0.25">
      <c r="A2" s="55" t="s">
        <v>1</v>
      </c>
      <c r="C2" s="54" t="s">
        <v>70</v>
      </c>
    </row>
    <row r="3" spans="1:4" x14ac:dyDescent="0.25">
      <c r="A3" s="55" t="s">
        <v>2</v>
      </c>
    </row>
    <row r="4" spans="1:4" x14ac:dyDescent="0.25">
      <c r="A4" s="21" t="s">
        <v>3</v>
      </c>
      <c r="B4" s="97">
        <v>0.9</v>
      </c>
      <c r="C4" s="57">
        <f>0.55*Ref!B$18/Ref!$C$12</f>
        <v>1.3869182594347289</v>
      </c>
    </row>
    <row r="5" spans="1:4" x14ac:dyDescent="0.25">
      <c r="A5" s="21" t="s">
        <v>178</v>
      </c>
      <c r="B5" s="97">
        <f>B4</f>
        <v>0.9</v>
      </c>
      <c r="C5" s="57">
        <f>C4</f>
        <v>1.3869182594347289</v>
      </c>
    </row>
    <row r="6" spans="1:4" x14ac:dyDescent="0.25">
      <c r="A6" s="21" t="s">
        <v>179</v>
      </c>
      <c r="B6" s="97">
        <f>B4</f>
        <v>0.9</v>
      </c>
      <c r="C6" s="57">
        <f>C4</f>
        <v>1.3869182594347289</v>
      </c>
    </row>
    <row r="7" spans="1:4" s="45" customFormat="1" ht="15.75" thickBot="1" x14ac:dyDescent="0.3">
      <c r="A7" s="38" t="s">
        <v>176</v>
      </c>
      <c r="B7" s="68">
        <f>B4</f>
        <v>0.9</v>
      </c>
      <c r="C7" s="120">
        <f>C4</f>
        <v>1.3869182594347289</v>
      </c>
    </row>
    <row r="8" spans="1:4" s="42" customFormat="1" x14ac:dyDescent="0.25">
      <c r="A8" s="33" t="s">
        <v>150</v>
      </c>
      <c r="B8" s="97">
        <v>0.9</v>
      </c>
      <c r="C8" s="57">
        <f>0.55*Ref!B$18/Ref!$C$12</f>
        <v>1.3869182594347289</v>
      </c>
      <c r="D8" s="98"/>
    </row>
    <row r="9" spans="1:4" s="21" customFormat="1" x14ac:dyDescent="0.25">
      <c r="A9" s="25" t="s">
        <v>151</v>
      </c>
      <c r="B9" s="22">
        <f t="shared" ref="B9:C10" si="0">B$8</f>
        <v>0.9</v>
      </c>
      <c r="C9" s="22">
        <f t="shared" si="0"/>
        <v>1.3869182594347289</v>
      </c>
    </row>
    <row r="10" spans="1:4" s="30" customFormat="1" ht="15.75" thickBot="1" x14ac:dyDescent="0.3">
      <c r="A10" s="31" t="s">
        <v>154</v>
      </c>
      <c r="B10" s="29">
        <f t="shared" si="0"/>
        <v>0.9</v>
      </c>
      <c r="C10" s="29">
        <f t="shared" si="0"/>
        <v>1.3869182594347289</v>
      </c>
    </row>
    <row r="11" spans="1:4" s="21" customFormat="1" x14ac:dyDescent="0.25">
      <c r="A11" s="33" t="s">
        <v>119</v>
      </c>
      <c r="B11" s="97">
        <v>0.9</v>
      </c>
      <c r="C11" s="97">
        <f>(0.55*Ref!B18/Ref!C12*(38/158.3))+(0.47*Ref!B18/Ref!C12*(120.3/158.3))</f>
        <v>1.2336109450282529</v>
      </c>
      <c r="D11" s="98"/>
    </row>
    <row r="12" spans="1:4" s="42" customFormat="1" x14ac:dyDescent="0.25">
      <c r="A12" s="60" t="s">
        <v>152</v>
      </c>
      <c r="B12" s="23">
        <f>B11</f>
        <v>0.9</v>
      </c>
      <c r="C12" s="23">
        <f>C11</f>
        <v>1.2336109450282529</v>
      </c>
      <c r="D12" s="20"/>
    </row>
    <row r="13" spans="1:4" s="30" customFormat="1" ht="15.75" thickBot="1" x14ac:dyDescent="0.3">
      <c r="A13" s="63" t="s">
        <v>155</v>
      </c>
      <c r="B13" s="68">
        <f>B11</f>
        <v>0.9</v>
      </c>
      <c r="C13" s="68">
        <f>C11</f>
        <v>1.2336109450282529</v>
      </c>
      <c r="D13" s="45"/>
    </row>
    <row r="14" spans="1:4" s="21" customFormat="1" x14ac:dyDescent="0.25">
      <c r="A14" s="62" t="s">
        <v>120</v>
      </c>
      <c r="B14" s="20">
        <v>0.9</v>
      </c>
      <c r="C14" s="97">
        <f>(0.55*Ref!B18/Ref!C12*(38/158.3))+(0.47*Ref!B18/Ref!C12*(120.3/158.3))</f>
        <v>1.2336109450282529</v>
      </c>
      <c r="D14" s="20"/>
    </row>
    <row r="15" spans="1:4" s="21" customFormat="1" x14ac:dyDescent="0.25">
      <c r="A15" s="53" t="s">
        <v>153</v>
      </c>
      <c r="B15" s="23">
        <f>B14</f>
        <v>0.9</v>
      </c>
      <c r="C15" s="23">
        <f>C14</f>
        <v>1.2336109450282529</v>
      </c>
      <c r="D15" s="20"/>
    </row>
    <row r="16" spans="1:4" s="70" customFormat="1" ht="15.75" thickBot="1" x14ac:dyDescent="0.3">
      <c r="A16" s="63" t="s">
        <v>156</v>
      </c>
      <c r="B16" s="68">
        <f>B14</f>
        <v>0.9</v>
      </c>
      <c r="C16" s="68">
        <f>C14</f>
        <v>1.2336109450282529</v>
      </c>
      <c r="D16" s="45"/>
    </row>
    <row r="17" spans="1:4" s="21" customFormat="1" x14ac:dyDescent="0.25">
      <c r="A17" s="21" t="s">
        <v>141</v>
      </c>
      <c r="B17" s="20">
        <v>0.9</v>
      </c>
      <c r="C17" s="57">
        <f>0.55*Ref!B$18/Ref!$C$12</f>
        <v>1.3869182594347289</v>
      </c>
      <c r="D17" s="20"/>
    </row>
    <row r="18" spans="1:4" s="21" customFormat="1" x14ac:dyDescent="0.25">
      <c r="A18" s="21" t="s">
        <v>142</v>
      </c>
      <c r="B18" s="20">
        <f>B17</f>
        <v>0.9</v>
      </c>
      <c r="C18" s="23">
        <f>C17</f>
        <v>1.3869182594347289</v>
      </c>
      <c r="D18" s="20"/>
    </row>
    <row r="19" spans="1:4" s="30" customFormat="1" ht="15.75" thickBot="1" x14ac:dyDescent="0.3">
      <c r="A19" s="30" t="s">
        <v>143</v>
      </c>
      <c r="B19" s="45">
        <f>B17</f>
        <v>0.9</v>
      </c>
      <c r="C19" s="68">
        <f>C17</f>
        <v>1.3869182594347289</v>
      </c>
      <c r="D19" s="45"/>
    </row>
    <row r="20" spans="1:4" s="42" customFormat="1" x14ac:dyDescent="0.25">
      <c r="A20" s="21" t="s">
        <v>144</v>
      </c>
      <c r="B20" s="20">
        <v>0.9</v>
      </c>
      <c r="C20" s="57">
        <f>0.55*Ref!B$18/Ref!$C$12</f>
        <v>1.3869182594347289</v>
      </c>
      <c r="D20" s="20"/>
    </row>
    <row r="21" spans="1:4" s="21" customFormat="1" x14ac:dyDescent="0.25">
      <c r="A21" s="21" t="s">
        <v>145</v>
      </c>
      <c r="B21" s="20">
        <f>B20</f>
        <v>0.9</v>
      </c>
      <c r="C21" s="23">
        <f>C20</f>
        <v>1.3869182594347289</v>
      </c>
      <c r="D21" s="20"/>
    </row>
    <row r="22" spans="1:4" s="30" customFormat="1" ht="15.75" thickBot="1" x14ac:dyDescent="0.3">
      <c r="A22" s="30" t="s">
        <v>146</v>
      </c>
      <c r="B22" s="45">
        <f>B20</f>
        <v>0.9</v>
      </c>
      <c r="C22" s="68">
        <f>C20</f>
        <v>1.3869182594347289</v>
      </c>
      <c r="D22" s="45"/>
    </row>
    <row r="23" spans="1:4" s="21" customFormat="1" x14ac:dyDescent="0.25">
      <c r="C23" s="20"/>
      <c r="D23" s="20"/>
    </row>
    <row r="24" spans="1:4" s="42" customFormat="1" x14ac:dyDescent="0.25">
      <c r="A24" s="21"/>
      <c r="B24" s="20"/>
      <c r="C24" s="20"/>
      <c r="D24" s="20"/>
    </row>
    <row r="25" spans="1:4" s="21" customFormat="1" x14ac:dyDescent="0.25">
      <c r="B25" s="20"/>
      <c r="C25" s="20"/>
      <c r="D25" s="20"/>
    </row>
    <row r="26" spans="1:4" s="21" customFormat="1" x14ac:dyDescent="0.25">
      <c r="B26" s="20"/>
      <c r="C26" s="20"/>
      <c r="D26" s="20"/>
    </row>
    <row r="27" spans="1:4" s="21" customFormat="1" x14ac:dyDescent="0.25">
      <c r="B27" s="20"/>
      <c r="C27" s="20"/>
      <c r="D27" s="20"/>
    </row>
    <row r="28" spans="1:4" s="42" customFormat="1" x14ac:dyDescent="0.25">
      <c r="A28" s="21"/>
      <c r="B28" s="20"/>
      <c r="C28" s="20"/>
      <c r="D28" s="20"/>
    </row>
    <row r="29" spans="1:4" s="21" customFormat="1" x14ac:dyDescent="0.25">
      <c r="B29" s="20"/>
      <c r="C29" s="20"/>
      <c r="D29" s="20"/>
    </row>
    <row r="30" spans="1:4" s="21" customFormat="1" x14ac:dyDescent="0.25">
      <c r="B30" s="20"/>
      <c r="C30" s="20"/>
      <c r="D30" s="20"/>
    </row>
    <row r="31" spans="1:4" s="21" customFormat="1" x14ac:dyDescent="0.25">
      <c r="B31" s="20"/>
      <c r="C31" s="20"/>
      <c r="D31" s="20"/>
    </row>
    <row r="32" spans="1:4" s="21" customFormat="1" x14ac:dyDescent="0.25">
      <c r="B32" s="20"/>
      <c r="C32" s="20"/>
      <c r="D32" s="20"/>
    </row>
    <row r="36" spans="1:4" s="42" customFormat="1" x14ac:dyDescent="0.25">
      <c r="A36" s="21"/>
      <c r="B36" s="20"/>
      <c r="C36" s="20"/>
      <c r="D36" s="20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B1" sqref="B1"/>
    </sheetView>
  </sheetViews>
  <sheetFormatPr defaultColWidth="10.140625" defaultRowHeight="15" x14ac:dyDescent="0.25"/>
  <cols>
    <col min="1" max="1" width="23.28515625" style="21" customWidth="1"/>
    <col min="2" max="2" width="13.140625" style="20" bestFit="1" customWidth="1"/>
    <col min="3" max="3" width="13.140625" style="20" customWidth="1"/>
    <col min="4" max="4" width="15.85546875" style="20" bestFit="1" customWidth="1"/>
    <col min="5" max="5" width="19" style="20" bestFit="1" customWidth="1"/>
    <col min="6" max="6" width="17.85546875" style="20" bestFit="1" customWidth="1"/>
    <col min="7" max="7" width="28.42578125" style="20" bestFit="1" customWidth="1"/>
    <col min="8" max="8" width="20.42578125" style="20" bestFit="1" customWidth="1"/>
    <col min="9" max="9" width="11" style="20" bestFit="1" customWidth="1"/>
    <col min="10" max="16384" width="10.140625" style="20"/>
  </cols>
  <sheetData>
    <row r="1" spans="1:10" x14ac:dyDescent="0.25">
      <c r="A1" s="42" t="s">
        <v>0</v>
      </c>
      <c r="B1" s="99" t="s">
        <v>56</v>
      </c>
      <c r="C1" s="99" t="s">
        <v>75</v>
      </c>
      <c r="D1" s="42" t="s">
        <v>58</v>
      </c>
      <c r="E1" s="42" t="s">
        <v>2</v>
      </c>
      <c r="F1" s="42" t="s">
        <v>96</v>
      </c>
      <c r="G1" s="42"/>
      <c r="H1" s="42"/>
      <c r="I1" s="42"/>
      <c r="J1" s="42"/>
    </row>
    <row r="2" spans="1:10" x14ac:dyDescent="0.25">
      <c r="A2" s="55" t="s">
        <v>1</v>
      </c>
      <c r="B2" s="54" t="s">
        <v>63</v>
      </c>
      <c r="C2" s="54" t="s">
        <v>76</v>
      </c>
      <c r="G2" s="99"/>
    </row>
    <row r="3" spans="1:10" x14ac:dyDescent="0.25">
      <c r="A3" s="55" t="s">
        <v>2</v>
      </c>
    </row>
    <row r="4" spans="1:10" x14ac:dyDescent="0.25">
      <c r="A4" s="21" t="s">
        <v>3</v>
      </c>
      <c r="B4" s="20">
        <f>B8</f>
        <v>0.56599999999999995</v>
      </c>
      <c r="C4" s="10">
        <f>C8</f>
        <v>0.81069042316258355</v>
      </c>
      <c r="D4" s="54" t="s">
        <v>95</v>
      </c>
    </row>
    <row r="5" spans="1:10" x14ac:dyDescent="0.25">
      <c r="A5" s="21" t="s">
        <v>178</v>
      </c>
      <c r="B5" s="20">
        <f>B4</f>
        <v>0.56599999999999995</v>
      </c>
      <c r="C5" s="10">
        <v>0</v>
      </c>
      <c r="D5" s="20" t="str">
        <f>D4</f>
        <v>natural gas - IPCC</v>
      </c>
    </row>
    <row r="6" spans="1:10" x14ac:dyDescent="0.25">
      <c r="A6" s="21" t="s">
        <v>179</v>
      </c>
      <c r="B6" s="54">
        <f>B4</f>
        <v>0.56599999999999995</v>
      </c>
      <c r="C6" s="130">
        <v>0</v>
      </c>
      <c r="D6" s="54" t="str">
        <f>D4</f>
        <v>natural gas - IPCC</v>
      </c>
    </row>
    <row r="7" spans="1:10" s="45" customFormat="1" ht="15.75" thickBot="1" x14ac:dyDescent="0.3">
      <c r="A7" s="30" t="s">
        <v>176</v>
      </c>
      <c r="B7" s="45">
        <f>B4</f>
        <v>0.56599999999999995</v>
      </c>
      <c r="C7" s="46">
        <v>0</v>
      </c>
      <c r="D7" s="112" t="str">
        <f>D4</f>
        <v>natural gas - IPCC</v>
      </c>
    </row>
    <row r="8" spans="1:10" s="42" customFormat="1" x14ac:dyDescent="0.25">
      <c r="A8" s="33" t="s">
        <v>150</v>
      </c>
      <c r="B8" s="82">
        <v>0.56599999999999995</v>
      </c>
      <c r="C8" s="47">
        <f>1-(0.85/(0.85+0.66+2.98))</f>
        <v>0.81069042316258355</v>
      </c>
      <c r="D8" s="82" t="s">
        <v>95</v>
      </c>
    </row>
    <row r="9" spans="1:10" s="21" customFormat="1" x14ac:dyDescent="0.25">
      <c r="A9" s="25" t="s">
        <v>151</v>
      </c>
      <c r="B9" s="82">
        <v>0.56599999999999995</v>
      </c>
      <c r="C9" s="10">
        <f t="shared" ref="C9" si="0">C$8</f>
        <v>0.81069042316258355</v>
      </c>
      <c r="D9" s="21" t="str">
        <f>D8</f>
        <v>natural gas - IPCC</v>
      </c>
    </row>
    <row r="10" spans="1:10" s="30" customFormat="1" ht="15.75" thickBot="1" x14ac:dyDescent="0.3">
      <c r="A10" s="31" t="s">
        <v>154</v>
      </c>
      <c r="B10" s="83">
        <v>0.56599999999999995</v>
      </c>
      <c r="C10" s="46">
        <f t="shared" ref="C10:D10" si="1">C$8</f>
        <v>0.81069042316258355</v>
      </c>
      <c r="D10" s="45" t="str">
        <f t="shared" si="1"/>
        <v>natural gas - IPCC</v>
      </c>
    </row>
    <row r="11" spans="1:10" s="21" customFormat="1" x14ac:dyDescent="0.25">
      <c r="A11" s="33" t="s">
        <v>119</v>
      </c>
      <c r="B11" s="82">
        <v>0.56599999999999995</v>
      </c>
      <c r="C11" s="42">
        <v>0</v>
      </c>
      <c r="D11" s="82" t="s">
        <v>95</v>
      </c>
      <c r="E11" s="82"/>
      <c r="F11" s="82"/>
      <c r="G11" s="82"/>
      <c r="H11" s="82"/>
      <c r="I11" s="82"/>
      <c r="J11" s="82"/>
    </row>
    <row r="12" spans="1:10" s="42" customFormat="1" x14ac:dyDescent="0.25">
      <c r="A12" s="60" t="s">
        <v>152</v>
      </c>
      <c r="B12" s="20">
        <f>B11</f>
        <v>0.56599999999999995</v>
      </c>
      <c r="C12" s="20">
        <f>C11</f>
        <v>0</v>
      </c>
      <c r="D12" s="20" t="str">
        <f>D11</f>
        <v>natural gas - IPCC</v>
      </c>
      <c r="E12" s="20"/>
      <c r="F12" s="20"/>
      <c r="G12" s="20"/>
      <c r="H12" s="20"/>
      <c r="I12" s="20"/>
      <c r="J12" s="20"/>
    </row>
    <row r="13" spans="1:10" s="30" customFormat="1" ht="15.75" thickBot="1" x14ac:dyDescent="0.3">
      <c r="A13" s="63" t="s">
        <v>155</v>
      </c>
      <c r="B13" s="45">
        <f>B11</f>
        <v>0.56599999999999995</v>
      </c>
      <c r="C13" s="45">
        <f>C11</f>
        <v>0</v>
      </c>
      <c r="D13" s="45" t="str">
        <f>D11</f>
        <v>natural gas - IPCC</v>
      </c>
      <c r="E13" s="45"/>
      <c r="F13" s="45"/>
      <c r="G13" s="45"/>
      <c r="H13" s="45"/>
      <c r="I13" s="45"/>
      <c r="J13" s="45"/>
    </row>
    <row r="14" spans="1:10" s="21" customFormat="1" x14ac:dyDescent="0.25">
      <c r="A14" s="62" t="s">
        <v>120</v>
      </c>
      <c r="B14" s="82">
        <v>0.56599999999999995</v>
      </c>
      <c r="C14" s="42">
        <v>0</v>
      </c>
      <c r="D14" s="82" t="s">
        <v>95</v>
      </c>
      <c r="E14" s="82"/>
      <c r="F14" s="82"/>
      <c r="G14" s="82"/>
      <c r="H14" s="82"/>
      <c r="I14" s="82"/>
      <c r="J14" s="82"/>
    </row>
    <row r="15" spans="1:10" s="21" customFormat="1" x14ac:dyDescent="0.25">
      <c r="A15" s="53" t="s">
        <v>153</v>
      </c>
      <c r="B15" s="20">
        <f>B14</f>
        <v>0.56599999999999995</v>
      </c>
      <c r="C15" s="20">
        <f>C14</f>
        <v>0</v>
      </c>
      <c r="D15" s="20" t="str">
        <f>D14</f>
        <v>natural gas - IPCC</v>
      </c>
      <c r="E15" s="20"/>
      <c r="F15" s="20"/>
      <c r="G15" s="20"/>
      <c r="H15" s="20"/>
      <c r="I15" s="20"/>
      <c r="J15" s="20"/>
    </row>
    <row r="16" spans="1:10" s="70" customFormat="1" ht="15.75" thickBot="1" x14ac:dyDescent="0.3">
      <c r="A16" s="63" t="s">
        <v>156</v>
      </c>
      <c r="B16" s="45">
        <f>B14</f>
        <v>0.56599999999999995</v>
      </c>
      <c r="C16" s="45">
        <f>C14</f>
        <v>0</v>
      </c>
      <c r="D16" s="45" t="str">
        <f>D14</f>
        <v>natural gas - IPCC</v>
      </c>
      <c r="E16" s="45"/>
      <c r="F16" s="45"/>
      <c r="G16" s="45"/>
      <c r="H16" s="45"/>
      <c r="I16" s="45"/>
      <c r="J16" s="45"/>
    </row>
    <row r="17" spans="1:10" s="21" customFormat="1" x14ac:dyDescent="0.25">
      <c r="A17" s="21" t="s">
        <v>141</v>
      </c>
      <c r="B17" s="82">
        <v>0.56599999999999995</v>
      </c>
      <c r="C17" s="42">
        <v>0</v>
      </c>
      <c r="D17" s="82" t="s">
        <v>95</v>
      </c>
      <c r="E17" s="20"/>
      <c r="F17" s="20"/>
      <c r="G17" s="20"/>
      <c r="H17" s="20"/>
      <c r="I17" s="20"/>
      <c r="J17" s="20"/>
    </row>
    <row r="18" spans="1:10" s="21" customFormat="1" x14ac:dyDescent="0.25">
      <c r="A18" s="21" t="s">
        <v>142</v>
      </c>
      <c r="B18" s="20">
        <f>B17</f>
        <v>0.56599999999999995</v>
      </c>
      <c r="C18" s="20">
        <f>C17</f>
        <v>0</v>
      </c>
      <c r="D18" s="20" t="str">
        <f>D17</f>
        <v>natural gas - IPCC</v>
      </c>
      <c r="E18" s="20"/>
      <c r="F18" s="20"/>
      <c r="G18" s="20"/>
      <c r="H18" s="20"/>
      <c r="I18" s="20"/>
      <c r="J18" s="20"/>
    </row>
    <row r="19" spans="1:10" s="30" customFormat="1" ht="15.75" thickBot="1" x14ac:dyDescent="0.3">
      <c r="A19" s="30" t="s">
        <v>143</v>
      </c>
      <c r="B19" s="45">
        <f>B17</f>
        <v>0.56599999999999995</v>
      </c>
      <c r="C19" s="45">
        <f>C17</f>
        <v>0</v>
      </c>
      <c r="D19" s="45" t="str">
        <f>D17</f>
        <v>natural gas - IPCC</v>
      </c>
      <c r="E19" s="45"/>
      <c r="F19" s="45"/>
      <c r="G19" s="45"/>
      <c r="H19" s="45"/>
      <c r="I19" s="45"/>
      <c r="J19" s="45"/>
    </row>
    <row r="20" spans="1:10" s="42" customFormat="1" x14ac:dyDescent="0.25">
      <c r="A20" s="21" t="s">
        <v>144</v>
      </c>
      <c r="B20" s="82">
        <v>0.56599999999999995</v>
      </c>
      <c r="C20" s="42">
        <v>0</v>
      </c>
      <c r="D20" s="82" t="s">
        <v>95</v>
      </c>
      <c r="E20" s="20"/>
      <c r="F20" s="20"/>
      <c r="G20" s="20"/>
      <c r="H20" s="20"/>
      <c r="I20" s="20"/>
      <c r="J20" s="20"/>
    </row>
    <row r="21" spans="1:10" s="21" customFormat="1" x14ac:dyDescent="0.25">
      <c r="A21" s="21" t="s">
        <v>145</v>
      </c>
      <c r="B21" s="20">
        <f>B20</f>
        <v>0.56599999999999995</v>
      </c>
      <c r="C21" s="20">
        <f>C20</f>
        <v>0</v>
      </c>
      <c r="D21" s="20" t="str">
        <f>D20</f>
        <v>natural gas - IPCC</v>
      </c>
      <c r="E21" s="20"/>
      <c r="F21" s="20"/>
      <c r="G21" s="20"/>
      <c r="H21" s="20"/>
      <c r="I21" s="20"/>
      <c r="J21" s="20"/>
    </row>
    <row r="22" spans="1:10" s="30" customFormat="1" ht="15.75" thickBot="1" x14ac:dyDescent="0.3">
      <c r="A22" s="30" t="s">
        <v>146</v>
      </c>
      <c r="B22" s="45">
        <f>B20</f>
        <v>0.56599999999999995</v>
      </c>
      <c r="C22" s="45">
        <f>C20</f>
        <v>0</v>
      </c>
      <c r="D22" s="45" t="str">
        <f>D20</f>
        <v>natural gas - IPCC</v>
      </c>
      <c r="E22" s="45"/>
      <c r="F22" s="45"/>
      <c r="G22" s="45"/>
      <c r="H22" s="45"/>
      <c r="I22" s="45"/>
      <c r="J22" s="45"/>
    </row>
    <row r="23" spans="1:10" s="21" customFormat="1" x14ac:dyDescent="0.25">
      <c r="B23" s="20"/>
      <c r="C23" s="20"/>
      <c r="D23" s="20"/>
      <c r="E23" s="20"/>
      <c r="F23" s="20"/>
      <c r="G23" s="20"/>
      <c r="H23" s="20"/>
      <c r="I23" s="20"/>
      <c r="J23" s="20"/>
    </row>
    <row r="24" spans="1:10" s="42" customFormat="1" x14ac:dyDescent="0.25">
      <c r="A24" s="21"/>
      <c r="B24" s="20"/>
      <c r="C24" s="20"/>
      <c r="D24" s="20"/>
      <c r="E24" s="20"/>
      <c r="F24" s="20"/>
      <c r="G24" s="20"/>
      <c r="H24" s="20"/>
      <c r="I24" s="20"/>
      <c r="J24" s="20"/>
    </row>
    <row r="25" spans="1:10" s="21" customFormat="1" x14ac:dyDescent="0.25">
      <c r="B25" s="20"/>
      <c r="C25" s="20"/>
      <c r="D25" s="20"/>
      <c r="E25" s="20"/>
      <c r="F25" s="20"/>
      <c r="G25" s="20"/>
      <c r="H25" s="20"/>
      <c r="I25" s="20"/>
      <c r="J25" s="20"/>
    </row>
    <row r="26" spans="1:10" s="21" customFormat="1" x14ac:dyDescent="0.25">
      <c r="B26" s="20"/>
      <c r="C26" s="20"/>
      <c r="D26" s="20"/>
      <c r="E26" s="20"/>
      <c r="F26" s="20"/>
      <c r="G26" s="20"/>
      <c r="H26" s="20"/>
      <c r="I26" s="20"/>
      <c r="J26" s="20"/>
    </row>
    <row r="27" spans="1:10" s="21" customFormat="1" x14ac:dyDescent="0.25">
      <c r="B27" s="20"/>
      <c r="C27" s="20"/>
      <c r="D27" s="20"/>
      <c r="E27" s="20"/>
      <c r="F27" s="20"/>
      <c r="G27" s="20"/>
      <c r="H27" s="20"/>
      <c r="I27" s="20"/>
      <c r="J27" s="20"/>
    </row>
    <row r="28" spans="1:10" s="42" customFormat="1" x14ac:dyDescent="0.25">
      <c r="A28" s="21"/>
      <c r="B28" s="20"/>
      <c r="C28" s="20"/>
      <c r="D28" s="20"/>
      <c r="E28" s="20"/>
      <c r="F28" s="20"/>
      <c r="G28" s="20"/>
      <c r="H28" s="20"/>
      <c r="I28" s="20"/>
      <c r="J28" s="20"/>
    </row>
    <row r="29" spans="1:10" s="21" customFormat="1" x14ac:dyDescent="0.25">
      <c r="B29" s="20"/>
      <c r="C29" s="20"/>
      <c r="D29" s="20"/>
      <c r="E29" s="20"/>
      <c r="F29" s="20"/>
      <c r="G29" s="20"/>
      <c r="H29" s="20"/>
      <c r="I29" s="20"/>
      <c r="J29" s="20"/>
    </row>
    <row r="30" spans="1:10" s="21" customFormat="1" x14ac:dyDescent="0.25">
      <c r="B30" s="20"/>
      <c r="C30" s="20"/>
      <c r="D30" s="20"/>
      <c r="E30" s="20"/>
      <c r="F30" s="20"/>
      <c r="G30" s="20"/>
      <c r="H30" s="20"/>
      <c r="I30" s="20"/>
      <c r="J30" s="20"/>
    </row>
    <row r="31" spans="1:10" s="21" customFormat="1" x14ac:dyDescent="0.25">
      <c r="B31" s="20"/>
      <c r="C31" s="20"/>
      <c r="D31" s="20"/>
      <c r="E31" s="20"/>
      <c r="F31" s="20"/>
      <c r="G31" s="20"/>
      <c r="H31" s="20"/>
      <c r="I31" s="20"/>
      <c r="J31" s="20"/>
    </row>
    <row r="32" spans="1:10" s="42" customFormat="1" x14ac:dyDescent="0.25">
      <c r="A32" s="21"/>
      <c r="B32" s="20"/>
      <c r="C32" s="20"/>
      <c r="D32" s="20"/>
      <c r="E32" s="20"/>
      <c r="F32" s="20"/>
      <c r="G32" s="20"/>
      <c r="H32" s="20"/>
      <c r="I32" s="20"/>
      <c r="J32" s="20"/>
    </row>
    <row r="34" spans="1:10" ht="15.75" customHeight="1" x14ac:dyDescent="0.25"/>
    <row r="36" spans="1:10" s="82" customFormat="1" x14ac:dyDescent="0.25">
      <c r="A36" s="21"/>
      <c r="B36" s="20"/>
      <c r="C36" s="20"/>
      <c r="D36" s="20"/>
      <c r="E36" s="20"/>
      <c r="F36" s="20"/>
      <c r="G36" s="20"/>
      <c r="H36" s="20"/>
      <c r="I36" s="20"/>
      <c r="J36" s="20"/>
    </row>
    <row r="40" spans="1:10" s="82" customFormat="1" x14ac:dyDescent="0.25">
      <c r="A40" s="21"/>
      <c r="B40" s="20"/>
      <c r="C40" s="20"/>
      <c r="D40" s="20"/>
      <c r="E40" s="20"/>
      <c r="F40" s="20"/>
      <c r="G40" s="20"/>
      <c r="H40" s="20"/>
      <c r="I40" s="20"/>
      <c r="J40" s="20"/>
    </row>
    <row r="42" spans="1:10" ht="14.25" customHeight="1" x14ac:dyDescent="0.25"/>
    <row r="44" spans="1:10" s="82" customFormat="1" x14ac:dyDescent="0.25">
      <c r="A44" s="21"/>
      <c r="B44" s="20"/>
      <c r="C44" s="20"/>
      <c r="D44" s="20"/>
      <c r="E44" s="20"/>
      <c r="F44" s="20"/>
      <c r="G44" s="20"/>
      <c r="H44" s="20"/>
      <c r="I44" s="20"/>
      <c r="J44" s="20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13" sqref="B13"/>
    </sheetView>
  </sheetViews>
  <sheetFormatPr defaultColWidth="8.85546875" defaultRowHeight="15" x14ac:dyDescent="0.25"/>
  <cols>
    <col min="1" max="1" width="23.28515625" style="21" customWidth="1"/>
    <col min="2" max="2" width="13.140625" style="20" bestFit="1" customWidth="1"/>
    <col min="3" max="3" width="13.140625" style="20" customWidth="1"/>
    <col min="4" max="4" width="15.85546875" style="20" bestFit="1" customWidth="1"/>
    <col min="5" max="5" width="15.85546875" style="54" customWidth="1"/>
    <col min="6" max="6" width="19" style="20" bestFit="1" customWidth="1"/>
    <col min="7" max="7" width="17.85546875" style="20" bestFit="1" customWidth="1"/>
    <col min="8" max="16384" width="8.85546875" style="21"/>
  </cols>
  <sheetData>
    <row r="1" spans="1:7" x14ac:dyDescent="0.25">
      <c r="A1" s="42" t="s">
        <v>0</v>
      </c>
      <c r="B1" s="99" t="s">
        <v>56</v>
      </c>
      <c r="C1" s="54" t="s">
        <v>129</v>
      </c>
      <c r="D1" s="42" t="s">
        <v>58</v>
      </c>
      <c r="E1" s="42" t="s">
        <v>9</v>
      </c>
      <c r="F1" s="42" t="s">
        <v>2</v>
      </c>
      <c r="G1" s="42" t="s">
        <v>96</v>
      </c>
    </row>
    <row r="2" spans="1:7" x14ac:dyDescent="0.25">
      <c r="A2" s="55" t="s">
        <v>1</v>
      </c>
      <c r="B2" s="54" t="s">
        <v>131</v>
      </c>
      <c r="C2" s="54" t="s">
        <v>163</v>
      </c>
      <c r="E2" s="54" t="s">
        <v>132</v>
      </c>
    </row>
    <row r="3" spans="1:7" x14ac:dyDescent="0.25">
      <c r="A3" s="55" t="s">
        <v>2</v>
      </c>
    </row>
    <row r="4" spans="1:7" s="30" customFormat="1" ht="15.75" thickBot="1" x14ac:dyDescent="0.3">
      <c r="A4" s="30" t="s">
        <v>3</v>
      </c>
      <c r="B4" s="45"/>
      <c r="C4" s="45"/>
      <c r="D4" s="45"/>
      <c r="E4" s="112"/>
      <c r="F4" s="45"/>
      <c r="G4" s="45"/>
    </row>
    <row r="5" spans="1:7" s="42" customFormat="1" ht="17.25" customHeight="1" x14ac:dyDescent="0.25">
      <c r="A5" s="33" t="s">
        <v>150</v>
      </c>
      <c r="B5" s="16">
        <v>0.9</v>
      </c>
      <c r="C5" s="47">
        <f>1-(0.5736/(0.5736+2.9763+0.6597))</f>
        <v>0.86374002280501716</v>
      </c>
      <c r="D5" s="42" t="s">
        <v>95</v>
      </c>
      <c r="E5" s="90">
        <f>(25.3/4.6668)*Ref!B$18</f>
        <v>1.9516585240421703E-2</v>
      </c>
    </row>
    <row r="6" spans="1:7" x14ac:dyDescent="0.25">
      <c r="A6" s="25" t="s">
        <v>151</v>
      </c>
      <c r="B6" s="10">
        <f>B$5</f>
        <v>0.9</v>
      </c>
      <c r="C6" s="10">
        <f t="shared" ref="C6" si="0">C$5</f>
        <v>0.86374002280501716</v>
      </c>
      <c r="D6" s="21" t="str">
        <f>D5</f>
        <v>natural gas - IPCC</v>
      </c>
      <c r="E6" s="90">
        <f>E5</f>
        <v>1.9516585240421703E-2</v>
      </c>
      <c r="F6" s="21"/>
      <c r="G6" s="21"/>
    </row>
    <row r="7" spans="1:7" s="30" customFormat="1" ht="15.75" customHeight="1" thickBot="1" x14ac:dyDescent="0.3">
      <c r="A7" s="31" t="s">
        <v>154</v>
      </c>
      <c r="B7" s="46">
        <f t="shared" ref="B7:C7" si="1">B$5</f>
        <v>0.9</v>
      </c>
      <c r="C7" s="46">
        <f t="shared" si="1"/>
        <v>0.86374002280501716</v>
      </c>
      <c r="D7" s="30" t="s">
        <v>113</v>
      </c>
      <c r="E7" s="78">
        <f>E5</f>
        <v>1.9516585240421703E-2</v>
      </c>
    </row>
    <row r="8" spans="1:7" ht="15" customHeight="1" x14ac:dyDescent="0.25">
      <c r="A8" s="33" t="s">
        <v>119</v>
      </c>
      <c r="B8" s="16">
        <v>0.9</v>
      </c>
      <c r="C8" s="41">
        <f>1-(0.6535/(0.6535+0.8435+0.6597))</f>
        <v>0.69699077294014</v>
      </c>
      <c r="D8" s="42" t="s">
        <v>95</v>
      </c>
      <c r="E8" s="90">
        <f>(25.3/4.6668)*Ref!B$18</f>
        <v>1.9516585240421703E-2</v>
      </c>
    </row>
    <row r="9" spans="1:7" s="42" customFormat="1" x14ac:dyDescent="0.25">
      <c r="A9" s="60" t="s">
        <v>152</v>
      </c>
      <c r="B9" s="20">
        <f>B8</f>
        <v>0.9</v>
      </c>
      <c r="C9" s="10">
        <f>C8</f>
        <v>0.69699077294014</v>
      </c>
      <c r="D9" s="21" t="str">
        <f>D8</f>
        <v>natural gas - IPCC</v>
      </c>
      <c r="E9" s="90">
        <f>E8</f>
        <v>1.9516585240421703E-2</v>
      </c>
      <c r="F9" s="20"/>
      <c r="G9" s="20"/>
    </row>
    <row r="10" spans="1:7" s="30" customFormat="1" ht="15.75" thickBot="1" x14ac:dyDescent="0.3">
      <c r="A10" s="63" t="s">
        <v>155</v>
      </c>
      <c r="B10" s="45">
        <f>B8</f>
        <v>0.9</v>
      </c>
      <c r="C10" s="46">
        <f>C8</f>
        <v>0.69699077294014</v>
      </c>
      <c r="D10" s="38" t="s">
        <v>113</v>
      </c>
      <c r="E10" s="78">
        <f>E8</f>
        <v>1.9516585240421703E-2</v>
      </c>
      <c r="F10" s="45"/>
      <c r="G10" s="45"/>
    </row>
    <row r="11" spans="1:7" x14ac:dyDescent="0.25">
      <c r="A11" s="62" t="s">
        <v>120</v>
      </c>
      <c r="B11" s="100">
        <v>0.9</v>
      </c>
      <c r="C11" s="133">
        <v>0</v>
      </c>
      <c r="D11" s="42" t="s">
        <v>95</v>
      </c>
      <c r="E11" s="90">
        <f>(25.3/4.6668)*Ref!B$18</f>
        <v>1.9516585240421703E-2</v>
      </c>
    </row>
    <row r="12" spans="1:7" ht="16.5" customHeight="1" x14ac:dyDescent="0.25">
      <c r="A12" s="53" t="s">
        <v>153</v>
      </c>
      <c r="B12" s="20">
        <f>B11</f>
        <v>0.9</v>
      </c>
      <c r="C12" s="20">
        <f>C11</f>
        <v>0</v>
      </c>
      <c r="D12" s="27" t="s">
        <v>113</v>
      </c>
      <c r="E12" s="90">
        <f>E11</f>
        <v>1.9516585240421703E-2</v>
      </c>
    </row>
    <row r="13" spans="1:7" s="70" customFormat="1" ht="15.75" thickBot="1" x14ac:dyDescent="0.3">
      <c r="A13" s="63" t="s">
        <v>156</v>
      </c>
      <c r="B13" s="45">
        <f>B11</f>
        <v>0.9</v>
      </c>
      <c r="C13" s="45">
        <f>C11</f>
        <v>0</v>
      </c>
      <c r="D13" s="38" t="s">
        <v>113</v>
      </c>
      <c r="E13" s="78">
        <f>E11</f>
        <v>1.9516585240421703E-2</v>
      </c>
      <c r="F13" s="45"/>
      <c r="G13" s="45"/>
    </row>
    <row r="14" spans="1:7" x14ac:dyDescent="0.25">
      <c r="A14" s="21" t="s">
        <v>141</v>
      </c>
      <c r="B14" s="100">
        <v>0.9</v>
      </c>
      <c r="C14" s="134">
        <v>0</v>
      </c>
      <c r="D14" s="42" t="s">
        <v>95</v>
      </c>
      <c r="E14" s="90">
        <f>(25.3/4.6668)*Ref!B$18</f>
        <v>1.9516585240421703E-2</v>
      </c>
      <c r="F14" s="21"/>
      <c r="G14" s="21"/>
    </row>
    <row r="15" spans="1:7" x14ac:dyDescent="0.25">
      <c r="A15" s="21" t="s">
        <v>142</v>
      </c>
      <c r="B15" s="20">
        <f>B14</f>
        <v>0.9</v>
      </c>
      <c r="C15" s="10">
        <f>C14</f>
        <v>0</v>
      </c>
      <c r="D15" s="21" t="str">
        <f>D14</f>
        <v>natural gas - IPCC</v>
      </c>
      <c r="E15" s="90">
        <f>E14</f>
        <v>1.9516585240421703E-2</v>
      </c>
    </row>
    <row r="16" spans="1:7" s="30" customFormat="1" ht="15.75" thickBot="1" x14ac:dyDescent="0.3">
      <c r="A16" s="30" t="s">
        <v>143</v>
      </c>
      <c r="B16" s="45">
        <f>B14</f>
        <v>0.9</v>
      </c>
      <c r="C16" s="46">
        <f>C14</f>
        <v>0</v>
      </c>
      <c r="D16" s="38" t="s">
        <v>113</v>
      </c>
      <c r="E16" s="78">
        <f>E14</f>
        <v>1.9516585240421703E-2</v>
      </c>
      <c r="F16" s="45"/>
      <c r="G16" s="45"/>
    </row>
    <row r="17" spans="1:7" s="42" customFormat="1" x14ac:dyDescent="0.25">
      <c r="A17" s="21" t="s">
        <v>144</v>
      </c>
      <c r="B17" s="100">
        <v>0.9</v>
      </c>
      <c r="C17" s="134">
        <v>0</v>
      </c>
      <c r="D17" s="42" t="s">
        <v>95</v>
      </c>
      <c r="E17" s="90">
        <f>(25.3/4.6668)*Ref!B$18</f>
        <v>1.9516585240421703E-2</v>
      </c>
      <c r="F17" s="20"/>
      <c r="G17" s="20"/>
    </row>
    <row r="18" spans="1:7" x14ac:dyDescent="0.25">
      <c r="A18" s="21" t="s">
        <v>145</v>
      </c>
      <c r="B18" s="20">
        <f>B17</f>
        <v>0.9</v>
      </c>
      <c r="C18" s="10">
        <f>C17</f>
        <v>0</v>
      </c>
      <c r="D18" s="21" t="str">
        <f>D17</f>
        <v>natural gas - IPCC</v>
      </c>
      <c r="E18" s="90">
        <f>E17</f>
        <v>1.9516585240421703E-2</v>
      </c>
    </row>
    <row r="19" spans="1:7" s="30" customFormat="1" ht="15.75" thickBot="1" x14ac:dyDescent="0.3">
      <c r="A19" s="30" t="s">
        <v>146</v>
      </c>
      <c r="B19" s="45">
        <f>B17</f>
        <v>0.9</v>
      </c>
      <c r="C19" s="46">
        <f>C17</f>
        <v>0</v>
      </c>
      <c r="D19" s="38" t="s">
        <v>113</v>
      </c>
      <c r="E19" s="78">
        <f>E17</f>
        <v>1.9516585240421703E-2</v>
      </c>
      <c r="F19" s="45"/>
      <c r="G19" s="45"/>
    </row>
    <row r="21" spans="1:7" s="42" customFormat="1" x14ac:dyDescent="0.25">
      <c r="A21" s="21"/>
      <c r="B21" s="20"/>
      <c r="C21" s="20"/>
      <c r="D21" s="20"/>
      <c r="E21" s="54"/>
      <c r="F21" s="20"/>
      <c r="G21" s="20"/>
    </row>
    <row r="25" spans="1:7" s="42" customFormat="1" x14ac:dyDescent="0.25">
      <c r="A25" s="21"/>
      <c r="B25" s="20"/>
      <c r="C25" s="20"/>
      <c r="D25" s="20"/>
      <c r="E25" s="54"/>
      <c r="F25" s="20"/>
      <c r="G25" s="20"/>
    </row>
    <row r="27" spans="1:7" ht="15.75" customHeight="1" x14ac:dyDescent="0.25"/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9" sqref="G19"/>
    </sheetView>
  </sheetViews>
  <sheetFormatPr defaultColWidth="8.85546875" defaultRowHeight="15" x14ac:dyDescent="0.25"/>
  <cols>
    <col min="1" max="1" width="26.42578125" style="21" customWidth="1"/>
    <col min="2" max="2" width="13.7109375" style="21" customWidth="1"/>
    <col min="3" max="5" width="8.85546875" style="21"/>
    <col min="6" max="6" width="8.85546875" style="96"/>
    <col min="7" max="16384" width="8.85546875" style="21"/>
  </cols>
  <sheetData>
    <row r="1" spans="1:7" x14ac:dyDescent="0.25">
      <c r="A1" s="101" t="s">
        <v>77</v>
      </c>
      <c r="B1" s="101" t="s">
        <v>78</v>
      </c>
      <c r="C1" s="102" t="s">
        <v>79</v>
      </c>
      <c r="D1" s="102" t="s">
        <v>9</v>
      </c>
      <c r="E1" s="102" t="s">
        <v>80</v>
      </c>
      <c r="F1" s="102" t="s">
        <v>130</v>
      </c>
      <c r="G1" s="102" t="s">
        <v>81</v>
      </c>
    </row>
    <row r="2" spans="1:7" x14ac:dyDescent="0.25">
      <c r="A2" s="103" t="s">
        <v>72</v>
      </c>
      <c r="B2" s="104" t="s">
        <v>82</v>
      </c>
      <c r="C2" s="105" t="s">
        <v>83</v>
      </c>
      <c r="D2" s="105" t="s">
        <v>84</v>
      </c>
      <c r="E2" s="105" t="s">
        <v>85</v>
      </c>
      <c r="F2" s="115" t="s">
        <v>165</v>
      </c>
      <c r="G2" s="106"/>
    </row>
    <row r="3" spans="1:7" x14ac:dyDescent="0.25">
      <c r="A3" s="103" t="s">
        <v>2</v>
      </c>
      <c r="B3" s="104" t="s">
        <v>86</v>
      </c>
      <c r="C3" s="105" t="s">
        <v>87</v>
      </c>
      <c r="D3" s="106"/>
      <c r="E3" s="106"/>
      <c r="F3" s="115"/>
      <c r="G3" s="106"/>
    </row>
    <row r="4" spans="1:7" s="30" customFormat="1" ht="15.75" thickBot="1" x14ac:dyDescent="0.3">
      <c r="A4" s="109" t="s">
        <v>3</v>
      </c>
      <c r="B4" s="109">
        <v>1</v>
      </c>
      <c r="C4" s="110">
        <v>0.9</v>
      </c>
      <c r="D4" s="110">
        <v>1.05</v>
      </c>
      <c r="E4" s="110">
        <v>0</v>
      </c>
      <c r="F4" s="29"/>
      <c r="G4" s="111" t="s">
        <v>88</v>
      </c>
    </row>
    <row r="5" spans="1:7" s="42" customFormat="1" x14ac:dyDescent="0.25">
      <c r="A5" s="33" t="s">
        <v>150</v>
      </c>
      <c r="B5" s="47">
        <v>1</v>
      </c>
      <c r="C5" s="47">
        <v>0.9</v>
      </c>
      <c r="D5" s="47">
        <f>151.9/1.119*Ref!$B$18</f>
        <v>0.48868632707774806</v>
      </c>
      <c r="E5" s="47">
        <f>3.7667/1.243</f>
        <v>3.0303298471440061</v>
      </c>
      <c r="F5" s="22">
        <f>0.001</f>
        <v>1E-3</v>
      </c>
      <c r="G5" s="105"/>
    </row>
    <row r="6" spans="1:7" x14ac:dyDescent="0.25">
      <c r="A6" s="25" t="s">
        <v>151</v>
      </c>
      <c r="B6" s="41">
        <f>B$5</f>
        <v>1</v>
      </c>
      <c r="C6" s="41">
        <f t="shared" ref="C6:E6" si="0">C$5</f>
        <v>0.9</v>
      </c>
      <c r="D6" s="41">
        <f t="shared" si="0"/>
        <v>0.48868632707774806</v>
      </c>
      <c r="E6" s="41">
        <f t="shared" si="0"/>
        <v>3.0303298471440061</v>
      </c>
      <c r="F6" s="135">
        <f>F5</f>
        <v>1E-3</v>
      </c>
    </row>
    <row r="7" spans="1:7" s="30" customFormat="1" ht="15.75" thickBot="1" x14ac:dyDescent="0.3">
      <c r="A7" s="31" t="s">
        <v>154</v>
      </c>
      <c r="B7" s="40">
        <f t="shared" ref="B7:E7" si="1">B$5</f>
        <v>1</v>
      </c>
      <c r="C7" s="40">
        <f t="shared" si="1"/>
        <v>0.9</v>
      </c>
      <c r="D7" s="40">
        <f t="shared" si="1"/>
        <v>0.48868632707774806</v>
      </c>
      <c r="E7" s="40">
        <f t="shared" si="1"/>
        <v>3.0303298471440061</v>
      </c>
      <c r="F7" s="136">
        <f>F5</f>
        <v>1E-3</v>
      </c>
    </row>
    <row r="8" spans="1:7" x14ac:dyDescent="0.25">
      <c r="A8" s="80" t="s">
        <v>119</v>
      </c>
      <c r="B8" s="107">
        <v>1</v>
      </c>
      <c r="C8" s="107">
        <v>0.9</v>
      </c>
      <c r="D8" s="47">
        <f>151.9/1.119*Ref!$B$18</f>
        <v>0.48868632707774806</v>
      </c>
      <c r="E8" s="107">
        <f>2.02/0.86</f>
        <v>2.3488372093023258</v>
      </c>
      <c r="F8" s="22">
        <f>0.001</f>
        <v>1E-3</v>
      </c>
      <c r="G8" s="108"/>
    </row>
    <row r="9" spans="1:7" s="42" customFormat="1" x14ac:dyDescent="0.25">
      <c r="A9" s="60" t="s">
        <v>152</v>
      </c>
      <c r="B9" s="41">
        <f t="shared" ref="B9:E9" si="2">B8</f>
        <v>1</v>
      </c>
      <c r="C9" s="41">
        <f t="shared" si="2"/>
        <v>0.9</v>
      </c>
      <c r="D9" s="41">
        <f>D8</f>
        <v>0.48868632707774806</v>
      </c>
      <c r="E9" s="41">
        <f t="shared" si="2"/>
        <v>2.3488372093023258</v>
      </c>
      <c r="F9" s="135">
        <f>F8</f>
        <v>1E-3</v>
      </c>
      <c r="G9" s="21"/>
    </row>
    <row r="10" spans="1:7" s="30" customFormat="1" ht="15.75" thickBot="1" x14ac:dyDescent="0.3">
      <c r="A10" s="63" t="s">
        <v>155</v>
      </c>
      <c r="B10" s="40">
        <f t="shared" ref="B10:E10" si="3">B8</f>
        <v>1</v>
      </c>
      <c r="C10" s="40">
        <f t="shared" si="3"/>
        <v>0.9</v>
      </c>
      <c r="D10" s="40">
        <f t="shared" si="3"/>
        <v>0.48868632707774806</v>
      </c>
      <c r="E10" s="40">
        <f t="shared" si="3"/>
        <v>2.3488372093023258</v>
      </c>
      <c r="F10" s="136">
        <f>F8</f>
        <v>1E-3</v>
      </c>
    </row>
    <row r="11" spans="1:7" x14ac:dyDescent="0.25">
      <c r="A11" s="62" t="s">
        <v>120</v>
      </c>
      <c r="B11" s="47">
        <v>1</v>
      </c>
      <c r="C11" s="47">
        <v>0.9</v>
      </c>
      <c r="D11" s="47">
        <f>0.46+0.22</f>
        <v>0.68</v>
      </c>
      <c r="E11" s="47">
        <v>0</v>
      </c>
      <c r="F11" s="57">
        <v>0</v>
      </c>
      <c r="G11" s="21" t="s">
        <v>185</v>
      </c>
    </row>
    <row r="12" spans="1:7" x14ac:dyDescent="0.25">
      <c r="A12" s="53" t="s">
        <v>153</v>
      </c>
      <c r="B12" s="41">
        <f t="shared" ref="B12:E12" si="4">B11</f>
        <v>1</v>
      </c>
      <c r="C12" s="41">
        <f t="shared" si="4"/>
        <v>0.9</v>
      </c>
      <c r="D12" s="41">
        <f t="shared" si="4"/>
        <v>0.68</v>
      </c>
      <c r="E12" s="41">
        <f t="shared" si="4"/>
        <v>0</v>
      </c>
      <c r="F12" s="56">
        <f>F11</f>
        <v>0</v>
      </c>
    </row>
    <row r="13" spans="1:7" s="70" customFormat="1" ht="15.75" thickBot="1" x14ac:dyDescent="0.3">
      <c r="A13" s="63" t="s">
        <v>156</v>
      </c>
      <c r="B13" s="40">
        <f t="shared" ref="B13:E13" si="5">B11</f>
        <v>1</v>
      </c>
      <c r="C13" s="40">
        <f t="shared" si="5"/>
        <v>0.9</v>
      </c>
      <c r="D13" s="40">
        <f t="shared" si="5"/>
        <v>0.68</v>
      </c>
      <c r="E13" s="40">
        <f t="shared" si="5"/>
        <v>0</v>
      </c>
      <c r="F13" s="114">
        <f>F11</f>
        <v>0</v>
      </c>
      <c r="G13" s="30"/>
    </row>
    <row r="14" spans="1:7" x14ac:dyDescent="0.25">
      <c r="A14" s="21" t="s">
        <v>141</v>
      </c>
      <c r="B14" s="107">
        <v>1</v>
      </c>
      <c r="C14" s="107">
        <v>0.9</v>
      </c>
      <c r="D14" s="47">
        <f>151.9/1.119*Ref!$B$18</f>
        <v>0.48868632707774806</v>
      </c>
      <c r="E14" s="107">
        <f>2.02/0.86</f>
        <v>2.3488372093023258</v>
      </c>
      <c r="F14" s="22">
        <f>0.001</f>
        <v>1E-3</v>
      </c>
      <c r="G14" s="105"/>
    </row>
    <row r="15" spans="1:7" x14ac:dyDescent="0.25">
      <c r="A15" s="21" t="s">
        <v>142</v>
      </c>
      <c r="B15" s="41">
        <f t="shared" ref="B15:E15" si="6">B14</f>
        <v>1</v>
      </c>
      <c r="C15" s="41">
        <f t="shared" si="6"/>
        <v>0.9</v>
      </c>
      <c r="D15" s="41">
        <f t="shared" si="6"/>
        <v>0.48868632707774806</v>
      </c>
      <c r="E15" s="41">
        <f t="shared" si="6"/>
        <v>2.3488372093023258</v>
      </c>
      <c r="F15" s="56">
        <f>F14</f>
        <v>1E-3</v>
      </c>
    </row>
    <row r="16" spans="1:7" s="30" customFormat="1" ht="15.75" thickBot="1" x14ac:dyDescent="0.3">
      <c r="A16" s="30" t="s">
        <v>143</v>
      </c>
      <c r="B16" s="40">
        <f t="shared" ref="B16:E16" si="7">B14</f>
        <v>1</v>
      </c>
      <c r="C16" s="40">
        <f t="shared" si="7"/>
        <v>0.9</v>
      </c>
      <c r="D16" s="40">
        <f t="shared" si="7"/>
        <v>0.48868632707774806</v>
      </c>
      <c r="E16" s="40">
        <f t="shared" si="7"/>
        <v>2.3488372093023258</v>
      </c>
      <c r="F16" s="114">
        <f>F14</f>
        <v>1E-3</v>
      </c>
    </row>
    <row r="17" spans="1:7" s="42" customFormat="1" x14ac:dyDescent="0.25">
      <c r="A17" s="21" t="s">
        <v>144</v>
      </c>
      <c r="B17" s="47">
        <v>1</v>
      </c>
      <c r="C17" s="47">
        <v>1</v>
      </c>
      <c r="D17" s="47">
        <f>90*Ref!B$18</f>
        <v>0.32400000000000001</v>
      </c>
      <c r="E17" s="47">
        <v>0</v>
      </c>
      <c r="F17" s="42">
        <v>0</v>
      </c>
      <c r="G17" s="21" t="s">
        <v>187</v>
      </c>
    </row>
    <row r="18" spans="1:7" x14ac:dyDescent="0.25">
      <c r="A18" s="21" t="s">
        <v>145</v>
      </c>
      <c r="B18" s="41">
        <f t="shared" ref="B18:E18" si="8">B17</f>
        <v>1</v>
      </c>
      <c r="C18" s="41">
        <f t="shared" si="8"/>
        <v>1</v>
      </c>
      <c r="D18" s="41">
        <f t="shared" si="8"/>
        <v>0.32400000000000001</v>
      </c>
      <c r="E18" s="41">
        <f t="shared" si="8"/>
        <v>0</v>
      </c>
      <c r="F18" s="26">
        <f>F17</f>
        <v>0</v>
      </c>
      <c r="G18" s="21" t="s">
        <v>187</v>
      </c>
    </row>
    <row r="19" spans="1:7" s="30" customFormat="1" ht="15.75" thickBot="1" x14ac:dyDescent="0.3">
      <c r="A19" s="30" t="s">
        <v>146</v>
      </c>
      <c r="B19" s="40">
        <f t="shared" ref="B19:E19" si="9">B17</f>
        <v>1</v>
      </c>
      <c r="C19" s="40">
        <f t="shared" si="9"/>
        <v>1</v>
      </c>
      <c r="D19" s="40">
        <f t="shared" si="9"/>
        <v>0.32400000000000001</v>
      </c>
      <c r="E19" s="40">
        <f t="shared" si="9"/>
        <v>0</v>
      </c>
      <c r="F19" s="71">
        <f>F17</f>
        <v>0</v>
      </c>
      <c r="G19" s="21" t="s">
        <v>187</v>
      </c>
    </row>
    <row r="21" spans="1:7" s="42" customFormat="1" x14ac:dyDescent="0.25">
      <c r="A21" s="21"/>
      <c r="B21" s="21"/>
      <c r="C21" s="21"/>
      <c r="D21" s="21"/>
      <c r="E21" s="21"/>
      <c r="F21" s="96"/>
      <c r="G21" s="21"/>
    </row>
    <row r="25" spans="1:7" s="42" customFormat="1" x14ac:dyDescent="0.25">
      <c r="A25" s="21"/>
      <c r="B25" s="21"/>
      <c r="C25" s="21"/>
      <c r="D25" s="21"/>
      <c r="E25" s="21"/>
      <c r="F25" s="96"/>
      <c r="G25" s="21"/>
    </row>
    <row r="33" spans="1:7" s="108" customFormat="1" x14ac:dyDescent="0.25">
      <c r="A33" s="21"/>
      <c r="B33" s="21"/>
      <c r="C33" s="21"/>
      <c r="D33" s="21"/>
      <c r="E33" s="21"/>
      <c r="F33" s="96"/>
      <c r="G33" s="21"/>
    </row>
    <row r="37" spans="1:7" s="42" customFormat="1" x14ac:dyDescent="0.25">
      <c r="A37" s="21"/>
      <c r="B37" s="21"/>
      <c r="C37" s="21"/>
      <c r="D37" s="21"/>
      <c r="E37" s="21"/>
      <c r="F37" s="96"/>
      <c r="G37" s="21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R33" sqref="R33"/>
    </sheetView>
  </sheetViews>
  <sheetFormatPr defaultColWidth="8.85546875" defaultRowHeight="15" x14ac:dyDescent="0.25"/>
  <cols>
    <col min="1" max="1" width="19.140625" style="21" customWidth="1"/>
    <col min="2" max="16384" width="8.85546875" style="21"/>
  </cols>
  <sheetData>
    <row r="1" spans="1:5" x14ac:dyDescent="0.25">
      <c r="A1" s="101" t="s">
        <v>77</v>
      </c>
      <c r="B1" s="21" t="s">
        <v>89</v>
      </c>
      <c r="C1" s="21" t="s">
        <v>90</v>
      </c>
      <c r="D1" t="s">
        <v>181</v>
      </c>
      <c r="E1" s="21" t="s">
        <v>7</v>
      </c>
    </row>
    <row r="2" spans="1:5" x14ac:dyDescent="0.25">
      <c r="A2" s="103" t="s">
        <v>72</v>
      </c>
      <c r="B2" s="21" t="s">
        <v>91</v>
      </c>
      <c r="C2" s="21" t="s">
        <v>92</v>
      </c>
      <c r="E2" s="27" t="s">
        <v>186</v>
      </c>
    </row>
    <row r="3" spans="1:5" x14ac:dyDescent="0.25">
      <c r="A3" s="103" t="s">
        <v>2</v>
      </c>
    </row>
    <row r="4" spans="1:5" s="30" customFormat="1" ht="15.75" thickBot="1" x14ac:dyDescent="0.3">
      <c r="A4" s="109" t="s">
        <v>3</v>
      </c>
      <c r="B4" s="30">
        <v>0.01</v>
      </c>
      <c r="C4" s="40">
        <v>0</v>
      </c>
      <c r="D4" s="30">
        <v>100</v>
      </c>
      <c r="E4" s="30">
        <f>7*Ref!$B$18</f>
        <v>2.52E-2</v>
      </c>
    </row>
    <row r="5" spans="1:5" x14ac:dyDescent="0.25">
      <c r="A5" s="33" t="s">
        <v>150</v>
      </c>
      <c r="B5" s="42">
        <v>0.01</v>
      </c>
      <c r="C5" s="47">
        <v>0</v>
      </c>
      <c r="D5" s="21">
        <v>100</v>
      </c>
      <c r="E5" s="21">
        <f>E4</f>
        <v>2.52E-2</v>
      </c>
    </row>
    <row r="6" spans="1:5" x14ac:dyDescent="0.25">
      <c r="A6" s="25" t="s">
        <v>151</v>
      </c>
      <c r="B6" s="21">
        <f t="shared" ref="B6:E19" si="0">B$5</f>
        <v>0.01</v>
      </c>
      <c r="C6" s="41">
        <f t="shared" si="0"/>
        <v>0</v>
      </c>
      <c r="D6" s="21">
        <f t="shared" si="0"/>
        <v>100</v>
      </c>
      <c r="E6" s="21">
        <f t="shared" si="0"/>
        <v>2.52E-2</v>
      </c>
    </row>
    <row r="7" spans="1:5" s="30" customFormat="1" ht="15.75" thickBot="1" x14ac:dyDescent="0.3">
      <c r="A7" s="31" t="s">
        <v>154</v>
      </c>
      <c r="B7" s="30">
        <f t="shared" si="0"/>
        <v>0.01</v>
      </c>
      <c r="C7" s="40">
        <f t="shared" si="0"/>
        <v>0</v>
      </c>
      <c r="D7" s="30">
        <f t="shared" si="0"/>
        <v>100</v>
      </c>
      <c r="E7" s="30">
        <f t="shared" si="0"/>
        <v>2.52E-2</v>
      </c>
    </row>
    <row r="8" spans="1:5" x14ac:dyDescent="0.25">
      <c r="A8" s="33" t="s">
        <v>119</v>
      </c>
      <c r="B8" s="21">
        <f>0.01</f>
        <v>0.01</v>
      </c>
      <c r="C8" s="41">
        <v>0</v>
      </c>
      <c r="D8" s="21">
        <v>100</v>
      </c>
      <c r="E8" s="21">
        <f>E7</f>
        <v>2.52E-2</v>
      </c>
    </row>
    <row r="9" spans="1:5" x14ac:dyDescent="0.25">
      <c r="A9" s="60" t="s">
        <v>152</v>
      </c>
      <c r="B9" s="21">
        <f>B8</f>
        <v>0.01</v>
      </c>
      <c r="C9" s="41">
        <f>C8</f>
        <v>0</v>
      </c>
      <c r="D9" s="21">
        <f>D$5</f>
        <v>100</v>
      </c>
      <c r="E9" s="21">
        <f t="shared" si="0"/>
        <v>2.52E-2</v>
      </c>
    </row>
    <row r="10" spans="1:5" s="30" customFormat="1" ht="15.75" thickBot="1" x14ac:dyDescent="0.3">
      <c r="A10" s="69" t="s">
        <v>155</v>
      </c>
      <c r="B10" s="30">
        <f>B8</f>
        <v>0.01</v>
      </c>
      <c r="C10" s="40">
        <v>0</v>
      </c>
      <c r="D10" s="30">
        <f>D$5</f>
        <v>100</v>
      </c>
      <c r="E10" s="30">
        <f t="shared" si="0"/>
        <v>2.52E-2</v>
      </c>
    </row>
    <row r="11" spans="1:5" x14ac:dyDescent="0.25">
      <c r="A11" s="62" t="s">
        <v>120</v>
      </c>
      <c r="B11" s="21">
        <f>0.01</f>
        <v>0.01</v>
      </c>
      <c r="C11" s="41">
        <v>0</v>
      </c>
      <c r="D11" s="21">
        <v>100</v>
      </c>
      <c r="E11" s="21">
        <f>E10</f>
        <v>2.52E-2</v>
      </c>
    </row>
    <row r="12" spans="1:5" x14ac:dyDescent="0.25">
      <c r="A12" s="53" t="s">
        <v>153</v>
      </c>
      <c r="B12" s="21">
        <f>B11</f>
        <v>0.01</v>
      </c>
      <c r="C12" s="41">
        <f>C11</f>
        <v>0</v>
      </c>
      <c r="D12" s="21">
        <f>D$5</f>
        <v>100</v>
      </c>
      <c r="E12" s="21">
        <f t="shared" si="0"/>
        <v>2.52E-2</v>
      </c>
    </row>
    <row r="13" spans="1:5" s="30" customFormat="1" ht="15.75" thickBot="1" x14ac:dyDescent="0.3">
      <c r="A13" s="63" t="s">
        <v>156</v>
      </c>
      <c r="B13" s="30">
        <f>B11</f>
        <v>0.01</v>
      </c>
      <c r="C13" s="40">
        <f>C11</f>
        <v>0</v>
      </c>
      <c r="D13" s="30">
        <f>D$5</f>
        <v>100</v>
      </c>
      <c r="E13" s="30">
        <f t="shared" si="0"/>
        <v>2.52E-2</v>
      </c>
    </row>
    <row r="14" spans="1:5" x14ac:dyDescent="0.25">
      <c r="A14" s="21" t="s">
        <v>141</v>
      </c>
      <c r="B14" s="21">
        <f>0.01</f>
        <v>0.01</v>
      </c>
      <c r="C14" s="41">
        <v>0</v>
      </c>
      <c r="D14" s="21">
        <v>100</v>
      </c>
      <c r="E14" s="21">
        <f>E13</f>
        <v>2.52E-2</v>
      </c>
    </row>
    <row r="15" spans="1:5" s="42" customFormat="1" x14ac:dyDescent="0.25">
      <c r="A15" s="21" t="s">
        <v>142</v>
      </c>
      <c r="B15" s="21">
        <f>B14</f>
        <v>0.01</v>
      </c>
      <c r="C15" s="41">
        <f>C14</f>
        <v>0</v>
      </c>
      <c r="D15" s="21">
        <f>D$5</f>
        <v>100</v>
      </c>
      <c r="E15" s="21">
        <f t="shared" si="0"/>
        <v>2.52E-2</v>
      </c>
    </row>
    <row r="16" spans="1:5" s="30" customFormat="1" ht="15.75" thickBot="1" x14ac:dyDescent="0.3">
      <c r="A16" s="30" t="s">
        <v>143</v>
      </c>
      <c r="B16" s="30">
        <f>B14</f>
        <v>0.01</v>
      </c>
      <c r="C16" s="40">
        <f>C14</f>
        <v>0</v>
      </c>
      <c r="D16" s="30">
        <f>D$5</f>
        <v>100</v>
      </c>
      <c r="E16" s="30">
        <f t="shared" si="0"/>
        <v>2.52E-2</v>
      </c>
    </row>
    <row r="17" spans="1:5" x14ac:dyDescent="0.25">
      <c r="A17" s="21" t="s">
        <v>144</v>
      </c>
      <c r="B17" s="21">
        <v>0.01</v>
      </c>
      <c r="C17" s="41">
        <v>0</v>
      </c>
      <c r="D17" s="21">
        <v>100</v>
      </c>
      <c r="E17" s="21">
        <f>E16</f>
        <v>2.52E-2</v>
      </c>
    </row>
    <row r="18" spans="1:5" x14ac:dyDescent="0.25">
      <c r="A18" s="21" t="s">
        <v>145</v>
      </c>
      <c r="B18" s="21">
        <f>B17</f>
        <v>0.01</v>
      </c>
      <c r="C18" s="41">
        <f>C17</f>
        <v>0</v>
      </c>
      <c r="D18" s="21">
        <f>D$5</f>
        <v>100</v>
      </c>
      <c r="E18" s="21">
        <f t="shared" si="0"/>
        <v>2.52E-2</v>
      </c>
    </row>
    <row r="19" spans="1:5" s="70" customFormat="1" ht="15.75" thickBot="1" x14ac:dyDescent="0.3">
      <c r="A19" s="30" t="s">
        <v>146</v>
      </c>
      <c r="B19" s="30">
        <f>B17</f>
        <v>0.01</v>
      </c>
      <c r="C19" s="40">
        <f>C17</f>
        <v>0</v>
      </c>
      <c r="D19" s="30">
        <f>D$5</f>
        <v>100</v>
      </c>
      <c r="E19" s="30">
        <f t="shared" si="0"/>
        <v>2.52E-2</v>
      </c>
    </row>
    <row r="23" spans="1:5" s="42" customFormat="1" x14ac:dyDescent="0.25">
      <c r="A23" s="21"/>
      <c r="B23" s="21"/>
      <c r="C23" s="21"/>
    </row>
    <row r="27" spans="1:5" s="42" customFormat="1" x14ac:dyDescent="0.25">
      <c r="A27" s="21"/>
      <c r="B27" s="21"/>
      <c r="C27" s="21"/>
    </row>
    <row r="31" spans="1:5" s="42" customFormat="1" x14ac:dyDescent="0.25">
      <c r="A31" s="21"/>
      <c r="B31" s="21"/>
      <c r="C31" s="21"/>
    </row>
    <row r="35" spans="1:3" s="42" customFormat="1" x14ac:dyDescent="0.25">
      <c r="A35" s="21"/>
      <c r="B35" s="21"/>
      <c r="C35" s="2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1"/>
  <sheetViews>
    <sheetView workbookViewId="0">
      <selection activeCell="B19" sqref="B19"/>
    </sheetView>
  </sheetViews>
  <sheetFormatPr defaultColWidth="8.85546875" defaultRowHeight="15" x14ac:dyDescent="0.25"/>
  <cols>
    <col min="1" max="1" width="24.28515625" bestFit="1" customWidth="1"/>
  </cols>
  <sheetData>
    <row r="1" spans="1:3" x14ac:dyDescent="0.25">
      <c r="A1" s="4" t="s">
        <v>27</v>
      </c>
      <c r="B1" s="5"/>
      <c r="C1" s="5"/>
    </row>
    <row r="2" spans="1:3" x14ac:dyDescent="0.25">
      <c r="A2" s="4" t="s">
        <v>28</v>
      </c>
      <c r="B2" s="5"/>
      <c r="C2" s="5"/>
    </row>
    <row r="3" spans="1:3" x14ac:dyDescent="0.25">
      <c r="A3" s="6"/>
      <c r="B3" s="7" t="s">
        <v>29</v>
      </c>
      <c r="C3" s="8" t="s">
        <v>30</v>
      </c>
    </row>
    <row r="4" spans="1:3" x14ac:dyDescent="0.25">
      <c r="A4" s="9" t="s">
        <v>31</v>
      </c>
      <c r="B4" s="10">
        <v>12</v>
      </c>
      <c r="C4" s="11">
        <f>(B4*$B$19)/1000/1000</f>
        <v>5.3537967341839917E-4</v>
      </c>
    </row>
    <row r="5" spans="1:3" x14ac:dyDescent="0.25">
      <c r="A5" s="9" t="s">
        <v>32</v>
      </c>
      <c r="B5" s="10">
        <v>16.042459999999998</v>
      </c>
      <c r="C5" s="11">
        <f t="shared" ref="C5:C12" si="0">(B5*$B$19)/1000/1000</f>
        <v>7.1573391630231102E-4</v>
      </c>
    </row>
    <row r="6" spans="1:3" x14ac:dyDescent="0.25">
      <c r="A6" s="9" t="s">
        <v>33</v>
      </c>
      <c r="B6" s="10">
        <v>28.010100000000001</v>
      </c>
      <c r="C6" s="11">
        <f t="shared" si="0"/>
        <v>1.2496698492013921E-3</v>
      </c>
    </row>
    <row r="7" spans="1:3" x14ac:dyDescent="0.25">
      <c r="A7" s="9" t="s">
        <v>34</v>
      </c>
      <c r="B7" s="10">
        <v>44.009500000000003</v>
      </c>
      <c r="C7" s="11">
        <f t="shared" si="0"/>
        <v>1.963482644775587E-3</v>
      </c>
    </row>
    <row r="8" spans="1:3" x14ac:dyDescent="0.25">
      <c r="A8" s="9" t="s">
        <v>35</v>
      </c>
      <c r="B8" s="10">
        <v>2.0158800000000001</v>
      </c>
      <c r="C8" s="11">
        <f t="shared" si="0"/>
        <v>8.9938431337556905E-5</v>
      </c>
    </row>
    <row r="9" spans="1:3" x14ac:dyDescent="0.25">
      <c r="A9" s="9" t="s">
        <v>36</v>
      </c>
      <c r="B9" s="10">
        <v>18.015280000000001</v>
      </c>
      <c r="C9" s="11">
        <f t="shared" si="0"/>
        <v>8.0375122691175155E-4</v>
      </c>
    </row>
    <row r="10" spans="1:3" x14ac:dyDescent="0.25">
      <c r="A10" s="9" t="s">
        <v>37</v>
      </c>
      <c r="B10" s="10">
        <f>(78.12+92.15+106.7)/3</f>
        <v>92.323333333333338</v>
      </c>
      <c r="C10" s="11">
        <f t="shared" si="0"/>
        <v>4.1190030040748338E-3</v>
      </c>
    </row>
    <row r="11" spans="1:3" x14ac:dyDescent="0.25">
      <c r="A11" s="9" t="s">
        <v>38</v>
      </c>
      <c r="B11" s="10">
        <v>28.013400000000001</v>
      </c>
      <c r="C11" s="11">
        <f t="shared" si="0"/>
        <v>1.2498170786115822E-3</v>
      </c>
    </row>
    <row r="12" spans="1:3" x14ac:dyDescent="0.25">
      <c r="A12" s="9" t="s">
        <v>39</v>
      </c>
      <c r="B12" s="10">
        <v>31.998799999999999</v>
      </c>
      <c r="C12" s="11">
        <f t="shared" si="0"/>
        <v>1.4276255911483892E-3</v>
      </c>
    </row>
    <row r="13" spans="1:3" x14ac:dyDescent="0.25">
      <c r="A13" s="12"/>
      <c r="B13" s="13"/>
      <c r="C13" s="14"/>
    </row>
    <row r="14" spans="1:3" x14ac:dyDescent="0.25">
      <c r="A14" s="5"/>
      <c r="B14" s="15"/>
      <c r="C14" s="15"/>
    </row>
    <row r="15" spans="1:3" x14ac:dyDescent="0.25">
      <c r="A15" s="4" t="s">
        <v>40</v>
      </c>
      <c r="B15" s="15"/>
      <c r="C15" s="15"/>
    </row>
    <row r="16" spans="1:3" x14ac:dyDescent="0.25">
      <c r="A16" s="20"/>
      <c r="B16" s="16" t="s">
        <v>41</v>
      </c>
      <c r="C16" s="16"/>
    </row>
    <row r="17" spans="1:3" x14ac:dyDescent="0.25">
      <c r="A17" s="20" t="s">
        <v>42</v>
      </c>
      <c r="B17" s="23">
        <v>3.6</v>
      </c>
      <c r="C17" s="10"/>
    </row>
    <row r="18" spans="1:3" x14ac:dyDescent="0.25">
      <c r="A18" s="20" t="s">
        <v>43</v>
      </c>
      <c r="B18" s="48">
        <f>B17/1000</f>
        <v>3.5999999999999999E-3</v>
      </c>
      <c r="C18" s="10"/>
    </row>
    <row r="19" spans="1:3" x14ac:dyDescent="0.25">
      <c r="A19" s="20" t="s">
        <v>44</v>
      </c>
      <c r="B19" s="10">
        <f>1/0.022414</f>
        <v>44.614972784866602</v>
      </c>
      <c r="C19" s="10"/>
    </row>
    <row r="20" spans="1:3" x14ac:dyDescent="0.25">
      <c r="A20" s="19" t="s">
        <v>71</v>
      </c>
      <c r="B20" s="21">
        <f>1.163</f>
        <v>1.163</v>
      </c>
    </row>
    <row r="21" spans="1:3" x14ac:dyDescent="0.25">
      <c r="A21" s="19" t="s">
        <v>73</v>
      </c>
      <c r="B21" s="22">
        <f>2000/2204.62</f>
        <v>0.90718581887127947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Normal="100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C8" sqref="C8"/>
    </sheetView>
  </sheetViews>
  <sheetFormatPr defaultColWidth="8.85546875" defaultRowHeight="15" x14ac:dyDescent="0.25"/>
  <cols>
    <col min="1" max="1" width="19.42578125" style="21" customWidth="1"/>
    <col min="2" max="2" width="26.140625" style="21" bestFit="1" customWidth="1"/>
    <col min="3" max="3" width="17.85546875" style="21" bestFit="1" customWidth="1"/>
    <col min="4" max="5" width="17.85546875" style="81" customWidth="1"/>
    <col min="6" max="6" width="63.28515625" style="21" bestFit="1" customWidth="1"/>
    <col min="7" max="16384" width="8.85546875" style="21"/>
  </cols>
  <sheetData>
    <row r="1" spans="1:6" x14ac:dyDescent="0.25">
      <c r="A1" s="42" t="s">
        <v>0</v>
      </c>
      <c r="B1" s="21" t="s">
        <v>8</v>
      </c>
      <c r="C1" s="21" t="s">
        <v>9</v>
      </c>
      <c r="D1" s="81" t="s">
        <v>98</v>
      </c>
      <c r="E1" s="81" t="s">
        <v>58</v>
      </c>
      <c r="F1" s="21" t="s">
        <v>74</v>
      </c>
    </row>
    <row r="2" spans="1:6" x14ac:dyDescent="0.25">
      <c r="A2" s="55" t="s">
        <v>1</v>
      </c>
      <c r="B2" s="21" t="s">
        <v>61</v>
      </c>
      <c r="C2" s="21" t="s">
        <v>62</v>
      </c>
    </row>
    <row r="3" spans="1:6" x14ac:dyDescent="0.25">
      <c r="A3" s="55" t="s">
        <v>2</v>
      </c>
    </row>
    <row r="4" spans="1:6" s="30" customFormat="1" ht="15.75" thickBot="1" x14ac:dyDescent="0.3">
      <c r="A4" s="71" t="s">
        <v>3</v>
      </c>
      <c r="B4" s="30">
        <v>0.05</v>
      </c>
      <c r="C4" s="30">
        <v>0.1</v>
      </c>
      <c r="D4" s="37"/>
      <c r="E4" s="37"/>
    </row>
    <row r="5" spans="1:6" x14ac:dyDescent="0.25">
      <c r="A5" s="33" t="s">
        <v>150</v>
      </c>
      <c r="B5" s="57">
        <v>0.05</v>
      </c>
      <c r="C5" s="57">
        <f>30*Ref!$B$18</f>
        <v>0.108</v>
      </c>
      <c r="D5" s="59"/>
      <c r="E5" s="59"/>
    </row>
    <row r="6" spans="1:6" x14ac:dyDescent="0.25">
      <c r="A6" s="25" t="s">
        <v>151</v>
      </c>
      <c r="B6" s="22">
        <f>B5</f>
        <v>0.05</v>
      </c>
      <c r="C6" s="22">
        <f>C5</f>
        <v>0.108</v>
      </c>
    </row>
    <row r="7" spans="1:6" s="30" customFormat="1" ht="15.75" thickBot="1" x14ac:dyDescent="0.3">
      <c r="A7" s="31" t="s">
        <v>154</v>
      </c>
      <c r="B7" s="29">
        <f>B5</f>
        <v>0.05</v>
      </c>
      <c r="C7" s="29">
        <f>C5</f>
        <v>0.108</v>
      </c>
      <c r="D7" s="37"/>
      <c r="E7" s="37"/>
    </row>
    <row r="8" spans="1:6" s="42" customFormat="1" x14ac:dyDescent="0.25">
      <c r="A8" s="33" t="s">
        <v>119</v>
      </c>
      <c r="B8" s="57">
        <v>0.05</v>
      </c>
      <c r="C8" s="57">
        <f>30*Ref!$B$18</f>
        <v>0.108</v>
      </c>
      <c r="D8" s="81"/>
      <c r="E8" s="81"/>
      <c r="F8" s="21"/>
    </row>
    <row r="9" spans="1:6" x14ac:dyDescent="0.25">
      <c r="A9" s="53" t="s">
        <v>152</v>
      </c>
      <c r="B9" s="21">
        <f>B8</f>
        <v>0.05</v>
      </c>
      <c r="C9" s="21">
        <f>C8</f>
        <v>0.108</v>
      </c>
    </row>
    <row r="10" spans="1:6" s="30" customFormat="1" ht="15.75" thickBot="1" x14ac:dyDescent="0.3">
      <c r="A10" s="69" t="s">
        <v>155</v>
      </c>
      <c r="B10" s="30">
        <f>B8</f>
        <v>0.05</v>
      </c>
      <c r="C10" s="30">
        <f>C8</f>
        <v>0.108</v>
      </c>
      <c r="D10" s="37"/>
      <c r="E10" s="37"/>
    </row>
    <row r="11" spans="1:6" x14ac:dyDescent="0.25">
      <c r="A11" s="53" t="s">
        <v>120</v>
      </c>
      <c r="B11" s="57">
        <v>0.05</v>
      </c>
      <c r="C11" s="57">
        <f>30*Ref!$B$18</f>
        <v>0.108</v>
      </c>
    </row>
    <row r="12" spans="1:6" x14ac:dyDescent="0.25">
      <c r="A12" s="53" t="s">
        <v>153</v>
      </c>
      <c r="B12" s="21">
        <f>B11</f>
        <v>0.05</v>
      </c>
      <c r="C12" s="21">
        <f>C11</f>
        <v>0.108</v>
      </c>
    </row>
    <row r="13" spans="1:6" s="30" customFormat="1" ht="15.75" thickBot="1" x14ac:dyDescent="0.3">
      <c r="A13" s="63" t="s">
        <v>156</v>
      </c>
      <c r="B13" s="30">
        <f>B11</f>
        <v>0.05</v>
      </c>
      <c r="C13" s="30">
        <f>C11</f>
        <v>0.108</v>
      </c>
      <c r="D13" s="37"/>
      <c r="E13" s="37"/>
    </row>
    <row r="14" spans="1:6" x14ac:dyDescent="0.25">
      <c r="A14" t="s">
        <v>141</v>
      </c>
      <c r="B14" s="57">
        <v>0.05</v>
      </c>
      <c r="C14" s="57">
        <f>30*Ref!$B$18</f>
        <v>0.108</v>
      </c>
    </row>
    <row r="15" spans="1:6" x14ac:dyDescent="0.25">
      <c r="A15" t="s">
        <v>142</v>
      </c>
      <c r="B15" s="21">
        <f>B14</f>
        <v>0.05</v>
      </c>
      <c r="C15" s="21">
        <f>C14</f>
        <v>0.108</v>
      </c>
    </row>
    <row r="16" spans="1:6" s="30" customFormat="1" ht="15.75" thickBot="1" x14ac:dyDescent="0.3">
      <c r="A16" s="30" t="s">
        <v>143</v>
      </c>
      <c r="B16" s="30">
        <f>B14</f>
        <v>0.05</v>
      </c>
      <c r="C16" s="30">
        <f>C14</f>
        <v>0.108</v>
      </c>
      <c r="D16" s="37"/>
      <c r="E16" s="37"/>
    </row>
    <row r="17" spans="1:5" x14ac:dyDescent="0.25">
      <c r="A17" t="s">
        <v>144</v>
      </c>
      <c r="B17" s="57">
        <v>0.05</v>
      </c>
      <c r="C17" s="57">
        <f>30*Ref!$B$18</f>
        <v>0.108</v>
      </c>
    </row>
    <row r="18" spans="1:5" x14ac:dyDescent="0.25">
      <c r="A18" t="s">
        <v>145</v>
      </c>
      <c r="B18" s="21">
        <f>B17</f>
        <v>0.05</v>
      </c>
      <c r="C18" s="21">
        <f>C17</f>
        <v>0.108</v>
      </c>
    </row>
    <row r="19" spans="1:5" s="30" customFormat="1" ht="15.75" thickBot="1" x14ac:dyDescent="0.3">
      <c r="A19" s="30" t="s">
        <v>146</v>
      </c>
      <c r="B19" s="30">
        <f>B17</f>
        <v>0.05</v>
      </c>
      <c r="C19" s="30">
        <f>C17</f>
        <v>0.108</v>
      </c>
      <c r="D19" s="37"/>
      <c r="E19" s="37"/>
    </row>
  </sheetData>
  <sortState ref="A26:F49">
    <sortCondition ref="A2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3" sqref="G13"/>
    </sheetView>
  </sheetViews>
  <sheetFormatPr defaultColWidth="8.85546875" defaultRowHeight="15" x14ac:dyDescent="0.25"/>
  <cols>
    <col min="1" max="1" width="20.140625" style="21" customWidth="1"/>
    <col min="2" max="2" width="10.140625" style="81" customWidth="1"/>
    <col min="3" max="3" width="12.42578125" style="21" bestFit="1" customWidth="1"/>
    <col min="4" max="4" width="15.42578125" style="21" customWidth="1"/>
    <col min="5" max="5" width="17.28515625" style="21" bestFit="1" customWidth="1"/>
    <col min="6" max="6" width="11.85546875" style="21" bestFit="1" customWidth="1"/>
    <col min="7" max="7" width="13.42578125" style="21" bestFit="1" customWidth="1"/>
    <col min="8" max="16384" width="8.85546875" style="21"/>
  </cols>
  <sheetData>
    <row r="1" spans="1:9" x14ac:dyDescent="0.25">
      <c r="A1" s="42" t="s">
        <v>0</v>
      </c>
      <c r="B1" s="81" t="s">
        <v>157</v>
      </c>
      <c r="C1" s="21" t="s">
        <v>10</v>
      </c>
      <c r="D1" s="21" t="s">
        <v>21</v>
      </c>
      <c r="E1" s="21" t="s">
        <v>11</v>
      </c>
      <c r="F1" s="21" t="s">
        <v>12</v>
      </c>
      <c r="G1" s="21" t="s">
        <v>13</v>
      </c>
      <c r="H1" s="21" t="s">
        <v>7</v>
      </c>
      <c r="I1" s="21" t="s">
        <v>2</v>
      </c>
    </row>
    <row r="2" spans="1:9" x14ac:dyDescent="0.25">
      <c r="A2" s="55" t="s">
        <v>1</v>
      </c>
      <c r="B2" s="85" t="s">
        <v>158</v>
      </c>
      <c r="H2" s="21" t="s">
        <v>109</v>
      </c>
    </row>
    <row r="3" spans="1:9" x14ac:dyDescent="0.25">
      <c r="A3" s="55" t="s">
        <v>2</v>
      </c>
      <c r="B3" s="85"/>
    </row>
    <row r="4" spans="1:9" s="30" customFormat="1" ht="15.75" thickBot="1" x14ac:dyDescent="0.3">
      <c r="A4" s="30" t="s">
        <v>3</v>
      </c>
      <c r="B4" s="37"/>
      <c r="C4" s="30">
        <f>0.02</f>
        <v>0.02</v>
      </c>
      <c r="D4" s="30" t="s">
        <v>93</v>
      </c>
      <c r="E4" s="30">
        <v>0</v>
      </c>
      <c r="F4" s="30" t="s">
        <v>113</v>
      </c>
      <c r="G4" s="30">
        <v>0</v>
      </c>
      <c r="H4" s="30">
        <v>0</v>
      </c>
    </row>
    <row r="5" spans="1:9" s="42" customFormat="1" x14ac:dyDescent="0.25">
      <c r="A5" s="33" t="s">
        <v>150</v>
      </c>
      <c r="B5" s="86">
        <v>0.72</v>
      </c>
      <c r="C5" s="57">
        <f>0.72/25.8</f>
        <v>2.7906976744186046E-2</v>
      </c>
      <c r="D5" s="42" t="s">
        <v>118</v>
      </c>
      <c r="E5" s="42">
        <v>0</v>
      </c>
      <c r="F5" s="42" t="s">
        <v>113</v>
      </c>
      <c r="G5" s="57">
        <f>0.018</f>
        <v>1.7999999999999999E-2</v>
      </c>
      <c r="H5" s="42">
        <f>75*Ref!$B$18</f>
        <v>0.27</v>
      </c>
    </row>
    <row r="6" spans="1:9" ht="17.100000000000001" customHeight="1" x14ac:dyDescent="0.25">
      <c r="A6" s="25" t="s">
        <v>151</v>
      </c>
      <c r="B6" s="86"/>
      <c r="C6" s="22">
        <f>C$5</f>
        <v>2.7906976744186046E-2</v>
      </c>
      <c r="D6" s="21" t="str">
        <f t="shared" ref="D6:H6" si="0">D$5</f>
        <v>coal bituminous - IPCC</v>
      </c>
      <c r="E6" s="21">
        <f t="shared" si="0"/>
        <v>0</v>
      </c>
      <c r="F6" s="21" t="str">
        <f t="shared" si="0"/>
        <v>charcoal - IPCC</v>
      </c>
      <c r="G6" s="22">
        <f t="shared" si="0"/>
        <v>1.7999999999999999E-2</v>
      </c>
      <c r="H6" s="21">
        <f t="shared" si="0"/>
        <v>0.27</v>
      </c>
    </row>
    <row r="7" spans="1:9" s="30" customFormat="1" ht="15.75" thickBot="1" x14ac:dyDescent="0.3">
      <c r="A7" s="31" t="s">
        <v>154</v>
      </c>
      <c r="B7" s="87"/>
      <c r="C7" s="29">
        <f>C$5</f>
        <v>2.7906976744186046E-2</v>
      </c>
      <c r="D7" s="30" t="str">
        <f>D$5</f>
        <v>coal bituminous - IPCC</v>
      </c>
      <c r="E7" s="32">
        <v>0.5</v>
      </c>
      <c r="F7" s="30" t="str">
        <f t="shared" ref="F7:H7" si="1">F$5</f>
        <v>charcoal - IPCC</v>
      </c>
      <c r="G7" s="29">
        <f t="shared" si="1"/>
        <v>1.7999999999999999E-2</v>
      </c>
      <c r="H7" s="30">
        <f t="shared" si="1"/>
        <v>0.27</v>
      </c>
    </row>
    <row r="8" spans="1:9" x14ac:dyDescent="0.25">
      <c r="A8" s="33" t="s">
        <v>119</v>
      </c>
      <c r="B8" s="86">
        <v>0.72</v>
      </c>
      <c r="C8" s="57">
        <f>0.72/25.8</f>
        <v>2.7906976744186046E-2</v>
      </c>
      <c r="D8" s="42" t="s">
        <v>118</v>
      </c>
      <c r="E8" s="42">
        <v>0</v>
      </c>
      <c r="F8" s="42" t="s">
        <v>113</v>
      </c>
      <c r="G8" s="57">
        <v>1.7999999999999999E-2</v>
      </c>
      <c r="H8" s="42">
        <f>75*Ref!$B$18</f>
        <v>0.27</v>
      </c>
      <c r="I8" s="42"/>
    </row>
    <row r="9" spans="1:9" s="42" customFormat="1" x14ac:dyDescent="0.25">
      <c r="A9" s="60" t="s">
        <v>152</v>
      </c>
      <c r="B9" s="86"/>
      <c r="C9" s="22">
        <f>C8</f>
        <v>2.7906976744186046E-2</v>
      </c>
      <c r="D9" s="21" t="str">
        <f>D8</f>
        <v>coal bituminous - IPCC</v>
      </c>
      <c r="E9" s="21">
        <f t="shared" ref="E9" si="2">E$5</f>
        <v>0</v>
      </c>
      <c r="F9" s="21" t="str">
        <f>F8</f>
        <v>charcoal - IPCC</v>
      </c>
      <c r="G9" s="21">
        <f>G8</f>
        <v>1.7999999999999999E-2</v>
      </c>
      <c r="H9" s="21">
        <f>H8</f>
        <v>0.27</v>
      </c>
      <c r="I9" s="21"/>
    </row>
    <row r="10" spans="1:9" s="30" customFormat="1" ht="15.75" thickBot="1" x14ac:dyDescent="0.3">
      <c r="A10" s="63" t="s">
        <v>155</v>
      </c>
      <c r="B10" s="88"/>
      <c r="C10" s="29">
        <f>C8</f>
        <v>2.7906976744186046E-2</v>
      </c>
      <c r="D10" s="30" t="str">
        <f>D8</f>
        <v>coal bituminous - IPCC</v>
      </c>
      <c r="E10" s="32">
        <v>0.5</v>
      </c>
      <c r="F10" s="30" t="str">
        <f>F8</f>
        <v>charcoal - IPCC</v>
      </c>
      <c r="G10" s="30">
        <f>G8</f>
        <v>1.7999999999999999E-2</v>
      </c>
      <c r="H10" s="30">
        <f>H8</f>
        <v>0.27</v>
      </c>
    </row>
    <row r="11" spans="1:9" x14ac:dyDescent="0.25">
      <c r="A11" s="53" t="s">
        <v>120</v>
      </c>
      <c r="B11" s="89">
        <v>0.72</v>
      </c>
      <c r="C11" s="57">
        <f>0.72/25.8</f>
        <v>2.7906976744186046E-2</v>
      </c>
      <c r="D11" s="42" t="s">
        <v>118</v>
      </c>
      <c r="E11" s="42">
        <v>0</v>
      </c>
      <c r="F11" s="42" t="s">
        <v>113</v>
      </c>
      <c r="G11" s="57">
        <v>1.7999999999999999E-2</v>
      </c>
      <c r="H11" s="42">
        <f>75*Ref!$B$18</f>
        <v>0.27</v>
      </c>
    </row>
    <row r="12" spans="1:9" x14ac:dyDescent="0.25">
      <c r="A12" s="53" t="s">
        <v>153</v>
      </c>
      <c r="B12" s="89"/>
      <c r="C12" s="28">
        <f>C11</f>
        <v>2.7906976744186046E-2</v>
      </c>
      <c r="D12" s="28" t="str">
        <f>D11</f>
        <v>coal bituminous - IPCC</v>
      </c>
      <c r="E12" s="21">
        <f t="shared" ref="E12" si="3">E$5</f>
        <v>0</v>
      </c>
      <c r="F12" s="28" t="str">
        <f>F11</f>
        <v>charcoal - IPCC</v>
      </c>
      <c r="G12" s="28">
        <f>G11</f>
        <v>1.7999999999999999E-2</v>
      </c>
      <c r="H12" s="43">
        <f>H11</f>
        <v>0.27</v>
      </c>
    </row>
    <row r="13" spans="1:9" s="70" customFormat="1" ht="15.75" thickBot="1" x14ac:dyDescent="0.3">
      <c r="A13" s="63" t="s">
        <v>156</v>
      </c>
      <c r="B13" s="88"/>
      <c r="C13" s="39">
        <f>C11</f>
        <v>2.7906976744186046E-2</v>
      </c>
      <c r="D13" s="39" t="str">
        <f>D11</f>
        <v>coal bituminous - IPCC</v>
      </c>
      <c r="E13" s="32">
        <v>0.5</v>
      </c>
      <c r="F13" s="39" t="str">
        <f>F11</f>
        <v>charcoal - IPCC</v>
      </c>
      <c r="G13" s="39">
        <f>G11</f>
        <v>1.7999999999999999E-2</v>
      </c>
      <c r="H13" s="44">
        <f>H11</f>
        <v>0.27</v>
      </c>
      <c r="I13" s="30"/>
    </row>
    <row r="14" spans="1:9" x14ac:dyDescent="0.25">
      <c r="A14" t="s">
        <v>141</v>
      </c>
      <c r="B14" s="36">
        <f>C14*48</f>
        <v>1.2528000000000001</v>
      </c>
      <c r="C14" s="21">
        <v>2.6100000000000002E-2</v>
      </c>
      <c r="D14" s="21" t="s">
        <v>95</v>
      </c>
      <c r="E14" s="42">
        <v>0</v>
      </c>
      <c r="F14" s="42" t="s">
        <v>113</v>
      </c>
      <c r="G14" s="57">
        <f>(0.04/1.781)*(88/184)*(56/44)</f>
        <v>1.3670873715304056E-2</v>
      </c>
      <c r="H14" s="47">
        <f>128/1.836*Ref!$B$18</f>
        <v>0.25098039215686274</v>
      </c>
    </row>
    <row r="15" spans="1:9" ht="15.75" customHeight="1" x14ac:dyDescent="0.25">
      <c r="A15" t="s">
        <v>142</v>
      </c>
      <c r="B15" s="36"/>
      <c r="C15" s="21">
        <v>2.6100000000000002E-2</v>
      </c>
      <c r="D15" s="21" t="str">
        <f>D14</f>
        <v>natural gas - IPCC</v>
      </c>
      <c r="E15" s="21">
        <f t="shared" ref="E15" si="4">E$5</f>
        <v>0</v>
      </c>
      <c r="F15" s="28" t="str">
        <f>F14</f>
        <v>charcoal - IPCC</v>
      </c>
      <c r="G15" s="22">
        <f>G14</f>
        <v>1.3670873715304056E-2</v>
      </c>
      <c r="H15" s="41">
        <f>H14</f>
        <v>0.25098039215686274</v>
      </c>
    </row>
    <row r="16" spans="1:9" s="30" customFormat="1" ht="15.75" thickBot="1" x14ac:dyDescent="0.3">
      <c r="A16" s="30" t="s">
        <v>143</v>
      </c>
      <c r="B16" s="37"/>
      <c r="C16" s="30">
        <v>2.6100000000000002E-2</v>
      </c>
      <c r="D16" s="30" t="str">
        <f>D14</f>
        <v>natural gas - IPCC</v>
      </c>
      <c r="E16" s="32">
        <v>0.5</v>
      </c>
      <c r="F16" s="39" t="str">
        <f>F14</f>
        <v>charcoal - IPCC</v>
      </c>
      <c r="G16" s="29">
        <f>G14</f>
        <v>1.3670873715304056E-2</v>
      </c>
      <c r="H16" s="40">
        <f>H14</f>
        <v>0.25098039215686274</v>
      </c>
    </row>
    <row r="17" spans="1:9" s="42" customFormat="1" x14ac:dyDescent="0.25">
      <c r="A17" t="s">
        <v>144</v>
      </c>
      <c r="B17" s="36">
        <f>C17*48</f>
        <v>1.2528000000000001</v>
      </c>
      <c r="C17" s="21">
        <v>2.6100000000000002E-2</v>
      </c>
      <c r="D17" s="21" t="s">
        <v>95</v>
      </c>
      <c r="E17" s="42">
        <v>0</v>
      </c>
      <c r="F17" s="42" t="s">
        <v>113</v>
      </c>
      <c r="G17" s="57">
        <f>(0.04/1.781)*(88/184)*(56/44)</f>
        <v>1.3670873715304056E-2</v>
      </c>
      <c r="H17" s="47">
        <f>128/1.836*Ref!$B$18</f>
        <v>0.25098039215686274</v>
      </c>
      <c r="I17" s="21"/>
    </row>
    <row r="18" spans="1:9" x14ac:dyDescent="0.25">
      <c r="A18" t="s">
        <v>145</v>
      </c>
      <c r="B18" s="36"/>
      <c r="C18" s="21">
        <v>2.6100000000000002E-2</v>
      </c>
      <c r="D18" s="21" t="str">
        <f>D17</f>
        <v>natural gas - IPCC</v>
      </c>
      <c r="E18" s="21">
        <f t="shared" ref="E18" si="5">E$5</f>
        <v>0</v>
      </c>
      <c r="F18" s="28" t="str">
        <f>F17</f>
        <v>charcoal - IPCC</v>
      </c>
      <c r="G18" s="22">
        <f>G17</f>
        <v>1.3670873715304056E-2</v>
      </c>
      <c r="H18" s="41">
        <f>H17</f>
        <v>0.25098039215686274</v>
      </c>
    </row>
    <row r="19" spans="1:9" s="30" customFormat="1" ht="15.75" thickBot="1" x14ac:dyDescent="0.3">
      <c r="A19" s="30" t="s">
        <v>146</v>
      </c>
      <c r="B19" s="37"/>
      <c r="C19" s="30">
        <v>2.6100000000000002E-2</v>
      </c>
      <c r="D19" s="30" t="str">
        <f>D17</f>
        <v>natural gas - IPCC</v>
      </c>
      <c r="E19" s="32">
        <v>0.5</v>
      </c>
      <c r="F19" s="39" t="str">
        <f>F17</f>
        <v>charcoal - IPCC</v>
      </c>
      <c r="G19" s="29">
        <f>G17</f>
        <v>1.3670873715304056E-2</v>
      </c>
      <c r="H19" s="40">
        <f>H17</f>
        <v>0.25098039215686274</v>
      </c>
    </row>
    <row r="21" spans="1:9" s="42" customFormat="1" x14ac:dyDescent="0.25">
      <c r="A21" s="21"/>
      <c r="B21" s="81"/>
      <c r="C21" s="21"/>
      <c r="D21" s="21"/>
      <c r="E21" s="21"/>
      <c r="F21" s="21"/>
      <c r="G21" s="21"/>
      <c r="H21" s="21"/>
      <c r="I21" s="21"/>
    </row>
    <row r="33" spans="1:9" s="42" customFormat="1" x14ac:dyDescent="0.25">
      <c r="A33" s="21"/>
      <c r="B33" s="81"/>
      <c r="C33" s="21"/>
      <c r="D33" s="21"/>
      <c r="E33" s="21"/>
      <c r="F33" s="21"/>
      <c r="G33" s="21"/>
      <c r="H33" s="21"/>
      <c r="I33" s="21"/>
    </row>
    <row r="37" spans="1:9" s="42" customFormat="1" x14ac:dyDescent="0.25">
      <c r="A37" s="21"/>
      <c r="B37" s="81"/>
      <c r="C37" s="21"/>
      <c r="D37" s="21"/>
      <c r="E37" s="21"/>
      <c r="F37" s="21"/>
      <c r="G37" s="21"/>
      <c r="H37" s="21"/>
      <c r="I37" s="2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7" sqref="B17"/>
    </sheetView>
  </sheetViews>
  <sheetFormatPr defaultColWidth="8.85546875" defaultRowHeight="15" x14ac:dyDescent="0.25"/>
  <cols>
    <col min="1" max="1" width="22.140625" style="21" customWidth="1"/>
    <col min="2" max="2" width="18.140625" style="21" customWidth="1"/>
    <col min="3" max="3" width="17.28515625" style="21" customWidth="1"/>
    <col min="4" max="4" width="17.85546875" style="21" bestFit="1" customWidth="1"/>
    <col min="5" max="5" width="11.85546875" style="21" bestFit="1" customWidth="1"/>
    <col min="6" max="6" width="13.7109375" style="21" bestFit="1" customWidth="1"/>
    <col min="7" max="7" width="17.85546875" style="21" bestFit="1" customWidth="1"/>
    <col min="8" max="16384" width="8.85546875" style="21"/>
  </cols>
  <sheetData>
    <row r="1" spans="1:8" x14ac:dyDescent="0.25">
      <c r="A1" s="42" t="s">
        <v>0</v>
      </c>
      <c r="B1" s="21" t="s">
        <v>10</v>
      </c>
      <c r="C1" s="21" t="s">
        <v>21</v>
      </c>
      <c r="D1" s="21" t="s">
        <v>11</v>
      </c>
      <c r="E1" s="21" t="s">
        <v>12</v>
      </c>
      <c r="F1" s="21" t="s">
        <v>14</v>
      </c>
      <c r="G1" s="21" t="s">
        <v>7</v>
      </c>
      <c r="H1" s="21" t="s">
        <v>2</v>
      </c>
    </row>
    <row r="2" spans="1:8" x14ac:dyDescent="0.25">
      <c r="A2" s="55" t="s">
        <v>1</v>
      </c>
      <c r="B2" s="21" t="s">
        <v>23</v>
      </c>
      <c r="D2" s="21" t="s">
        <v>23</v>
      </c>
      <c r="F2" s="21" t="s">
        <v>24</v>
      </c>
      <c r="G2" s="21" t="s">
        <v>45</v>
      </c>
    </row>
    <row r="3" spans="1:8" x14ac:dyDescent="0.25">
      <c r="A3" s="55" t="s">
        <v>2</v>
      </c>
    </row>
    <row r="4" spans="1:8" x14ac:dyDescent="0.25">
      <c r="A4" s="21" t="s">
        <v>3</v>
      </c>
      <c r="B4" s="22">
        <f>0.012/1.4</f>
        <v>8.5714285714285719E-3</v>
      </c>
      <c r="C4" s="42" t="s">
        <v>93</v>
      </c>
      <c r="D4" s="21">
        <v>0</v>
      </c>
      <c r="E4" s="21" t="s">
        <v>113</v>
      </c>
      <c r="F4" s="22">
        <f>0.133*0.56/1.3</f>
        <v>5.7292307692307691E-2</v>
      </c>
      <c r="G4" s="22">
        <v>0</v>
      </c>
    </row>
    <row r="5" spans="1:8" x14ac:dyDescent="0.25">
      <c r="A5" s="33" t="s">
        <v>150</v>
      </c>
      <c r="B5" s="61">
        <v>0.05</v>
      </c>
      <c r="C5" s="42" t="s">
        <v>93</v>
      </c>
      <c r="D5" s="42">
        <v>0</v>
      </c>
      <c r="E5" s="42" t="s">
        <v>113</v>
      </c>
      <c r="F5" s="57">
        <f>0.01+(0.1165*(56/100))</f>
        <v>7.5240000000000001E-2</v>
      </c>
      <c r="G5" s="57">
        <f>32*Ref!$B$18</f>
        <v>0.1152</v>
      </c>
      <c r="H5" s="42"/>
    </row>
    <row r="6" spans="1:8" x14ac:dyDescent="0.25">
      <c r="A6" s="25" t="s">
        <v>151</v>
      </c>
      <c r="B6" s="22">
        <f>B$5</f>
        <v>0.05</v>
      </c>
      <c r="C6" s="41" t="str">
        <f>C$5</f>
        <v>coke - IPCC</v>
      </c>
      <c r="D6" s="21">
        <v>0</v>
      </c>
      <c r="E6" s="21" t="str">
        <f>E5</f>
        <v>charcoal - IPCC</v>
      </c>
      <c r="F6" s="22">
        <f>F$5</f>
        <v>7.5240000000000001E-2</v>
      </c>
      <c r="G6" s="22">
        <f>G$5</f>
        <v>0.1152</v>
      </c>
    </row>
    <row r="7" spans="1:8" s="30" customFormat="1" ht="15.75" thickBot="1" x14ac:dyDescent="0.3">
      <c r="A7" s="31" t="s">
        <v>154</v>
      </c>
      <c r="B7" s="29">
        <f>B$5</f>
        <v>0.05</v>
      </c>
      <c r="C7" s="40" t="str">
        <f>C$5</f>
        <v>coke - IPCC</v>
      </c>
      <c r="D7" s="32">
        <v>0.5</v>
      </c>
      <c r="E7" s="30" t="str">
        <f>E5</f>
        <v>charcoal - IPCC</v>
      </c>
      <c r="F7" s="29">
        <f>F$5</f>
        <v>7.5240000000000001E-2</v>
      </c>
      <c r="G7" s="29">
        <f>G$5</f>
        <v>0.1152</v>
      </c>
    </row>
    <row r="8" spans="1:8" x14ac:dyDescent="0.25">
      <c r="A8" s="33" t="s">
        <v>119</v>
      </c>
      <c r="B8" s="61">
        <v>0.05</v>
      </c>
      <c r="C8" s="42" t="s">
        <v>93</v>
      </c>
      <c r="D8" s="42">
        <v>0</v>
      </c>
      <c r="E8" s="42" t="s">
        <v>113</v>
      </c>
      <c r="F8" s="57">
        <f>0.01+(0.0897*(56/100))</f>
        <v>6.0232000000000008E-2</v>
      </c>
      <c r="G8" s="57">
        <f>32*Ref!$B$18</f>
        <v>0.1152</v>
      </c>
    </row>
    <row r="9" spans="1:8" x14ac:dyDescent="0.25">
      <c r="A9" s="60" t="s">
        <v>152</v>
      </c>
      <c r="B9" s="22">
        <f>B8</f>
        <v>0.05</v>
      </c>
      <c r="C9" s="22" t="str">
        <f>C8</f>
        <v>coke - IPCC</v>
      </c>
      <c r="D9" s="21">
        <v>0</v>
      </c>
      <c r="E9" s="22" t="str">
        <f>E8</f>
        <v>charcoal - IPCC</v>
      </c>
      <c r="F9" s="22">
        <f>F8</f>
        <v>6.0232000000000008E-2</v>
      </c>
      <c r="G9" s="22">
        <f>G8</f>
        <v>0.1152</v>
      </c>
    </row>
    <row r="10" spans="1:8" s="30" customFormat="1" ht="15.75" thickBot="1" x14ac:dyDescent="0.3">
      <c r="A10" s="63" t="s">
        <v>155</v>
      </c>
      <c r="B10" s="29">
        <f>B8</f>
        <v>0.05</v>
      </c>
      <c r="C10" s="29" t="str">
        <f>C8</f>
        <v>coke - IPCC</v>
      </c>
      <c r="D10" s="32">
        <v>0.5</v>
      </c>
      <c r="E10" s="29" t="str">
        <f>E8</f>
        <v>charcoal - IPCC</v>
      </c>
      <c r="F10" s="29">
        <f>F8</f>
        <v>6.0232000000000008E-2</v>
      </c>
      <c r="G10" s="29">
        <f>G8</f>
        <v>0.1152</v>
      </c>
    </row>
    <row r="11" spans="1:8" x14ac:dyDescent="0.25">
      <c r="A11" s="62" t="s">
        <v>120</v>
      </c>
      <c r="B11" s="61">
        <v>0.05</v>
      </c>
      <c r="C11" s="42" t="s">
        <v>118</v>
      </c>
      <c r="D11" s="42">
        <v>0</v>
      </c>
      <c r="E11" s="42" t="s">
        <v>113</v>
      </c>
      <c r="F11" s="57">
        <f>0.01+(0.1165*(56/100))</f>
        <v>7.5240000000000001E-2</v>
      </c>
      <c r="G11" s="57">
        <f>32*Ref!$B$18</f>
        <v>0.1152</v>
      </c>
      <c r="H11" s="42"/>
    </row>
    <row r="12" spans="1:8" x14ac:dyDescent="0.25">
      <c r="A12" s="53" t="s">
        <v>153</v>
      </c>
      <c r="B12" s="22">
        <f>B11</f>
        <v>0.05</v>
      </c>
      <c r="C12" s="22" t="str">
        <f>C11</f>
        <v>coal bituminous - IPCC</v>
      </c>
      <c r="D12" s="21">
        <v>0</v>
      </c>
      <c r="E12" s="22" t="str">
        <f>E11</f>
        <v>charcoal - IPCC</v>
      </c>
      <c r="F12" s="22">
        <f>F11</f>
        <v>7.5240000000000001E-2</v>
      </c>
      <c r="G12" s="22">
        <f>G11</f>
        <v>0.1152</v>
      </c>
    </row>
    <row r="13" spans="1:8" x14ac:dyDescent="0.25">
      <c r="A13" s="53" t="s">
        <v>156</v>
      </c>
      <c r="B13" s="22">
        <f>B11</f>
        <v>0.05</v>
      </c>
      <c r="C13" s="22" t="str">
        <f>C11</f>
        <v>coal bituminous - IPCC</v>
      </c>
      <c r="D13" s="51">
        <v>0.5</v>
      </c>
      <c r="E13" s="22" t="str">
        <f>E11</f>
        <v>charcoal - IPCC</v>
      </c>
      <c r="F13" s="22">
        <f>F11</f>
        <v>7.5240000000000001E-2</v>
      </c>
      <c r="G13" s="22">
        <f>G11</f>
        <v>0.1152</v>
      </c>
    </row>
    <row r="27" spans="1:8" s="42" customFormat="1" x14ac:dyDescent="0.25">
      <c r="A27" s="21"/>
      <c r="B27" s="21"/>
      <c r="C27" s="21"/>
      <c r="D27" s="21"/>
      <c r="E27" s="21"/>
      <c r="F27" s="21"/>
      <c r="G27" s="21"/>
      <c r="H27" s="21"/>
    </row>
    <row r="31" spans="1:8" s="42" customFormat="1" x14ac:dyDescent="0.25">
      <c r="A31" s="21"/>
      <c r="B31" s="21"/>
      <c r="C31" s="21"/>
      <c r="D31" s="21"/>
      <c r="E31" s="21"/>
      <c r="F31" s="21"/>
      <c r="G31" s="21"/>
      <c r="H31" s="21"/>
    </row>
    <row r="35" spans="1:8" s="42" customFormat="1" x14ac:dyDescent="0.25">
      <c r="A35" s="21"/>
      <c r="B35" s="21"/>
      <c r="C35" s="21"/>
      <c r="D35" s="21"/>
      <c r="E35" s="21"/>
      <c r="F35" s="21"/>
      <c r="G35" s="21"/>
      <c r="H35" s="21"/>
    </row>
    <row r="39" spans="1:8" s="42" customFormat="1" x14ac:dyDescent="0.25">
      <c r="A39" s="21"/>
      <c r="B39" s="21"/>
      <c r="C39" s="21"/>
      <c r="D39" s="21"/>
      <c r="E39" s="21"/>
      <c r="F39" s="21"/>
      <c r="G39" s="21"/>
      <c r="H39" s="21"/>
    </row>
    <row r="47" spans="1:8" s="42" customFormat="1" x14ac:dyDescent="0.25">
      <c r="A47" s="21"/>
      <c r="B47" s="21"/>
      <c r="C47" s="21"/>
      <c r="D47" s="21"/>
      <c r="E47" s="21"/>
      <c r="F47" s="21"/>
      <c r="G47" s="21"/>
      <c r="H47" s="21"/>
    </row>
    <row r="49" spans="1:8" ht="13.5" customHeight="1" x14ac:dyDescent="0.25"/>
    <row r="51" spans="1:8" s="42" customFormat="1" x14ac:dyDescent="0.25">
      <c r="A51" s="21"/>
      <c r="B51" s="21"/>
      <c r="C51" s="21"/>
      <c r="D51" s="21"/>
      <c r="E51" s="21"/>
      <c r="F51" s="21"/>
      <c r="G51" s="21"/>
      <c r="H51" s="21"/>
    </row>
    <row r="63" spans="1:8" s="42" customFormat="1" x14ac:dyDescent="0.25">
      <c r="A63" s="21"/>
      <c r="B63" s="21"/>
      <c r="C63" s="21"/>
      <c r="D63" s="21"/>
      <c r="E63" s="21"/>
      <c r="F63" s="21"/>
      <c r="G63" s="21"/>
      <c r="H63" s="2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1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5" sqref="L5"/>
    </sheetView>
  </sheetViews>
  <sheetFormatPr defaultColWidth="11.42578125" defaultRowHeight="15" x14ac:dyDescent="0.25"/>
  <cols>
    <col min="1" max="1" width="27" style="21" customWidth="1"/>
    <col min="2" max="4" width="11.42578125" style="21"/>
    <col min="5" max="6" width="0" style="129" hidden="1" customWidth="1"/>
    <col min="7" max="7" width="11.42578125" style="21"/>
    <col min="8" max="8" width="11.42578125" style="27"/>
    <col min="9" max="9" width="9.85546875" style="21" customWidth="1"/>
    <col min="10" max="13" width="11.42578125" style="21"/>
    <col min="14" max="14" width="20.7109375" style="21" customWidth="1"/>
    <col min="15" max="15" width="12.42578125" style="21" customWidth="1"/>
    <col min="16" max="16" width="11.42578125" style="21"/>
    <col min="17" max="17" width="12.42578125" style="81" hidden="1" customWidth="1"/>
    <col min="18" max="18" width="0" style="81" hidden="1" customWidth="1"/>
    <col min="19" max="19" width="11.42578125" style="55"/>
    <col min="20" max="16384" width="11.42578125" style="21"/>
  </cols>
  <sheetData>
    <row r="1" spans="1:20" x14ac:dyDescent="0.25">
      <c r="A1" s="42" t="s">
        <v>0</v>
      </c>
      <c r="B1" s="26" t="s">
        <v>25</v>
      </c>
      <c r="C1" s="26" t="s">
        <v>26</v>
      </c>
      <c r="D1" s="26" t="s">
        <v>19</v>
      </c>
      <c r="E1" s="124" t="s">
        <v>182</v>
      </c>
      <c r="F1" s="124" t="s">
        <v>184</v>
      </c>
      <c r="G1" s="21" t="s">
        <v>7</v>
      </c>
      <c r="H1" s="27" t="s">
        <v>112</v>
      </c>
      <c r="I1" s="21" t="s">
        <v>50</v>
      </c>
      <c r="J1" s="21" t="s">
        <v>51</v>
      </c>
      <c r="K1" s="21" t="s">
        <v>52</v>
      </c>
      <c r="L1" s="21" t="s">
        <v>12</v>
      </c>
      <c r="M1" s="54" t="s">
        <v>16</v>
      </c>
      <c r="N1" s="21" t="s">
        <v>15</v>
      </c>
      <c r="O1" s="21" t="s">
        <v>17</v>
      </c>
      <c r="P1" s="21" t="s">
        <v>18</v>
      </c>
      <c r="Q1" s="81" t="s">
        <v>114</v>
      </c>
      <c r="R1" s="81" t="s">
        <v>105</v>
      </c>
      <c r="S1" s="64" t="s">
        <v>121</v>
      </c>
      <c r="T1" s="21" t="s">
        <v>2</v>
      </c>
    </row>
    <row r="2" spans="1:20" x14ac:dyDescent="0.25">
      <c r="A2" s="55" t="s">
        <v>1</v>
      </c>
      <c r="B2" s="55" t="s">
        <v>46</v>
      </c>
      <c r="C2" s="55" t="s">
        <v>47</v>
      </c>
      <c r="D2" s="55" t="s">
        <v>48</v>
      </c>
      <c r="E2" s="125" t="s">
        <v>183</v>
      </c>
      <c r="F2" s="125"/>
      <c r="G2" s="21" t="s">
        <v>55</v>
      </c>
      <c r="H2" s="27" t="s">
        <v>104</v>
      </c>
      <c r="I2" s="55" t="s">
        <v>49</v>
      </c>
      <c r="K2" s="55" t="s">
        <v>53</v>
      </c>
      <c r="M2" s="55" t="s">
        <v>54</v>
      </c>
      <c r="O2" s="21" t="s">
        <v>53</v>
      </c>
      <c r="Q2" s="85" t="s">
        <v>54</v>
      </c>
    </row>
    <row r="3" spans="1:20" x14ac:dyDescent="0.25">
      <c r="A3" s="55" t="s">
        <v>2</v>
      </c>
      <c r="B3" s="55"/>
      <c r="C3" s="55"/>
      <c r="D3" s="55"/>
      <c r="E3" s="125"/>
      <c r="F3" s="125"/>
    </row>
    <row r="4" spans="1:20" s="30" customFormat="1" ht="15.75" thickBot="1" x14ac:dyDescent="0.3">
      <c r="A4" s="30" t="s">
        <v>3</v>
      </c>
      <c r="B4" s="30">
        <v>1.3</v>
      </c>
      <c r="C4" s="30">
        <v>0</v>
      </c>
      <c r="D4" s="29">
        <f>0.109*0.56</f>
        <v>6.1040000000000004E-2</v>
      </c>
      <c r="E4" s="126"/>
      <c r="F4" s="126"/>
      <c r="G4" s="30">
        <v>0</v>
      </c>
      <c r="H4" s="38">
        <v>0</v>
      </c>
      <c r="I4" s="29">
        <f>0.382*0.8</f>
        <v>0.30560000000000004</v>
      </c>
      <c r="J4" s="30" t="s">
        <v>111</v>
      </c>
      <c r="K4" s="70">
        <v>0</v>
      </c>
      <c r="L4" s="70" t="s">
        <v>113</v>
      </c>
      <c r="M4" s="40">
        <v>0.187</v>
      </c>
      <c r="N4" s="30" t="s">
        <v>110</v>
      </c>
      <c r="O4" s="70">
        <v>0</v>
      </c>
      <c r="P4" s="70" t="s">
        <v>113</v>
      </c>
      <c r="Q4" s="37"/>
      <c r="R4" s="37"/>
      <c r="S4" s="84"/>
    </row>
    <row r="5" spans="1:20" s="42" customFormat="1" x14ac:dyDescent="0.25">
      <c r="A5" s="33" t="s">
        <v>150</v>
      </c>
      <c r="B5" s="57">
        <v>1.1201000000000001</v>
      </c>
      <c r="C5" s="57">
        <v>0.3518</v>
      </c>
      <c r="D5" s="57">
        <f>0.0132*(55/100)</f>
        <v>7.2600000000000008E-3</v>
      </c>
      <c r="E5" s="127">
        <v>0</v>
      </c>
      <c r="F5" s="127">
        <f t="shared" ref="F5:F13" si="0">E5*0.477</f>
        <v>0</v>
      </c>
      <c r="G5" s="57">
        <f>(98.8+4.9)*Ref!B18</f>
        <v>0.37331999999999999</v>
      </c>
      <c r="H5" s="35">
        <f>48*Ref!C12</f>
        <v>6.8526028375122686E-2</v>
      </c>
      <c r="I5" s="57">
        <v>0.3548</v>
      </c>
      <c r="J5" s="42" t="s">
        <v>93</v>
      </c>
      <c r="K5" s="42">
        <v>0</v>
      </c>
      <c r="L5" s="42" t="s">
        <v>113</v>
      </c>
      <c r="M5" s="47">
        <v>0.152</v>
      </c>
      <c r="N5" s="42" t="s">
        <v>118</v>
      </c>
      <c r="O5" s="42">
        <v>0</v>
      </c>
      <c r="P5" s="42" t="s">
        <v>113</v>
      </c>
      <c r="Q5" s="59"/>
      <c r="R5" s="59"/>
      <c r="S5" s="65">
        <f>I5*28.2+M5*25.8</f>
        <v>13.926959999999999</v>
      </c>
    </row>
    <row r="6" spans="1:20" s="26" customFormat="1" x14ac:dyDescent="0.25">
      <c r="A6" s="25" t="s">
        <v>151</v>
      </c>
      <c r="B6" s="56">
        <f t="shared" ref="B6:C7" si="1">B$5</f>
        <v>1.1201000000000001</v>
      </c>
      <c r="C6" s="56">
        <f t="shared" si="1"/>
        <v>0.3518</v>
      </c>
      <c r="D6" s="56">
        <f>D$5</f>
        <v>7.2600000000000008E-3</v>
      </c>
      <c r="E6" s="128">
        <v>0</v>
      </c>
      <c r="F6" s="127">
        <f t="shared" si="0"/>
        <v>0</v>
      </c>
      <c r="G6" s="56">
        <f t="shared" ref="G6:J7" si="2">G$5</f>
        <v>0.37331999999999999</v>
      </c>
      <c r="H6" s="56">
        <f t="shared" si="2"/>
        <v>6.8526028375122686E-2</v>
      </c>
      <c r="I6" s="56">
        <f t="shared" si="2"/>
        <v>0.3548</v>
      </c>
      <c r="J6" s="26" t="str">
        <f t="shared" si="2"/>
        <v>coke - IPCC</v>
      </c>
      <c r="K6" s="26">
        <v>0</v>
      </c>
      <c r="L6" s="26" t="s">
        <v>113</v>
      </c>
      <c r="M6" s="90">
        <f>M$5</f>
        <v>0.152</v>
      </c>
      <c r="N6" s="26" t="s">
        <v>118</v>
      </c>
      <c r="O6" s="52">
        <v>1</v>
      </c>
      <c r="P6" s="26" t="s">
        <v>113</v>
      </c>
      <c r="Q6" s="81"/>
      <c r="R6" s="81"/>
      <c r="S6" s="65">
        <f t="shared" ref="S6:S7" si="3">I6*28.2+M6*25.8</f>
        <v>13.926959999999999</v>
      </c>
    </row>
    <row r="7" spans="1:20" s="30" customFormat="1" ht="15.75" thickBot="1" x14ac:dyDescent="0.3">
      <c r="A7" s="31" t="s">
        <v>154</v>
      </c>
      <c r="B7" s="29">
        <f t="shared" si="1"/>
        <v>1.1201000000000001</v>
      </c>
      <c r="C7" s="29">
        <f t="shared" si="1"/>
        <v>0.3518</v>
      </c>
      <c r="D7" s="29">
        <f>D$5</f>
        <v>7.2600000000000008E-3</v>
      </c>
      <c r="E7" s="126">
        <v>0</v>
      </c>
      <c r="F7" s="126">
        <f t="shared" si="0"/>
        <v>0</v>
      </c>
      <c r="G7" s="29">
        <f t="shared" si="2"/>
        <v>0.37331999999999999</v>
      </c>
      <c r="H7" s="39">
        <f t="shared" si="2"/>
        <v>6.8526028375122686E-2</v>
      </c>
      <c r="I7" s="29">
        <f t="shared" si="2"/>
        <v>0.3548</v>
      </c>
      <c r="J7" s="71" t="str">
        <f t="shared" si="2"/>
        <v>coke - IPCC</v>
      </c>
      <c r="K7" s="71">
        <v>0</v>
      </c>
      <c r="L7" s="71" t="s">
        <v>113</v>
      </c>
      <c r="M7" s="78">
        <f>M$5</f>
        <v>0.152</v>
      </c>
      <c r="N7" s="71" t="s">
        <v>118</v>
      </c>
      <c r="O7" s="72">
        <v>1</v>
      </c>
      <c r="P7" s="71" t="s">
        <v>113</v>
      </c>
      <c r="Q7" s="37"/>
      <c r="R7" s="37"/>
      <c r="S7" s="73">
        <f t="shared" si="3"/>
        <v>13.926959999999999</v>
      </c>
    </row>
    <row r="8" spans="1:20" x14ac:dyDescent="0.25">
      <c r="A8" s="53" t="s">
        <v>119</v>
      </c>
      <c r="B8" s="57">
        <v>1.0960000000000001</v>
      </c>
      <c r="C8" s="57">
        <v>0.35299999999999998</v>
      </c>
      <c r="D8" s="57">
        <f>0.006*(55/100)</f>
        <v>3.3000000000000004E-3</v>
      </c>
      <c r="E8" s="127">
        <v>0</v>
      </c>
      <c r="F8" s="127">
        <f t="shared" si="0"/>
        <v>0</v>
      </c>
      <c r="G8" s="57">
        <f>(30+4.9)*Ref!B18</f>
        <v>0.12564</v>
      </c>
      <c r="H8" s="57">
        <f>253*Ref!C12</f>
        <v>0.36118927456054245</v>
      </c>
      <c r="I8" s="57">
        <v>0.253</v>
      </c>
      <c r="J8" s="42" t="s">
        <v>93</v>
      </c>
      <c r="K8" s="42">
        <v>0</v>
      </c>
      <c r="L8" s="42" t="s">
        <v>113</v>
      </c>
      <c r="M8" s="47">
        <v>0.152</v>
      </c>
      <c r="N8" s="42" t="s">
        <v>118</v>
      </c>
      <c r="O8" s="58">
        <v>0</v>
      </c>
      <c r="P8" s="42" t="s">
        <v>113</v>
      </c>
      <c r="S8" s="79">
        <f t="shared" ref="S8:S13" si="4">I8*28.2+M8*25.8</f>
        <v>11.0562</v>
      </c>
      <c r="T8" s="26"/>
    </row>
    <row r="9" spans="1:20" s="26" customFormat="1" x14ac:dyDescent="0.25">
      <c r="A9" s="53" t="s">
        <v>152</v>
      </c>
      <c r="B9" s="56">
        <f t="shared" ref="B9:I9" si="5">B8</f>
        <v>1.0960000000000001</v>
      </c>
      <c r="C9" s="56">
        <f t="shared" si="5"/>
        <v>0.35299999999999998</v>
      </c>
      <c r="D9" s="56">
        <f t="shared" si="5"/>
        <v>3.3000000000000004E-3</v>
      </c>
      <c r="E9" s="128">
        <v>0</v>
      </c>
      <c r="F9" s="127">
        <f t="shared" si="0"/>
        <v>0</v>
      </c>
      <c r="G9" s="56">
        <f t="shared" si="5"/>
        <v>0.12564</v>
      </c>
      <c r="H9" s="91">
        <f t="shared" si="5"/>
        <v>0.36118927456054245</v>
      </c>
      <c r="I9" s="56">
        <f t="shared" si="5"/>
        <v>0.253</v>
      </c>
      <c r="J9" s="26" t="s">
        <v>93</v>
      </c>
      <c r="K9" s="26">
        <v>0</v>
      </c>
      <c r="L9" s="26" t="s">
        <v>113</v>
      </c>
      <c r="M9" s="90">
        <f>M8</f>
        <v>0.152</v>
      </c>
      <c r="N9" s="26" t="s">
        <v>118</v>
      </c>
      <c r="O9" s="52">
        <v>1</v>
      </c>
      <c r="P9" s="26" t="s">
        <v>113</v>
      </c>
      <c r="Q9" s="81"/>
      <c r="R9" s="81"/>
      <c r="S9" s="79">
        <f t="shared" si="4"/>
        <v>11.0562</v>
      </c>
    </row>
    <row r="10" spans="1:20" s="30" customFormat="1" ht="15.75" thickBot="1" x14ac:dyDescent="0.3">
      <c r="A10" s="63" t="s">
        <v>155</v>
      </c>
      <c r="B10" s="29">
        <f>B8</f>
        <v>1.0960000000000001</v>
      </c>
      <c r="C10" s="29">
        <f>C8</f>
        <v>0.35299999999999998</v>
      </c>
      <c r="D10" s="29">
        <f>D8</f>
        <v>3.3000000000000004E-3</v>
      </c>
      <c r="E10" s="126">
        <v>0</v>
      </c>
      <c r="F10" s="126">
        <f t="shared" si="0"/>
        <v>0</v>
      </c>
      <c r="G10" s="29">
        <f>G$9</f>
        <v>0.12564</v>
      </c>
      <c r="H10" s="39">
        <f>H8</f>
        <v>0.36118927456054245</v>
      </c>
      <c r="I10" s="29">
        <f>I8</f>
        <v>0.253</v>
      </c>
      <c r="J10" s="30" t="str">
        <f>J$9</f>
        <v>coke - IPCC</v>
      </c>
      <c r="K10" s="30">
        <f>K$9</f>
        <v>0</v>
      </c>
      <c r="L10" s="30" t="str">
        <f>L$9</f>
        <v>charcoal - IPCC</v>
      </c>
      <c r="M10" s="40">
        <f>M8</f>
        <v>0.152</v>
      </c>
      <c r="N10" s="30" t="str">
        <f>N$9</f>
        <v>coal bituminous - IPCC</v>
      </c>
      <c r="O10" s="32">
        <v>1</v>
      </c>
      <c r="P10" s="30" t="str">
        <f>P$9</f>
        <v>charcoal - IPCC</v>
      </c>
      <c r="Q10" s="37"/>
      <c r="R10" s="37"/>
      <c r="S10" s="73">
        <f t="shared" si="4"/>
        <v>11.0562</v>
      </c>
    </row>
    <row r="11" spans="1:20" x14ac:dyDescent="0.25">
      <c r="A11" s="62" t="s">
        <v>120</v>
      </c>
      <c r="B11" s="42">
        <v>0</v>
      </c>
      <c r="C11" s="42">
        <v>1.7</v>
      </c>
      <c r="D11" s="57">
        <f>(1.1+18*(56/100)+9*(0.477/0.44))/145</f>
        <v>0.14439184952978057</v>
      </c>
      <c r="E11" s="127">
        <v>8.9999999999999993E-3</v>
      </c>
      <c r="F11" s="127">
        <f t="shared" si="0"/>
        <v>4.2929999999999991E-3</v>
      </c>
      <c r="G11" s="74">
        <v>0.3</v>
      </c>
      <c r="H11" s="35">
        <f>3400/(8000/365)/145</f>
        <v>1.0698275862068964</v>
      </c>
      <c r="I11" s="34">
        <v>0</v>
      </c>
      <c r="J11" s="42" t="s">
        <v>93</v>
      </c>
      <c r="K11" s="57">
        <v>0</v>
      </c>
      <c r="L11" s="42" t="s">
        <v>113</v>
      </c>
      <c r="M11" s="47">
        <v>0.56000000000000005</v>
      </c>
      <c r="N11" s="42" t="s">
        <v>118</v>
      </c>
      <c r="O11" s="42">
        <v>0</v>
      </c>
      <c r="P11" s="42" t="s">
        <v>113</v>
      </c>
      <c r="Q11" s="92">
        <f>12*Ref!C5</f>
        <v>8.5888069956277322E-3</v>
      </c>
      <c r="R11" s="59" t="s">
        <v>95</v>
      </c>
      <c r="S11" s="75">
        <f t="shared" si="4"/>
        <v>14.448000000000002</v>
      </c>
      <c r="T11" s="42"/>
    </row>
    <row r="12" spans="1:20" s="26" customFormat="1" x14ac:dyDescent="0.25">
      <c r="A12" s="53" t="s">
        <v>153</v>
      </c>
      <c r="B12" s="26">
        <f>B11</f>
        <v>0</v>
      </c>
      <c r="C12" s="26">
        <f t="shared" ref="C12:N12" si="6">C11</f>
        <v>1.7</v>
      </c>
      <c r="D12" s="56">
        <f>D11</f>
        <v>0.14439184952978057</v>
      </c>
      <c r="E12" s="127">
        <v>8.9999999999999993E-3</v>
      </c>
      <c r="F12" s="127">
        <f t="shared" si="0"/>
        <v>4.2929999999999991E-3</v>
      </c>
      <c r="G12" s="26">
        <f t="shared" si="6"/>
        <v>0.3</v>
      </c>
      <c r="H12" s="56">
        <f t="shared" si="6"/>
        <v>1.0698275862068964</v>
      </c>
      <c r="I12" s="26">
        <f>I11</f>
        <v>0</v>
      </c>
      <c r="J12" s="26" t="str">
        <f t="shared" si="6"/>
        <v>coke - IPCC</v>
      </c>
      <c r="K12" s="26">
        <f t="shared" si="6"/>
        <v>0</v>
      </c>
      <c r="L12" s="26" t="str">
        <f t="shared" si="6"/>
        <v>charcoal - IPCC</v>
      </c>
      <c r="M12" s="90">
        <f>M11</f>
        <v>0.56000000000000005</v>
      </c>
      <c r="N12" s="26" t="str">
        <f t="shared" si="6"/>
        <v>coal bituminous - IPCC</v>
      </c>
      <c r="O12" s="52">
        <v>0.2</v>
      </c>
      <c r="P12" s="26" t="str">
        <f>P11</f>
        <v>charcoal - IPCC</v>
      </c>
      <c r="Q12" s="81"/>
      <c r="R12" s="81"/>
      <c r="S12" s="65">
        <f t="shared" si="4"/>
        <v>14.448000000000002</v>
      </c>
    </row>
    <row r="13" spans="1:20" s="42" customFormat="1" x14ac:dyDescent="0.25">
      <c r="A13" s="53" t="s">
        <v>156</v>
      </c>
      <c r="B13" s="21">
        <f>B11</f>
        <v>0</v>
      </c>
      <c r="C13" s="21">
        <f t="shared" ref="C13:N13" si="7">C11</f>
        <v>1.7</v>
      </c>
      <c r="D13" s="22">
        <f>D11</f>
        <v>0.14439184952978057</v>
      </c>
      <c r="E13" s="127">
        <v>8.9999999999999993E-3</v>
      </c>
      <c r="F13" s="127">
        <f t="shared" si="0"/>
        <v>4.2929999999999991E-3</v>
      </c>
      <c r="G13" s="21">
        <f t="shared" si="7"/>
        <v>0.3</v>
      </c>
      <c r="H13" s="22">
        <f t="shared" si="7"/>
        <v>1.0698275862068964</v>
      </c>
      <c r="I13" s="21">
        <f>I11</f>
        <v>0</v>
      </c>
      <c r="J13" s="21" t="str">
        <f t="shared" si="7"/>
        <v>coke - IPCC</v>
      </c>
      <c r="K13" s="21">
        <f t="shared" si="7"/>
        <v>0</v>
      </c>
      <c r="L13" s="21" t="str">
        <f t="shared" si="7"/>
        <v>charcoal - IPCC</v>
      </c>
      <c r="M13" s="41">
        <f>M11</f>
        <v>0.56000000000000005</v>
      </c>
      <c r="N13" s="21" t="str">
        <f t="shared" si="7"/>
        <v>coal bituminous - IPCC</v>
      </c>
      <c r="O13" s="51">
        <v>0.45</v>
      </c>
      <c r="P13" s="21" t="str">
        <f>P11</f>
        <v>charcoal - IPCC</v>
      </c>
      <c r="Q13" s="81"/>
      <c r="R13" s="81"/>
      <c r="S13" s="65">
        <f t="shared" si="4"/>
        <v>14.448000000000002</v>
      </c>
      <c r="T13" s="21"/>
    </row>
    <row r="14" spans="1:20" x14ac:dyDescent="0.25">
      <c r="H14" s="21"/>
      <c r="S14" s="118"/>
    </row>
    <row r="17" spans="1:20" s="42" customFormat="1" x14ac:dyDescent="0.25">
      <c r="A17" s="21"/>
      <c r="B17" s="21"/>
      <c r="C17" s="21"/>
      <c r="D17" s="21"/>
      <c r="E17" s="129"/>
      <c r="F17" s="129"/>
      <c r="G17" s="21"/>
      <c r="H17" s="27"/>
      <c r="I17" s="21"/>
      <c r="J17" s="21"/>
      <c r="K17" s="21"/>
      <c r="L17" s="21"/>
      <c r="M17" s="21"/>
      <c r="N17" s="21"/>
      <c r="O17" s="21"/>
      <c r="P17" s="21"/>
      <c r="Q17" s="81"/>
      <c r="R17" s="81"/>
      <c r="S17" s="55"/>
      <c r="T17" s="21"/>
    </row>
    <row r="21" spans="1:20" s="42" customFormat="1" x14ac:dyDescent="0.25">
      <c r="A21" s="21"/>
      <c r="B21" s="21"/>
      <c r="C21" s="21"/>
      <c r="D21" s="21"/>
      <c r="E21" s="129"/>
      <c r="F21" s="129"/>
      <c r="G21" s="21"/>
      <c r="H21" s="27"/>
      <c r="I21" s="21"/>
      <c r="J21" s="21"/>
      <c r="K21" s="21"/>
      <c r="L21" s="21"/>
      <c r="M21" s="21"/>
      <c r="N21" s="21"/>
      <c r="O21" s="21"/>
      <c r="P21" s="21"/>
      <c r="Q21" s="81"/>
      <c r="R21" s="81"/>
      <c r="S21" s="55"/>
      <c r="T21" s="21"/>
    </row>
    <row r="25" spans="1:20" s="42" customFormat="1" x14ac:dyDescent="0.25">
      <c r="A25" s="21"/>
      <c r="B25" s="21"/>
      <c r="C25" s="21"/>
      <c r="D25" s="21"/>
      <c r="E25" s="129"/>
      <c r="F25" s="129"/>
      <c r="G25" s="21"/>
      <c r="H25" s="27"/>
      <c r="I25" s="21"/>
      <c r="J25" s="21"/>
      <c r="K25" s="21"/>
      <c r="L25" s="21"/>
      <c r="M25" s="21"/>
      <c r="N25" s="21"/>
      <c r="O25" s="21"/>
      <c r="P25" s="21"/>
      <c r="Q25" s="81"/>
      <c r="R25" s="81"/>
      <c r="S25" s="55"/>
      <c r="T25" s="21"/>
    </row>
    <row r="29" spans="1:20" s="27" customFormat="1" x14ac:dyDescent="0.25">
      <c r="E29" s="124"/>
      <c r="F29" s="124"/>
      <c r="Q29" s="116"/>
      <c r="R29" s="116"/>
      <c r="S29" s="64"/>
    </row>
    <row r="33" spans="1:20" s="26" customFormat="1" x14ac:dyDescent="0.25">
      <c r="A33" s="21"/>
      <c r="B33" s="21"/>
      <c r="C33" s="21"/>
      <c r="D33" s="21"/>
      <c r="E33" s="129"/>
      <c r="F33" s="129"/>
      <c r="G33" s="21"/>
      <c r="H33" s="27"/>
      <c r="I33" s="21"/>
      <c r="J33" s="21"/>
      <c r="K33" s="21"/>
      <c r="L33" s="21"/>
      <c r="M33" s="21"/>
      <c r="N33" s="21"/>
      <c r="O33" s="21"/>
      <c r="P33" s="21"/>
      <c r="Q33" s="81"/>
      <c r="R33" s="81"/>
      <c r="S33" s="55"/>
      <c r="T33" s="21"/>
    </row>
    <row r="34" spans="1:20" s="26" customFormat="1" x14ac:dyDescent="0.25">
      <c r="A34" s="21"/>
      <c r="B34" s="21"/>
      <c r="C34" s="21"/>
      <c r="D34" s="21"/>
      <c r="E34" s="129"/>
      <c r="F34" s="129"/>
      <c r="G34" s="21"/>
      <c r="H34" s="27"/>
      <c r="I34" s="21"/>
      <c r="J34" s="21"/>
      <c r="K34" s="21"/>
      <c r="L34" s="21"/>
      <c r="M34" s="21"/>
      <c r="N34" s="21"/>
      <c r="O34" s="21"/>
      <c r="P34" s="21"/>
      <c r="Q34" s="81"/>
      <c r="R34" s="81"/>
      <c r="S34" s="55"/>
      <c r="T34" s="21"/>
    </row>
    <row r="41" spans="1:20" s="42" customFormat="1" x14ac:dyDescent="0.25">
      <c r="A41" s="21"/>
      <c r="B41" s="21"/>
      <c r="C41" s="21"/>
      <c r="D41" s="21"/>
      <c r="E41" s="129"/>
      <c r="F41" s="129"/>
      <c r="G41" s="21"/>
      <c r="H41" s="27"/>
      <c r="I41" s="21"/>
      <c r="J41" s="21"/>
      <c r="K41" s="21"/>
      <c r="L41" s="21"/>
      <c r="M41" s="21"/>
      <c r="N41" s="21"/>
      <c r="O41" s="21"/>
      <c r="P41" s="21"/>
      <c r="Q41" s="81"/>
      <c r="R41" s="81"/>
      <c r="S41" s="55"/>
      <c r="T41" s="21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pane xSplit="1" ySplit="2" topLeftCell="D3" activePane="bottomRight" state="frozen"/>
      <selection pane="topRight" activeCell="B1" sqref="B1"/>
      <selection pane="bottomLeft" activeCell="A3" sqref="A3"/>
      <selection pane="bottomRight" sqref="A1:A1048576"/>
    </sheetView>
  </sheetViews>
  <sheetFormatPr defaultColWidth="8.85546875" defaultRowHeight="15" x14ac:dyDescent="0.25"/>
  <cols>
    <col min="1" max="1" width="21.42578125" style="21" customWidth="1"/>
    <col min="2" max="2" width="14.140625" style="21" customWidth="1"/>
    <col min="3" max="3" width="11.7109375" style="81" customWidth="1"/>
    <col min="4" max="4" width="14.140625" style="21" bestFit="1" customWidth="1"/>
    <col min="5" max="5" width="14.85546875" style="81" customWidth="1"/>
    <col min="6" max="6" width="17.7109375" style="21" bestFit="1" customWidth="1"/>
    <col min="7" max="7" width="20.28515625" style="21" customWidth="1"/>
    <col min="8" max="8" width="18.140625" style="21" bestFit="1" customWidth="1"/>
    <col min="9" max="9" width="11.85546875" style="21" bestFit="1" customWidth="1"/>
    <col min="10" max="10" width="12.28515625" style="21" bestFit="1" customWidth="1"/>
    <col min="11" max="11" width="17.85546875" style="21" bestFit="1" customWidth="1"/>
    <col min="12" max="12" width="12" style="21" bestFit="1" customWidth="1"/>
    <col min="13" max="16384" width="8.85546875" style="21"/>
  </cols>
  <sheetData>
    <row r="1" spans="1:13" x14ac:dyDescent="0.25">
      <c r="A1" s="42" t="s">
        <v>0</v>
      </c>
      <c r="B1" s="26" t="s">
        <v>115</v>
      </c>
      <c r="C1" s="81" t="s">
        <v>68</v>
      </c>
      <c r="D1" s="21" t="s">
        <v>20</v>
      </c>
      <c r="E1" s="81" t="s">
        <v>124</v>
      </c>
      <c r="F1" s="21" t="s">
        <v>4</v>
      </c>
      <c r="G1" s="21" t="s">
        <v>21</v>
      </c>
      <c r="H1" s="21" t="s">
        <v>22</v>
      </c>
      <c r="I1" s="21" t="s">
        <v>12</v>
      </c>
      <c r="J1" s="21" t="s">
        <v>19</v>
      </c>
      <c r="K1" s="21" t="s">
        <v>7</v>
      </c>
      <c r="L1" s="21" t="s">
        <v>64</v>
      </c>
      <c r="M1" s="21" t="s">
        <v>2</v>
      </c>
    </row>
    <row r="2" spans="1:13" x14ac:dyDescent="0.25">
      <c r="A2" s="55" t="s">
        <v>1</v>
      </c>
      <c r="B2" s="55" t="s">
        <v>116</v>
      </c>
      <c r="C2" s="85" t="s">
        <v>69</v>
      </c>
      <c r="D2" s="21" t="s">
        <v>65</v>
      </c>
      <c r="K2" s="21" t="s">
        <v>67</v>
      </c>
      <c r="L2" s="21" t="s">
        <v>66</v>
      </c>
    </row>
    <row r="3" spans="1:13" x14ac:dyDescent="0.25">
      <c r="A3" s="55" t="s">
        <v>2</v>
      </c>
      <c r="B3" s="55" t="s">
        <v>117</v>
      </c>
      <c r="C3" s="85"/>
    </row>
    <row r="4" spans="1:13" s="30" customFormat="1" ht="15.75" thickBot="1" x14ac:dyDescent="0.3">
      <c r="A4" s="30" t="s">
        <v>3</v>
      </c>
      <c r="B4" s="95">
        <f>SUM(C4:D4)</f>
        <v>1.1000000000000001</v>
      </c>
      <c r="C4" s="37">
        <v>1</v>
      </c>
      <c r="D4" s="30">
        <v>0.1</v>
      </c>
      <c r="E4" s="67">
        <f>D4/B4</f>
        <v>9.0909090909090912E-2</v>
      </c>
      <c r="F4" s="30">
        <v>0</v>
      </c>
      <c r="G4" s="71" t="s">
        <v>95</v>
      </c>
      <c r="H4" s="30">
        <v>0</v>
      </c>
      <c r="I4" s="71" t="s">
        <v>113</v>
      </c>
      <c r="J4" s="30">
        <v>0</v>
      </c>
      <c r="K4" s="40">
        <v>0</v>
      </c>
    </row>
    <row r="5" spans="1:13" x14ac:dyDescent="0.25">
      <c r="A5" s="33" t="s">
        <v>150</v>
      </c>
      <c r="B5" s="50">
        <f>SUM(C5:D5)</f>
        <v>1.0908</v>
      </c>
      <c r="C5" s="92">
        <f>0.9008</f>
        <v>0.90080000000000005</v>
      </c>
      <c r="D5" s="57">
        <f>0.1169+0.0731</f>
        <v>0.19</v>
      </c>
      <c r="E5" s="93">
        <f t="shared" ref="E5:E10" si="0">D5/B5</f>
        <v>0.17418408507517419</v>
      </c>
      <c r="F5" s="57">
        <v>0</v>
      </c>
      <c r="G5" s="42" t="s">
        <v>95</v>
      </c>
      <c r="H5" s="42">
        <v>0</v>
      </c>
      <c r="I5" s="42" t="s">
        <v>113</v>
      </c>
      <c r="J5" s="57">
        <f>(0.0755+0.0118*(88/184)*(56/44))/1.0863</f>
        <v>7.6113972839595104E-2</v>
      </c>
      <c r="K5" s="42">
        <f>20*Ref!$B$18</f>
        <v>7.1999999999999995E-2</v>
      </c>
      <c r="L5" s="57">
        <f>52*Ref!$C$12</f>
        <v>7.4236530739716242E-2</v>
      </c>
      <c r="M5" s="42"/>
    </row>
    <row r="6" spans="1:13" x14ac:dyDescent="0.25">
      <c r="A6" s="25" t="s">
        <v>151</v>
      </c>
      <c r="B6" s="22">
        <f>B5</f>
        <v>1.0908</v>
      </c>
      <c r="C6" s="94">
        <f t="shared" ref="C6:L6" si="1">C$5</f>
        <v>0.90080000000000005</v>
      </c>
      <c r="D6" s="22">
        <f t="shared" si="1"/>
        <v>0.19</v>
      </c>
      <c r="E6" s="66">
        <f t="shared" si="0"/>
        <v>0.17418408507517419</v>
      </c>
      <c r="F6" s="22">
        <f t="shared" si="1"/>
        <v>0</v>
      </c>
      <c r="G6" s="21" t="str">
        <f t="shared" si="1"/>
        <v>natural gas - IPCC</v>
      </c>
      <c r="H6" s="21">
        <f t="shared" si="1"/>
        <v>0</v>
      </c>
      <c r="I6" s="21" t="str">
        <f t="shared" si="1"/>
        <v>charcoal - IPCC</v>
      </c>
      <c r="J6" s="22">
        <f t="shared" si="1"/>
        <v>7.6113972839595104E-2</v>
      </c>
      <c r="K6" s="22">
        <f t="shared" si="1"/>
        <v>7.1999999999999995E-2</v>
      </c>
      <c r="L6" s="22">
        <f t="shared" si="1"/>
        <v>7.4236530739716242E-2</v>
      </c>
    </row>
    <row r="7" spans="1:13" s="30" customFormat="1" ht="15.75" thickBot="1" x14ac:dyDescent="0.3">
      <c r="A7" s="31" t="s">
        <v>154</v>
      </c>
      <c r="B7" s="29">
        <f>B5</f>
        <v>1.0908</v>
      </c>
      <c r="C7" s="49">
        <f t="shared" ref="C7:L7" si="2">C$5</f>
        <v>0.90080000000000005</v>
      </c>
      <c r="D7" s="29">
        <f t="shared" si="2"/>
        <v>0.19</v>
      </c>
      <c r="E7" s="67">
        <f t="shared" si="0"/>
        <v>0.17418408507517419</v>
      </c>
      <c r="F7" s="29">
        <f t="shared" si="2"/>
        <v>0</v>
      </c>
      <c r="G7" s="30" t="str">
        <f t="shared" si="2"/>
        <v>natural gas - IPCC</v>
      </c>
      <c r="H7" s="30">
        <f t="shared" si="2"/>
        <v>0</v>
      </c>
      <c r="I7" s="30" t="str">
        <f t="shared" si="2"/>
        <v>charcoal - IPCC</v>
      </c>
      <c r="J7" s="29">
        <f t="shared" si="2"/>
        <v>7.6113972839595104E-2</v>
      </c>
      <c r="K7" s="29">
        <f t="shared" si="2"/>
        <v>7.1999999999999995E-2</v>
      </c>
      <c r="L7" s="29">
        <f t="shared" si="2"/>
        <v>7.4236530739716242E-2</v>
      </c>
    </row>
    <row r="8" spans="1:13" x14ac:dyDescent="0.25">
      <c r="A8" s="62" t="s">
        <v>119</v>
      </c>
      <c r="B8" s="50">
        <f t="shared" ref="B8" si="3">SUM(C8:D8)</f>
        <v>1.0908</v>
      </c>
      <c r="C8" s="92">
        <f>0.9008</f>
        <v>0.90080000000000005</v>
      </c>
      <c r="D8" s="57">
        <f>0.1169+0.0731</f>
        <v>0.19</v>
      </c>
      <c r="E8" s="93">
        <f t="shared" si="0"/>
        <v>0.17418408507517419</v>
      </c>
      <c r="F8" s="57">
        <v>0</v>
      </c>
      <c r="G8" s="42" t="s">
        <v>95</v>
      </c>
      <c r="H8" s="42">
        <v>0</v>
      </c>
      <c r="I8" s="42" t="s">
        <v>113</v>
      </c>
      <c r="J8" s="57">
        <f>(0.0755+0.0118*(88/184)*(56/44))/1.0863</f>
        <v>7.6113972839595104E-2</v>
      </c>
      <c r="K8" s="42">
        <f>20*Ref!$B$18</f>
        <v>7.1999999999999995E-2</v>
      </c>
      <c r="L8" s="57">
        <f>52*Ref!$C$12</f>
        <v>7.4236530739716242E-2</v>
      </c>
      <c r="M8" s="42"/>
    </row>
    <row r="9" spans="1:13" x14ac:dyDescent="0.25">
      <c r="A9" s="53" t="s">
        <v>152</v>
      </c>
      <c r="B9" s="22">
        <f>B8</f>
        <v>1.0908</v>
      </c>
      <c r="C9" s="22">
        <f t="shared" ref="C9:L9" si="4">C8</f>
        <v>0.90080000000000005</v>
      </c>
      <c r="D9" s="22">
        <f t="shared" si="4"/>
        <v>0.19</v>
      </c>
      <c r="E9" s="66">
        <f t="shared" si="0"/>
        <v>0.17418408507517419</v>
      </c>
      <c r="F9" s="22">
        <f t="shared" si="4"/>
        <v>0</v>
      </c>
      <c r="G9" s="22" t="str">
        <f t="shared" si="4"/>
        <v>natural gas - IPCC</v>
      </c>
      <c r="H9" s="22">
        <f t="shared" si="4"/>
        <v>0</v>
      </c>
      <c r="I9" s="22" t="str">
        <f t="shared" si="4"/>
        <v>charcoal - IPCC</v>
      </c>
      <c r="J9" s="22">
        <f t="shared" si="4"/>
        <v>7.6113972839595104E-2</v>
      </c>
      <c r="K9" s="22">
        <f t="shared" si="4"/>
        <v>7.1999999999999995E-2</v>
      </c>
      <c r="L9" s="56">
        <f t="shared" si="4"/>
        <v>7.4236530739716242E-2</v>
      </c>
    </row>
    <row r="10" spans="1:13" s="30" customFormat="1" ht="15.75" thickBot="1" x14ac:dyDescent="0.3">
      <c r="A10" s="63" t="s">
        <v>155</v>
      </c>
      <c r="B10" s="29">
        <f>B8</f>
        <v>1.0908</v>
      </c>
      <c r="C10" s="29">
        <f t="shared" ref="C10:L10" si="5">C8</f>
        <v>0.90080000000000005</v>
      </c>
      <c r="D10" s="29">
        <f t="shared" si="5"/>
        <v>0.19</v>
      </c>
      <c r="E10" s="67">
        <f t="shared" si="0"/>
        <v>0.17418408507517419</v>
      </c>
      <c r="F10" s="29">
        <f t="shared" si="5"/>
        <v>0</v>
      </c>
      <c r="G10" s="29" t="str">
        <f t="shared" si="5"/>
        <v>natural gas - IPCC</v>
      </c>
      <c r="H10" s="29">
        <f t="shared" si="5"/>
        <v>0</v>
      </c>
      <c r="I10" s="29" t="str">
        <f t="shared" si="5"/>
        <v>charcoal - IPCC</v>
      </c>
      <c r="J10" s="29">
        <f t="shared" si="5"/>
        <v>7.6113972839595104E-2</v>
      </c>
      <c r="K10" s="29">
        <f t="shared" si="5"/>
        <v>7.1999999999999995E-2</v>
      </c>
      <c r="L10" s="114">
        <f t="shared" si="5"/>
        <v>7.4236530739716242E-2</v>
      </c>
    </row>
    <row r="11" spans="1:13" s="42" customFormat="1" x14ac:dyDescent="0.25">
      <c r="A11" s="53" t="s">
        <v>120</v>
      </c>
      <c r="B11" s="28">
        <f>SUM(C11:D11)</f>
        <v>1.0908</v>
      </c>
      <c r="C11" s="92">
        <f>0.9008</f>
        <v>0.90080000000000005</v>
      </c>
      <c r="D11" s="57">
        <f>0.1169+0.0731</f>
        <v>0.19</v>
      </c>
      <c r="E11" s="93">
        <f t="shared" ref="E11:E13" si="6">D11/B11</f>
        <v>0.17418408507517419</v>
      </c>
      <c r="F11" s="57">
        <v>0</v>
      </c>
      <c r="G11" s="42" t="s">
        <v>95</v>
      </c>
      <c r="H11" s="42">
        <v>0</v>
      </c>
      <c r="I11" s="42" t="s">
        <v>113</v>
      </c>
      <c r="J11" s="57">
        <f>(0.0755+0.0118*(88/184)*(56/44))/1.0863</f>
        <v>7.6113972839595104E-2</v>
      </c>
      <c r="K11" s="42">
        <f>20*Ref!$B$18</f>
        <v>7.1999999999999995E-2</v>
      </c>
      <c r="L11" s="57">
        <f>52*Ref!$C$12</f>
        <v>7.4236530739716242E-2</v>
      </c>
      <c r="M11" s="21"/>
    </row>
    <row r="12" spans="1:13" x14ac:dyDescent="0.25">
      <c r="A12" s="53" t="s">
        <v>153</v>
      </c>
      <c r="B12" s="22">
        <f>B11</f>
        <v>1.0908</v>
      </c>
      <c r="C12" s="22">
        <f t="shared" ref="C12" si="7">C11</f>
        <v>0.90080000000000005</v>
      </c>
      <c r="D12" s="22">
        <f t="shared" ref="D12" si="8">D11</f>
        <v>0.19</v>
      </c>
      <c r="E12" s="66">
        <f t="shared" si="6"/>
        <v>0.17418408507517419</v>
      </c>
      <c r="F12" s="22">
        <f t="shared" ref="F12" si="9">F11</f>
        <v>0</v>
      </c>
      <c r="G12" s="22" t="str">
        <f t="shared" ref="G12" si="10">G11</f>
        <v>natural gas - IPCC</v>
      </c>
      <c r="H12" s="22">
        <f t="shared" ref="H12" si="11">H11</f>
        <v>0</v>
      </c>
      <c r="I12" s="22" t="str">
        <f t="shared" ref="I12" si="12">I11</f>
        <v>charcoal - IPCC</v>
      </c>
      <c r="J12" s="22">
        <f t="shared" ref="J12" si="13">J11</f>
        <v>7.6113972839595104E-2</v>
      </c>
      <c r="K12" s="22">
        <f t="shared" ref="K12" si="14">K11</f>
        <v>7.1999999999999995E-2</v>
      </c>
      <c r="L12" s="22">
        <f t="shared" ref="L12" si="15">L11</f>
        <v>7.4236530739716242E-2</v>
      </c>
    </row>
    <row r="13" spans="1:13" s="30" customFormat="1" ht="15.75" thickBot="1" x14ac:dyDescent="0.3">
      <c r="A13" s="63" t="s">
        <v>156</v>
      </c>
      <c r="B13" s="29">
        <f>B11</f>
        <v>1.0908</v>
      </c>
      <c r="C13" s="29">
        <f t="shared" ref="C13:D13" si="16">C11</f>
        <v>0.90080000000000005</v>
      </c>
      <c r="D13" s="29">
        <f t="shared" si="16"/>
        <v>0.19</v>
      </c>
      <c r="E13" s="67">
        <f t="shared" si="6"/>
        <v>0.17418408507517419</v>
      </c>
      <c r="F13" s="29">
        <f t="shared" ref="F13:L13" si="17">F11</f>
        <v>0</v>
      </c>
      <c r="G13" s="29" t="str">
        <f t="shared" si="17"/>
        <v>natural gas - IPCC</v>
      </c>
      <c r="H13" s="29">
        <f t="shared" si="17"/>
        <v>0</v>
      </c>
      <c r="I13" s="29" t="str">
        <f t="shared" si="17"/>
        <v>charcoal - IPCC</v>
      </c>
      <c r="J13" s="29">
        <f t="shared" si="17"/>
        <v>7.6113972839595104E-2</v>
      </c>
      <c r="K13" s="29">
        <f t="shared" si="17"/>
        <v>7.1999999999999995E-2</v>
      </c>
      <c r="L13" s="29">
        <f t="shared" si="17"/>
        <v>7.4236530739716242E-2</v>
      </c>
    </row>
    <row r="14" spans="1:13" s="42" customFormat="1" x14ac:dyDescent="0.25">
      <c r="A14" s="21"/>
      <c r="B14" s="21"/>
      <c r="C14" s="81"/>
      <c r="D14" s="21"/>
      <c r="E14" s="81"/>
      <c r="F14" s="21"/>
      <c r="G14" s="21"/>
      <c r="H14" s="21"/>
      <c r="I14" s="21"/>
      <c r="J14" s="21"/>
      <c r="K14" s="21"/>
      <c r="L14" s="21"/>
      <c r="M14" s="21"/>
    </row>
    <row r="18" spans="1:13" s="42" customFormat="1" x14ac:dyDescent="0.25">
      <c r="A18" s="21"/>
      <c r="B18" s="21"/>
      <c r="C18" s="81"/>
      <c r="D18" s="21"/>
      <c r="E18" s="81"/>
      <c r="F18" s="21"/>
      <c r="G18" s="21"/>
      <c r="H18" s="21"/>
      <c r="I18" s="21"/>
      <c r="J18" s="21"/>
      <c r="K18" s="21"/>
      <c r="L18" s="21"/>
      <c r="M18" s="21"/>
    </row>
    <row r="22" spans="1:13" s="42" customFormat="1" x14ac:dyDescent="0.25">
      <c r="A22" s="21"/>
      <c r="B22" s="21"/>
      <c r="C22" s="81"/>
      <c r="D22" s="21"/>
      <c r="E22" s="81"/>
      <c r="F22" s="21"/>
      <c r="G22" s="21"/>
      <c r="H22" s="21"/>
      <c r="I22" s="21"/>
      <c r="J22" s="21"/>
      <c r="K22" s="21"/>
      <c r="L22" s="21"/>
      <c r="M22" s="21"/>
    </row>
    <row r="26" spans="1:13" s="42" customFormat="1" x14ac:dyDescent="0.25">
      <c r="A26" s="21"/>
      <c r="B26" s="21"/>
      <c r="C26" s="81"/>
      <c r="D26" s="21"/>
      <c r="E26" s="81"/>
      <c r="F26" s="21"/>
      <c r="G26" s="21"/>
      <c r="H26" s="21"/>
      <c r="I26" s="21"/>
      <c r="J26" s="21"/>
      <c r="K26" s="21"/>
      <c r="L26" s="21"/>
      <c r="M26" s="21"/>
    </row>
    <row r="30" spans="1:13" s="42" customFormat="1" x14ac:dyDescent="0.25">
      <c r="A30" s="21"/>
      <c r="B30" s="21"/>
      <c r="C30" s="81"/>
      <c r="D30" s="21"/>
      <c r="E30" s="81"/>
      <c r="F30" s="21"/>
      <c r="G30" s="21"/>
      <c r="H30" s="21"/>
      <c r="I30" s="21"/>
      <c r="J30" s="21"/>
      <c r="K30" s="21"/>
      <c r="L30" s="21"/>
      <c r="M30" s="21"/>
    </row>
    <row r="34" spans="1:13" s="42" customFormat="1" x14ac:dyDescent="0.25">
      <c r="A34" s="21"/>
      <c r="B34" s="21"/>
      <c r="C34" s="81"/>
      <c r="D34" s="21"/>
      <c r="E34" s="81"/>
      <c r="F34" s="21"/>
      <c r="G34" s="21"/>
      <c r="H34" s="21"/>
      <c r="I34" s="21"/>
      <c r="J34" s="21"/>
      <c r="K34" s="21"/>
      <c r="L34" s="21"/>
      <c r="M34" s="21"/>
    </row>
    <row r="38" spans="1:13" s="42" customFormat="1" x14ac:dyDescent="0.25">
      <c r="A38" s="21"/>
      <c r="B38" s="21"/>
      <c r="C38" s="81"/>
      <c r="D38" s="21"/>
      <c r="E38" s="81"/>
      <c r="F38" s="21"/>
      <c r="G38" s="21"/>
      <c r="H38" s="21"/>
      <c r="I38" s="21"/>
      <c r="J38" s="21"/>
      <c r="K38" s="21"/>
      <c r="L38" s="21"/>
      <c r="M38" s="2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N23" sqref="N23"/>
    </sheetView>
  </sheetViews>
  <sheetFormatPr defaultRowHeight="15" x14ac:dyDescent="0.25"/>
  <cols>
    <col min="1" max="1" width="21.42578125" style="21" customWidth="1"/>
    <col min="2" max="2" width="14.28515625" bestFit="1" customWidth="1"/>
    <col min="3" max="3" width="19.140625" bestFit="1" customWidth="1"/>
    <col min="4" max="4" width="17.28515625" bestFit="1" customWidth="1"/>
    <col min="5" max="5" width="11.85546875" bestFit="1" customWidth="1"/>
    <col min="6" max="6" width="17.7109375" bestFit="1" customWidth="1"/>
    <col min="7" max="7" width="14.28515625" bestFit="1" customWidth="1"/>
  </cols>
  <sheetData>
    <row r="1" spans="1:14" x14ac:dyDescent="0.25">
      <c r="A1" s="42" t="s">
        <v>0</v>
      </c>
      <c r="B1" t="s">
        <v>21</v>
      </c>
      <c r="C1" s="17" t="s">
        <v>138</v>
      </c>
      <c r="D1" t="s">
        <v>11</v>
      </c>
      <c r="E1" t="s">
        <v>12</v>
      </c>
      <c r="F1" t="s">
        <v>160</v>
      </c>
      <c r="G1" t="s">
        <v>162</v>
      </c>
      <c r="H1" t="s">
        <v>34</v>
      </c>
      <c r="I1" t="s">
        <v>195</v>
      </c>
      <c r="J1" t="s">
        <v>196</v>
      </c>
      <c r="K1" t="s">
        <v>7</v>
      </c>
      <c r="L1" t="s">
        <v>172</v>
      </c>
      <c r="M1" t="s">
        <v>174</v>
      </c>
      <c r="N1" t="s">
        <v>193</v>
      </c>
    </row>
    <row r="2" spans="1:14" s="2" customFormat="1" x14ac:dyDescent="0.25">
      <c r="A2" s="2" t="s">
        <v>1</v>
      </c>
      <c r="C2" s="2" t="s">
        <v>190</v>
      </c>
      <c r="D2" s="2" t="s">
        <v>133</v>
      </c>
      <c r="F2" s="2" t="s">
        <v>188</v>
      </c>
      <c r="H2" s="2" t="s">
        <v>189</v>
      </c>
      <c r="I2" s="2" t="s">
        <v>189</v>
      </c>
      <c r="K2" s="2" t="s">
        <v>175</v>
      </c>
      <c r="L2" s="2" t="s">
        <v>173</v>
      </c>
      <c r="M2" s="2" t="s">
        <v>173</v>
      </c>
      <c r="N2" s="2" t="s">
        <v>194</v>
      </c>
    </row>
    <row r="3" spans="1:14" x14ac:dyDescent="0.25">
      <c r="A3" s="55" t="s">
        <v>2</v>
      </c>
    </row>
    <row r="4" spans="1:14" x14ac:dyDescent="0.25">
      <c r="A4" s="26" t="s">
        <v>191</v>
      </c>
      <c r="F4">
        <f>0.0102+0.10641+2.406035</f>
        <v>2.5226450000000002</v>
      </c>
      <c r="G4" t="s">
        <v>192</v>
      </c>
      <c r="I4">
        <v>2.6949999999999998</v>
      </c>
      <c r="J4">
        <v>0.40333000000000002</v>
      </c>
      <c r="K4">
        <f>75*Ref!B$18</f>
        <v>0.27</v>
      </c>
      <c r="L4">
        <v>0.05</v>
      </c>
      <c r="N4">
        <v>0.72</v>
      </c>
    </row>
    <row r="5" spans="1:14" ht="15.75" thickBot="1" x14ac:dyDescent="0.3">
      <c r="A5" s="30" t="s">
        <v>3</v>
      </c>
    </row>
    <row r="6" spans="1:14" x14ac:dyDescent="0.25">
      <c r="A6" s="33" t="s">
        <v>150</v>
      </c>
    </row>
    <row r="7" spans="1:14" x14ac:dyDescent="0.25">
      <c r="A7" s="25" t="s">
        <v>151</v>
      </c>
    </row>
    <row r="8" spans="1:14" ht="15.75" thickBot="1" x14ac:dyDescent="0.3">
      <c r="A8" s="31" t="s">
        <v>154</v>
      </c>
    </row>
    <row r="9" spans="1:14" x14ac:dyDescent="0.25">
      <c r="A9" s="62" t="s">
        <v>119</v>
      </c>
    </row>
    <row r="10" spans="1:14" x14ac:dyDescent="0.25">
      <c r="A10" s="53" t="s">
        <v>152</v>
      </c>
    </row>
    <row r="11" spans="1:14" ht="15.75" thickBot="1" x14ac:dyDescent="0.3">
      <c r="A11" s="63" t="s">
        <v>155</v>
      </c>
    </row>
    <row r="12" spans="1:14" x14ac:dyDescent="0.25">
      <c r="A12" s="53" t="s">
        <v>120</v>
      </c>
    </row>
    <row r="13" spans="1:14" x14ac:dyDescent="0.25">
      <c r="A13" s="53" t="s">
        <v>153</v>
      </c>
    </row>
    <row r="14" spans="1:14" ht="15.75" thickBot="1" x14ac:dyDescent="0.3">
      <c r="A14" s="63" t="s">
        <v>156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H30" sqref="H30"/>
    </sheetView>
  </sheetViews>
  <sheetFormatPr defaultColWidth="8.85546875" defaultRowHeight="15" x14ac:dyDescent="0.25"/>
  <cols>
    <col min="2" max="2" width="14.42578125" customWidth="1"/>
    <col min="3" max="3" width="17.42578125" customWidth="1"/>
    <col min="4" max="4" width="15.42578125" customWidth="1"/>
    <col min="5" max="5" width="16" customWidth="1"/>
    <col min="6" max="6" width="16.28515625" customWidth="1"/>
    <col min="7" max="7" width="14.7109375" bestFit="1" customWidth="1"/>
  </cols>
  <sheetData>
    <row r="1" spans="1:8" x14ac:dyDescent="0.25">
      <c r="A1" s="1" t="s">
        <v>0</v>
      </c>
      <c r="B1" s="3" t="s">
        <v>26</v>
      </c>
      <c r="C1" t="s">
        <v>7</v>
      </c>
      <c r="D1" t="s">
        <v>21</v>
      </c>
      <c r="E1" s="17" t="s">
        <v>138</v>
      </c>
      <c r="F1" t="s">
        <v>11</v>
      </c>
      <c r="G1" t="s">
        <v>12</v>
      </c>
      <c r="H1" t="s">
        <v>64</v>
      </c>
    </row>
    <row r="2" spans="1:8" x14ac:dyDescent="0.25">
      <c r="A2" s="2" t="s">
        <v>1</v>
      </c>
      <c r="B2" s="2" t="s">
        <v>134</v>
      </c>
      <c r="C2" t="s">
        <v>135</v>
      </c>
      <c r="E2" t="s">
        <v>136</v>
      </c>
      <c r="F2" t="s">
        <v>133</v>
      </c>
      <c r="G2" t="s">
        <v>137</v>
      </c>
      <c r="H2" t="s">
        <v>140</v>
      </c>
    </row>
    <row r="3" spans="1:8" x14ac:dyDescent="0.25">
      <c r="A3" s="2" t="s">
        <v>2</v>
      </c>
      <c r="B3" s="2"/>
    </row>
    <row r="4" spans="1:8" s="30" customFormat="1" ht="15.75" thickBot="1" x14ac:dyDescent="0.3">
      <c r="A4" s="30" t="s">
        <v>3</v>
      </c>
      <c r="G4" s="29"/>
    </row>
    <row r="5" spans="1:8" x14ac:dyDescent="0.25">
      <c r="A5" t="s">
        <v>141</v>
      </c>
      <c r="B5" s="24">
        <f>1.781/1.089</f>
        <v>1.63544536271809</v>
      </c>
      <c r="C5" s="24">
        <f>130*Ref!$B$18</f>
        <v>0.46799999999999997</v>
      </c>
      <c r="D5" s="1" t="s">
        <v>95</v>
      </c>
      <c r="E5" s="24">
        <v>11.7</v>
      </c>
      <c r="F5">
        <v>0</v>
      </c>
      <c r="G5" s="18" t="s">
        <v>169</v>
      </c>
      <c r="H5">
        <v>0</v>
      </c>
    </row>
    <row r="6" spans="1:8" x14ac:dyDescent="0.25">
      <c r="A6" t="s">
        <v>142</v>
      </c>
      <c r="B6" s="24">
        <f>B5</f>
        <v>1.63544536271809</v>
      </c>
      <c r="C6" s="24">
        <f>C5</f>
        <v>0.46799999999999997</v>
      </c>
      <c r="D6" s="22" t="str">
        <f t="shared" ref="D6" si="0">D5</f>
        <v>natural gas - IPCC</v>
      </c>
      <c r="E6" s="24">
        <f>E5</f>
        <v>11.7</v>
      </c>
      <c r="F6">
        <v>0.5</v>
      </c>
      <c r="G6" s="18" t="str">
        <f>G5</f>
        <v>syngas - wood</v>
      </c>
      <c r="H6">
        <v>0</v>
      </c>
    </row>
    <row r="7" spans="1:8" s="30" customFormat="1" ht="15.75" thickBot="1" x14ac:dyDescent="0.3">
      <c r="A7" s="30" t="s">
        <v>143</v>
      </c>
      <c r="B7" s="40">
        <f>B6</f>
        <v>1.63544536271809</v>
      </c>
      <c r="C7" s="40">
        <f>C6</f>
        <v>0.46799999999999997</v>
      </c>
      <c r="D7" s="29" t="str">
        <f t="shared" ref="D7" si="1">D5</f>
        <v>natural gas - IPCC</v>
      </c>
      <c r="E7" s="40">
        <f>E5</f>
        <v>11.7</v>
      </c>
      <c r="F7" s="30">
        <v>1</v>
      </c>
      <c r="G7" s="29" t="str">
        <f>G5</f>
        <v>syngas - wood</v>
      </c>
      <c r="H7" s="30">
        <v>0</v>
      </c>
    </row>
    <row r="8" spans="1:8" x14ac:dyDescent="0.25">
      <c r="A8" t="s">
        <v>144</v>
      </c>
      <c r="B8" s="24">
        <v>1.3327800000000001</v>
      </c>
      <c r="C8" s="24">
        <f>60*Ref!$B$18</f>
        <v>0.216</v>
      </c>
      <c r="D8" s="1" t="s">
        <v>95</v>
      </c>
      <c r="E8" s="24">
        <v>8.3000000000000007</v>
      </c>
      <c r="F8">
        <v>0</v>
      </c>
      <c r="G8" s="18" t="s">
        <v>169</v>
      </c>
      <c r="H8">
        <f>160*Ref!C12</f>
        <v>0.22842009458374227</v>
      </c>
    </row>
    <row r="9" spans="1:8" x14ac:dyDescent="0.25">
      <c r="A9" t="s">
        <v>145</v>
      </c>
      <c r="B9" s="24">
        <f>B8</f>
        <v>1.3327800000000001</v>
      </c>
      <c r="C9" s="24">
        <f>C8</f>
        <v>0.216</v>
      </c>
      <c r="D9" s="22" t="str">
        <f t="shared" ref="D9" si="2">D8</f>
        <v>natural gas - IPCC</v>
      </c>
      <c r="E9" s="24">
        <f>E8</f>
        <v>8.3000000000000007</v>
      </c>
      <c r="F9">
        <v>0.5</v>
      </c>
      <c r="G9" s="18" t="str">
        <f>G8</f>
        <v>syngas - wood</v>
      </c>
      <c r="H9">
        <f>H8</f>
        <v>0.22842009458374227</v>
      </c>
    </row>
    <row r="10" spans="1:8" s="30" customFormat="1" ht="15.75" thickBot="1" x14ac:dyDescent="0.3">
      <c r="A10" s="30" t="s">
        <v>146</v>
      </c>
      <c r="B10" s="40">
        <f>B8</f>
        <v>1.3327800000000001</v>
      </c>
      <c r="C10" s="40">
        <f>C8</f>
        <v>0.216</v>
      </c>
      <c r="D10" s="29" t="str">
        <f t="shared" ref="D10" si="3">D8</f>
        <v>natural gas - IPCC</v>
      </c>
      <c r="E10" s="40">
        <f>E8</f>
        <v>8.3000000000000007</v>
      </c>
      <c r="F10" s="30">
        <v>1</v>
      </c>
      <c r="G10" s="29" t="str">
        <f>G8</f>
        <v>syngas - wood</v>
      </c>
      <c r="H10" s="30">
        <f>H8</f>
        <v>0.22842009458374227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workbookViewId="0">
      <selection activeCell="C25" sqref="C25"/>
    </sheetView>
  </sheetViews>
  <sheetFormatPr defaultColWidth="8.85546875" defaultRowHeight="15" x14ac:dyDescent="0.25"/>
  <cols>
    <col min="1" max="1" width="14.85546875" style="21" bestFit="1" customWidth="1"/>
    <col min="2" max="2" width="11.7109375" style="21" bestFit="1" customWidth="1"/>
    <col min="3" max="3" width="19.7109375" style="21" customWidth="1"/>
    <col min="4" max="4" width="12.7109375" style="21" bestFit="1" customWidth="1"/>
    <col min="5" max="5" width="10.7109375" style="21" bestFit="1" customWidth="1"/>
    <col min="6" max="6" width="18" style="21" bestFit="1" customWidth="1"/>
    <col min="7" max="7" width="12.140625" style="21" bestFit="1" customWidth="1"/>
    <col min="8" max="8" width="12.140625" style="21" customWidth="1"/>
    <col min="9" max="9" width="19" style="21" bestFit="1" customWidth="1"/>
    <col min="10" max="16384" width="8.85546875" style="21"/>
  </cols>
  <sheetData>
    <row r="1" spans="1:12" x14ac:dyDescent="0.25">
      <c r="A1" s="42" t="s">
        <v>0</v>
      </c>
      <c r="B1" s="21" t="s">
        <v>97</v>
      </c>
      <c r="C1" s="21" t="s">
        <v>9</v>
      </c>
      <c r="D1" s="21" t="s">
        <v>98</v>
      </c>
      <c r="E1" s="21" t="s">
        <v>58</v>
      </c>
      <c r="F1" s="21" t="s">
        <v>99</v>
      </c>
      <c r="G1" s="21" t="s">
        <v>100</v>
      </c>
      <c r="H1" s="21" t="s">
        <v>128</v>
      </c>
      <c r="I1" s="21" t="s">
        <v>125</v>
      </c>
      <c r="J1" s="21" t="s">
        <v>106</v>
      </c>
      <c r="K1" s="21" t="s">
        <v>107</v>
      </c>
      <c r="L1" s="21" t="s">
        <v>122</v>
      </c>
    </row>
    <row r="2" spans="1:12" x14ac:dyDescent="0.25">
      <c r="A2" s="55" t="s">
        <v>1</v>
      </c>
      <c r="B2" s="21" t="s">
        <v>101</v>
      </c>
      <c r="C2" s="21" t="s">
        <v>102</v>
      </c>
      <c r="F2" s="21" t="s">
        <v>53</v>
      </c>
      <c r="H2" s="21" t="s">
        <v>127</v>
      </c>
      <c r="I2" s="21" t="s">
        <v>126</v>
      </c>
      <c r="K2" s="21" t="s">
        <v>108</v>
      </c>
      <c r="L2" s="21" t="s">
        <v>123</v>
      </c>
    </row>
    <row r="3" spans="1:12" x14ac:dyDescent="0.25">
      <c r="A3" s="55" t="s">
        <v>2</v>
      </c>
      <c r="I3" s="21" t="s">
        <v>103</v>
      </c>
    </row>
    <row r="4" spans="1:12" s="30" customFormat="1" ht="15.75" thickBot="1" x14ac:dyDescent="0.3">
      <c r="A4" s="30" t="s">
        <v>3</v>
      </c>
      <c r="B4" s="40">
        <v>0</v>
      </c>
      <c r="C4" s="40">
        <v>1.5</v>
      </c>
      <c r="D4" s="40">
        <v>0.1</v>
      </c>
      <c r="E4" s="30" t="s">
        <v>93</v>
      </c>
      <c r="F4" s="30">
        <v>0.3</v>
      </c>
      <c r="G4" s="30" t="s">
        <v>113</v>
      </c>
      <c r="H4" s="30">
        <v>1.1000000000000001</v>
      </c>
      <c r="I4" s="29">
        <v>0.01</v>
      </c>
      <c r="J4" s="29">
        <v>0.02</v>
      </c>
      <c r="K4" s="29">
        <v>7.0000000000000001E-3</v>
      </c>
    </row>
    <row r="5" spans="1:12" x14ac:dyDescent="0.25">
      <c r="A5" s="25" t="s">
        <v>147</v>
      </c>
      <c r="B5" s="41">
        <v>0</v>
      </c>
      <c r="C5" s="76">
        <f>((433-3.5*((H5/(H5+I5)*100)-79*(H5/(H5+I5))-101*(I5/(H5+I5))))*Ref!B$18)*(H5+I5)</f>
        <v>1.4236200000000001</v>
      </c>
      <c r="D5" s="41">
        <v>0.01</v>
      </c>
      <c r="E5" s="26" t="s">
        <v>95</v>
      </c>
      <c r="F5" s="21">
        <v>0</v>
      </c>
      <c r="G5" s="21" t="s">
        <v>113</v>
      </c>
      <c r="H5" s="21">
        <v>1.1000000000000001</v>
      </c>
      <c r="I5" s="22">
        <v>0</v>
      </c>
      <c r="J5" s="22">
        <v>2.5000000000000001E-2</v>
      </c>
      <c r="K5" s="22">
        <f>30*Ref!C$12</f>
        <v>4.2828767734451677E-2</v>
      </c>
    </row>
    <row r="6" spans="1:12" x14ac:dyDescent="0.25">
      <c r="A6" s="25" t="s">
        <v>148</v>
      </c>
      <c r="B6" s="41">
        <v>0</v>
      </c>
      <c r="C6" s="76">
        <f>((433-3.5*((H6/(H6+I6)*100)-79*(H6/(H6+I6))-101*(I6/(H6+I6))))*Ref!B$18)*(H6+I6)</f>
        <v>1.4236200000000001</v>
      </c>
      <c r="D6" s="41">
        <v>3.0000000000000001E-3</v>
      </c>
      <c r="E6" s="26" t="str">
        <f>E5</f>
        <v>natural gas - IPCC</v>
      </c>
      <c r="F6" s="51">
        <v>0.2</v>
      </c>
      <c r="G6" s="21" t="s">
        <v>113</v>
      </c>
      <c r="H6" s="21">
        <v>1.1000000000000001</v>
      </c>
      <c r="I6" s="22">
        <v>0</v>
      </c>
      <c r="J6" s="22">
        <v>2.5000000000000001E-2</v>
      </c>
      <c r="K6" s="22">
        <f>5*Ref!C$12</f>
        <v>7.1381279557419458E-3</v>
      </c>
    </row>
    <row r="7" spans="1:12" s="30" customFormat="1" ht="15.75" thickBot="1" x14ac:dyDescent="0.3">
      <c r="A7" s="31" t="s">
        <v>149</v>
      </c>
      <c r="B7" s="40">
        <v>0</v>
      </c>
      <c r="C7" s="77">
        <f>((433-3.5*((H7/(H7+I7)*100)-79*(H7/(H7+I7))-101*(I7/(H7+I7))))*Ref!B$18)*(H7+I7)</f>
        <v>1.4236200000000001</v>
      </c>
      <c r="D7" s="40">
        <v>3.0000000000000001E-3</v>
      </c>
      <c r="E7" s="71" t="str">
        <f>E5</f>
        <v>natural gas - IPCC</v>
      </c>
      <c r="F7" s="32">
        <v>1</v>
      </c>
      <c r="G7" s="30" t="s">
        <v>113</v>
      </c>
      <c r="H7" s="30">
        <v>1.1000000000000001</v>
      </c>
      <c r="I7" s="29">
        <v>0</v>
      </c>
      <c r="J7" s="29">
        <v>2.5000000000000001E-2</v>
      </c>
      <c r="K7" s="29">
        <f>5*Ref!C$12</f>
        <v>7.1381279557419458E-3</v>
      </c>
    </row>
    <row r="8" spans="1:12" x14ac:dyDescent="0.25">
      <c r="A8" s="21" t="s">
        <v>141</v>
      </c>
      <c r="B8" s="43">
        <v>0</v>
      </c>
      <c r="C8" s="76">
        <f>698.1*Ref!B$18</f>
        <v>2.5131600000000001</v>
      </c>
      <c r="D8" s="41">
        <f>0.021</f>
        <v>2.1000000000000001E-2</v>
      </c>
      <c r="E8" s="26" t="s">
        <v>95</v>
      </c>
      <c r="F8" s="21">
        <v>0</v>
      </c>
      <c r="G8" s="21" t="s">
        <v>113</v>
      </c>
      <c r="H8" s="21">
        <f>0.19</f>
        <v>0.19</v>
      </c>
      <c r="I8" s="28">
        <f>0.901</f>
        <v>0.90100000000000002</v>
      </c>
      <c r="J8" s="91">
        <f>0.0125/1.0543</f>
        <v>1.1856207910461918E-2</v>
      </c>
      <c r="K8" s="22">
        <f>11.2/1.0543*Ref!C$12</f>
        <v>1.5165898340948458E-2</v>
      </c>
    </row>
    <row r="9" spans="1:12" x14ac:dyDescent="0.25">
      <c r="A9" s="21" t="s">
        <v>142</v>
      </c>
      <c r="B9" s="43">
        <v>0</v>
      </c>
      <c r="C9" s="76">
        <f>C8</f>
        <v>2.5131600000000001</v>
      </c>
      <c r="D9" s="41">
        <f t="shared" ref="D9:D13" si="0">0.023/1.0543</f>
        <v>2.1815422555249927E-2</v>
      </c>
      <c r="E9" s="26" t="str">
        <f>E8</f>
        <v>natural gas - IPCC</v>
      </c>
      <c r="F9" s="51">
        <v>0</v>
      </c>
      <c r="G9" s="21" t="s">
        <v>113</v>
      </c>
      <c r="H9" s="21">
        <f>H8</f>
        <v>0.19</v>
      </c>
      <c r="I9" s="28">
        <f>I8</f>
        <v>0.90100000000000002</v>
      </c>
      <c r="J9" s="91">
        <f>J8</f>
        <v>1.1856207910461918E-2</v>
      </c>
      <c r="K9" s="22">
        <f>11.2/1.0543*Ref!C$12</f>
        <v>1.5165898340948458E-2</v>
      </c>
    </row>
    <row r="10" spans="1:12" s="30" customFormat="1" ht="15.75" thickBot="1" x14ac:dyDescent="0.3">
      <c r="A10" s="30" t="s">
        <v>143</v>
      </c>
      <c r="B10" s="44">
        <v>0</v>
      </c>
      <c r="C10" s="77">
        <f>C8</f>
        <v>2.5131600000000001</v>
      </c>
      <c r="D10" s="40">
        <f t="shared" si="0"/>
        <v>2.1815422555249927E-2</v>
      </c>
      <c r="E10" s="71" t="str">
        <f>E8</f>
        <v>natural gas - IPCC</v>
      </c>
      <c r="F10" s="32">
        <v>1</v>
      </c>
      <c r="G10" s="30" t="s">
        <v>113</v>
      </c>
      <c r="H10" s="30">
        <f>H8</f>
        <v>0.19</v>
      </c>
      <c r="I10" s="39">
        <f>I8</f>
        <v>0.90100000000000002</v>
      </c>
      <c r="J10" s="117">
        <f>J8</f>
        <v>1.1856207910461918E-2</v>
      </c>
      <c r="K10" s="29">
        <f>11.2/1.0543*Ref!C$12</f>
        <v>1.5165898340948458E-2</v>
      </c>
    </row>
    <row r="11" spans="1:12" x14ac:dyDescent="0.25">
      <c r="A11" s="21" t="s">
        <v>144</v>
      </c>
      <c r="B11" s="43">
        <v>0</v>
      </c>
      <c r="C11" s="76">
        <f>698.1*Ref!B$18</f>
        <v>2.5131600000000001</v>
      </c>
      <c r="D11" s="41">
        <f>0.021</f>
        <v>2.1000000000000001E-2</v>
      </c>
      <c r="E11" s="26" t="s">
        <v>95</v>
      </c>
      <c r="F11" s="21">
        <v>0</v>
      </c>
      <c r="G11" s="21" t="s">
        <v>113</v>
      </c>
      <c r="H11" s="21">
        <v>0.19</v>
      </c>
      <c r="I11" s="28">
        <v>0.90100000000000002</v>
      </c>
      <c r="J11" s="91">
        <f>0.0125/1.0543</f>
        <v>1.1856207910461918E-2</v>
      </c>
      <c r="K11" s="22">
        <f>11.2/1.0543*Ref!C$12</f>
        <v>1.5165898340948458E-2</v>
      </c>
    </row>
    <row r="12" spans="1:12" x14ac:dyDescent="0.25">
      <c r="A12" s="21" t="s">
        <v>145</v>
      </c>
      <c r="B12" s="43">
        <v>0</v>
      </c>
      <c r="C12" s="76">
        <f>C11</f>
        <v>2.5131600000000001</v>
      </c>
      <c r="D12" s="41">
        <f t="shared" si="0"/>
        <v>2.1815422555249927E-2</v>
      </c>
      <c r="E12" s="26" t="str">
        <f>E11</f>
        <v>natural gas - IPCC</v>
      </c>
      <c r="F12" s="51">
        <v>0</v>
      </c>
      <c r="G12" s="21" t="s">
        <v>113</v>
      </c>
      <c r="H12" s="21">
        <f>H11</f>
        <v>0.19</v>
      </c>
      <c r="I12" s="28">
        <f>I11</f>
        <v>0.90100000000000002</v>
      </c>
      <c r="J12" s="91">
        <f>J11</f>
        <v>1.1856207910461918E-2</v>
      </c>
      <c r="K12" s="22">
        <f>11.2/1.0543*Ref!C$12</f>
        <v>1.5165898340948458E-2</v>
      </c>
    </row>
    <row r="13" spans="1:12" s="30" customFormat="1" ht="15.75" thickBot="1" x14ac:dyDescent="0.3">
      <c r="A13" s="30" t="s">
        <v>146</v>
      </c>
      <c r="B13" s="44">
        <v>0</v>
      </c>
      <c r="C13" s="77">
        <f>C11</f>
        <v>2.5131600000000001</v>
      </c>
      <c r="D13" s="40">
        <f t="shared" si="0"/>
        <v>2.1815422555249927E-2</v>
      </c>
      <c r="E13" s="71" t="str">
        <f>E11</f>
        <v>natural gas - IPCC</v>
      </c>
      <c r="F13" s="32">
        <v>1</v>
      </c>
      <c r="G13" s="30" t="s">
        <v>113</v>
      </c>
      <c r="H13" s="30">
        <f>H11</f>
        <v>0.19</v>
      </c>
      <c r="I13" s="39">
        <f>I11</f>
        <v>0.90100000000000002</v>
      </c>
      <c r="J13" s="117">
        <f>J11</f>
        <v>1.1856207910461918E-2</v>
      </c>
      <c r="K13" s="29">
        <f>11.2/1.0543*Ref!C$12</f>
        <v>1.5165898340948458E-2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Coke</vt:lpstr>
      <vt:lpstr>Lime</vt:lpstr>
      <vt:lpstr>Pellets</vt:lpstr>
      <vt:lpstr>Sinter</vt:lpstr>
      <vt:lpstr>Iron</vt:lpstr>
      <vt:lpstr>Steel</vt:lpstr>
      <vt:lpstr>Charcoal</vt:lpstr>
      <vt:lpstr>DRI</vt:lpstr>
      <vt:lpstr>EAF</vt:lpstr>
      <vt:lpstr>Syngas</vt:lpstr>
      <vt:lpstr>Finish</vt:lpstr>
      <vt:lpstr>Oxygen</vt:lpstr>
      <vt:lpstr>Electricity</vt:lpstr>
      <vt:lpstr>Heat</vt:lpstr>
      <vt:lpstr>CO2 Capture</vt:lpstr>
      <vt:lpstr>CO2 Storage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S.E. Tanzer</cp:lastModifiedBy>
  <dcterms:created xsi:type="dcterms:W3CDTF">2019-04-04T16:15:53Z</dcterms:created>
  <dcterms:modified xsi:type="dcterms:W3CDTF">2019-09-23T16:14:18Z</dcterms:modified>
</cp:coreProperties>
</file>