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18495" windowHeight="17535" tabRatio="598" firstSheet="1" activeTab="1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4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B19" i="3"/>
  <c r="F18" i="3"/>
  <c r="B18" i="3"/>
  <c r="B24" i="4"/>
  <c r="G24" i="4"/>
  <c r="F24" i="4"/>
  <c r="H18" i="6"/>
  <c r="C18" i="6"/>
  <c r="B18" i="6"/>
  <c r="H17" i="6"/>
  <c r="C17" i="6"/>
  <c r="B17" i="6"/>
  <c r="D25" i="17"/>
  <c r="B25" i="17"/>
  <c r="D26" i="17"/>
  <c r="B26" i="17"/>
  <c r="B27" i="17"/>
  <c r="C4" i="17" l="1"/>
  <c r="B7" i="17"/>
  <c r="B4" i="17" s="1"/>
  <c r="B8" i="17"/>
  <c r="B11" i="17" s="1"/>
  <c r="B10" i="17"/>
  <c r="C11" i="17"/>
  <c r="B12" i="17"/>
  <c r="C12" i="17"/>
  <c r="D12" i="17"/>
  <c r="B13" i="17"/>
  <c r="C13" i="17"/>
  <c r="D13" i="17"/>
  <c r="B14" i="17"/>
  <c r="C14" i="17"/>
  <c r="D14" i="17"/>
  <c r="B15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3" i="17"/>
  <c r="B24" i="17"/>
  <c r="B23" i="4" l="1"/>
  <c r="G24" i="15"/>
  <c r="D13" i="16"/>
  <c r="D14" i="16"/>
  <c r="D22" i="6"/>
  <c r="D10" i="6"/>
  <c r="J20" i="6"/>
  <c r="B20" i="6"/>
  <c r="G22" i="15"/>
  <c r="K23" i="15"/>
  <c r="G23" i="15"/>
  <c r="K10" i="15"/>
  <c r="G10" i="15"/>
  <c r="B7" i="3"/>
  <c r="F20" i="3"/>
  <c r="B20" i="3"/>
  <c r="F7" i="3"/>
  <c r="B22" i="4"/>
  <c r="B10" i="3"/>
  <c r="G10" i="4"/>
  <c r="B10" i="4"/>
  <c r="B11" i="4"/>
  <c r="B21" i="4"/>
  <c r="G18" i="4"/>
  <c r="F18" i="4"/>
  <c r="B18" i="4"/>
  <c r="B20" i="4"/>
  <c r="B19" i="4"/>
  <c r="G19" i="4" l="1"/>
  <c r="F20" i="4"/>
  <c r="F19" i="4" l="1"/>
  <c r="C15" i="13" l="1"/>
  <c r="B15" i="13"/>
  <c r="B11" i="9"/>
  <c r="C16" i="8"/>
  <c r="B16" i="8"/>
  <c r="B17" i="2"/>
  <c r="F17" i="9" l="1"/>
  <c r="E17" i="9"/>
  <c r="C17" i="9"/>
  <c r="B17" i="9"/>
  <c r="C15" i="14"/>
  <c r="B15" i="14"/>
  <c r="C15" i="8"/>
  <c r="B15" i="8"/>
  <c r="J16" i="6"/>
  <c r="I16" i="6"/>
  <c r="H16" i="6" l="1"/>
  <c r="C16" i="6"/>
  <c r="D17" i="15"/>
  <c r="B16" i="2"/>
  <c r="B4" i="15" l="1"/>
  <c r="C4" i="15"/>
  <c r="G4" i="15"/>
  <c r="H4" i="15"/>
  <c r="I4" i="15"/>
  <c r="J4" i="15"/>
  <c r="K4" i="15"/>
  <c r="L4" i="15"/>
  <c r="M4" i="15"/>
  <c r="N4" i="15"/>
  <c r="E4" i="15"/>
  <c r="L5" i="15"/>
  <c r="D6" i="15"/>
  <c r="E6" i="15"/>
  <c r="E12" i="15" s="1"/>
  <c r="D7" i="15"/>
  <c r="D4" i="15" s="1"/>
  <c r="D8" i="15"/>
  <c r="B9" i="15"/>
  <c r="C9" i="15"/>
  <c r="D9" i="15"/>
  <c r="C10" i="15"/>
  <c r="D10" i="15"/>
  <c r="B12" i="15"/>
  <c r="G12" i="15"/>
  <c r="I12" i="15"/>
  <c r="K12" i="15"/>
  <c r="M12" i="15"/>
  <c r="B13" i="15"/>
  <c r="C13" i="15"/>
  <c r="G13" i="15"/>
  <c r="H13" i="15"/>
  <c r="K13" i="15"/>
  <c r="L13" i="15"/>
  <c r="E13" i="15"/>
  <c r="B14" i="15"/>
  <c r="C14" i="15"/>
  <c r="D14" i="15"/>
  <c r="G14" i="15"/>
  <c r="H14" i="15"/>
  <c r="K14" i="15"/>
  <c r="L14" i="15"/>
  <c r="E14" i="15"/>
  <c r="B15" i="15"/>
  <c r="C15" i="15"/>
  <c r="D15" i="15"/>
  <c r="G15" i="15"/>
  <c r="H15" i="15"/>
  <c r="K15" i="15"/>
  <c r="L15" i="15"/>
  <c r="E15" i="15"/>
  <c r="B16" i="15"/>
  <c r="C16" i="15"/>
  <c r="D16" i="15"/>
  <c r="G16" i="15"/>
  <c r="H16" i="15"/>
  <c r="K16" i="15"/>
  <c r="L16" i="15"/>
  <c r="E16" i="15"/>
  <c r="C12" i="15" l="1"/>
  <c r="D13" i="15"/>
  <c r="D12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C14" i="14"/>
  <c r="B14" i="14"/>
  <c r="C13" i="14"/>
  <c r="B13" i="14"/>
  <c r="C12" i="14"/>
  <c r="B12" i="14"/>
  <c r="C11" i="14"/>
  <c r="B11" i="14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J15" i="6"/>
  <c r="I15" i="6"/>
  <c r="G15" i="6"/>
  <c r="F15" i="6"/>
  <c r="E15" i="6"/>
  <c r="D15" i="6"/>
  <c r="J14" i="6"/>
  <c r="I14" i="6"/>
  <c r="G14" i="6"/>
  <c r="F14" i="6"/>
  <c r="E14" i="6"/>
  <c r="D14" i="6"/>
  <c r="J13" i="6"/>
  <c r="I13" i="6"/>
  <c r="G13" i="6"/>
  <c r="F13" i="6"/>
  <c r="E13" i="6"/>
  <c r="D13" i="6"/>
  <c r="J12" i="6"/>
  <c r="I12" i="6"/>
  <c r="G12" i="6"/>
  <c r="F12" i="6"/>
  <c r="E12" i="6"/>
  <c r="D12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2" i="4" s="1"/>
  <c r="F10" i="4"/>
  <c r="F11" i="4"/>
  <c r="H7" i="6"/>
  <c r="H13" i="6" s="1"/>
  <c r="F12" i="9"/>
  <c r="F11" i="9"/>
  <c r="F10" i="9"/>
  <c r="F9" i="9"/>
  <c r="F8" i="9"/>
  <c r="F7" i="9"/>
  <c r="F16" i="9" s="1"/>
  <c r="F6" i="9"/>
  <c r="H14" i="6" l="1"/>
  <c r="F13" i="9"/>
  <c r="H15" i="6"/>
  <c r="F14" i="9"/>
  <c r="H12" i="6"/>
  <c r="F15" i="9"/>
  <c r="B11" i="2"/>
  <c r="E4" i="12" l="1"/>
  <c r="D4" i="12"/>
  <c r="C4" i="12"/>
  <c r="C10" i="6" l="1"/>
  <c r="C9" i="8" l="1"/>
  <c r="B21" i="7" l="1"/>
  <c r="B20" i="7" l="1"/>
  <c r="B10" i="9"/>
  <c r="B10" i="6"/>
  <c r="C8" i="8"/>
  <c r="B8" i="8"/>
  <c r="B9" i="8" s="1"/>
  <c r="B10" i="8" s="1"/>
  <c r="B12" i="4" l="1"/>
  <c r="H6" i="6"/>
  <c r="C6" i="8"/>
  <c r="B6" i="8"/>
  <c r="B5" i="8" s="1"/>
  <c r="B5" i="6" l="1"/>
  <c r="B7" i="6"/>
  <c r="B6" i="6"/>
  <c r="B15" i="6" l="1"/>
  <c r="B14" i="6"/>
  <c r="B13" i="6"/>
  <c r="B12" i="6"/>
  <c r="C7" i="6"/>
  <c r="C14" i="6" l="1"/>
  <c r="C13" i="6"/>
  <c r="C12" i="6"/>
  <c r="C15" i="6"/>
  <c r="G6" i="4"/>
  <c r="B19" i="7"/>
  <c r="C7" i="7" s="1"/>
  <c r="B18" i="7"/>
  <c r="B10" i="7"/>
  <c r="I6" i="6" l="1"/>
  <c r="C9" i="2"/>
  <c r="C11" i="2" s="1"/>
  <c r="G12" i="4"/>
  <c r="G11" i="3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S.E. Tanzer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0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23" authorId="1" shapeId="0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</commentList>
</comments>
</file>

<file path=xl/comments5.xml><?xml version="1.0" encoding="utf-8"?>
<comments xmlns="http://schemas.openxmlformats.org/spreadsheetml/2006/main">
  <authors>
    <author>S.E. Tanzer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<sst xmlns="http://schemas.openxmlformats.org/spreadsheetml/2006/main" count="717" uniqueCount="174">
  <si>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</si>
  <si>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</si>
  <si>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</si>
  <si>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</si>
  <si>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</si>
  <si>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</si>
  <si>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</si>
  <si>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</si>
  <si>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</si>
  <si>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</si>
  <si>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</si>
  <si>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</si>
  <si>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</si>
  <si>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</si>
  <si>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</si>
  <si>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</si>
  <si>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</si>
  <si>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</si>
  <si>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</si>
  <si>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</si>
  <si>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</si>
  <si>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</si>
  <si>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</si>
  <si>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</si>
  <si>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</si>
  <si>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</si>
  <si>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</si>
  <si>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</si>
  <si>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</si>
  <si>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</si>
  <si>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</si>
  <si>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</si>
  <si>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</si>
  <si>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</si>
  <si>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</si>
  <si>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</si>
  <si>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</si>
  <si>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</si>
  <si>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</si>
  <si>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</si>
  <si>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</si>
  <si>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</si>
  <si>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</si>
  <si>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</si>
  <si>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</si>
  <si>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</si>
  <si>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</si>
  <si>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</si>
  <si>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</si>
  <si>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</si>
  <si>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</si>
  <si>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</si>
  <si>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</si>
  <si>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</si>
  <si>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</si>
  <si>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</si>
  <si>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</si>
  <si>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</si>
  <si>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</si>
  <si>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</si>
  <si>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</si>
  <si>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</si>
  <si>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</si>
  <si>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</si>
  <si>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</si>
  <si>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</si>
  <si>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</si>
  <si>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</si>
  <si>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</si>
  <si>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</si>
  <si>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</si>
  <si>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</si>
  <si>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</si>
  <si>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</si>
  <si>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</si>
  <si>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</si>
  <si>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</si>
  <si>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</si>
  <si>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</si>
  <si>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</si>
  <si>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</si>
  <si>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</si>
  <si>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</si>
  <si>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</si>
  <si>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</si>
  <si>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</si>
  <si>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</si>
  <si>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</si>
  <si>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</si>
  <si>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</si>
  <si>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</si>
  <si>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</si>
  <si>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</si>
  <si>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</si>
  <si>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</si>
  <si>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</si>
  <si>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</si>
  <si>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</si>
  <si>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</si>
  <si>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</si>
  <si>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</si>
  <si>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</si>
  <si>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</si>
  <si>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</si>
  <si>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</si>
  <si>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</si>
  <si>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</si>
  <si>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</si>
  <si>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</si>
  <si>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</si>
  <si>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</si>
  <si>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</si>
  <si>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</si>
  <si>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</si>
  <si>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</si>
  <si>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</si>
  <si>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</si>
  <si>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</si>
  <si>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</si>
  <si>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</si>
  <si>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</si>
  <si>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</si>
  <si>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</si>
  <si>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</si>
  <si>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</si>
  <si>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</si>
  <si>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</si>
  <si>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</si>
  <si>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</si>
  <si>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</si>
  <si>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</si>
  <si>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</si>
  <si>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</si>
  <si>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</si>
  <si>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</si>
  <si>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</si>
  <si>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</si>
  <si>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</si>
  <si>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</si>
  <si>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</si>
  <si>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</si>
  <si>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</si>
  <si>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</si>
  <si>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</si>
  <si>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</si>
  <si>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</si>
  <si>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</si>
  <si>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</si>
  <si>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</si>
  <si>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</si>
  <si>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</si>
  <si>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</si>
  <si>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</si>
  <si>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</si>
  <si>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</si>
  <si>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</si>
  <si>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</si>
  <si>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</si>
  <si>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</si>
  <si>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</si>
  <si>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deemand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</si>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</sst>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165" fontId="0" fillId="3" borderId="0" xfId="0" applyNumberFormat="1" applyFill="1"/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6" fontId="9" fillId="0" borderId="0" xfId="0" applyNumberFormat="1" applyFont="1"/>
    <xf numFmtId="165" fontId="0" fillId="0" borderId="0" xfId="0" applyNumberFormat="1" applyAlignment="1">
      <alignment horizontal="right"/>
    </xf>
    <xf numFmtId="166" fontId="8" fillId="0" borderId="0" xfId="0" applyNumberFormat="1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omine.ru/files/catalog/223/file_223_eng.pdf%20(rotary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A35" sqref="A35"/>
    </sheetView>
  </sheetViews>
  <sheetFormatPr defaultRowHeight="15" x14ac:dyDescent="0.25"/>
  <cols>
    <col min="1" max="1" width="20.42578125" bestFit="1" customWidth="1"/>
    <col min="2" max="2" width="26.7109375" bestFit="1" customWidth="1"/>
    <col min="3" max="3" width="17.85546875" bestFit="1" customWidth="1"/>
    <col min="4" max="4" width="18.85546875" bestFit="1" customWidth="1"/>
    <col min="5" max="5" width="17.28515625" bestFit="1" customWidth="1"/>
    <col min="6" max="6" width="11.85546875" bestFit="1" customWidth="1"/>
  </cols>
  <sheetData>
    <row r="1" spans="1:6" x14ac:dyDescent="0.25">
      <c r="A1" s="1" t="s">
        <v>0</v>
      </c>
      <c r="B1" t="s">
        <v>5</v>
      </c>
      <c r="C1" t="s">
        <v>7</v>
      </c>
      <c r="D1" t="s">
        <v>61</v>
      </c>
      <c r="E1" t="s">
        <v>11</v>
      </c>
      <c r="F1" t="s">
        <v>12</v>
      </c>
    </row>
    <row r="2" spans="1:6" x14ac:dyDescent="0.25">
      <c r="A2" s="2" t="s">
        <v>1</v>
      </c>
      <c r="B2" s="2" t="s">
        <v>6</v>
      </c>
      <c r="C2" s="2" t="s">
        <v>64</v>
      </c>
      <c r="D2" s="2"/>
      <c r="E2" s="2"/>
      <c r="F2" s="2"/>
    </row>
    <row r="3" spans="1:6" x14ac:dyDescent="0.25">
      <c r="A3" s="2" t="s">
        <v>2</v>
      </c>
      <c r="B3" s="2" t="s">
        <v>63</v>
      </c>
      <c r="C3" s="2"/>
      <c r="D3" s="2"/>
      <c r="E3" s="2"/>
      <c r="F3" s="2"/>
    </row>
    <row r="4" spans="1:6" x14ac:dyDescent="0.25">
      <c r="A4" t="s">
        <v>3</v>
      </c>
      <c r="B4" s="21">
        <f>B7</f>
        <v>0.77808901338313108</v>
      </c>
      <c r="C4" s="21">
        <f>C7</f>
        <v>0.126</v>
      </c>
      <c r="D4" t="s">
        <v>57</v>
      </c>
      <c r="E4">
        <v>0</v>
      </c>
      <c r="F4" t="s">
        <v>23</v>
      </c>
    </row>
    <row r="5" spans="1:6" x14ac:dyDescent="0.25">
      <c r="A5" t="s">
        <v>56</v>
      </c>
      <c r="B5">
        <v>0.8</v>
      </c>
      <c r="C5">
        <v>0.1</v>
      </c>
      <c r="D5" t="s">
        <v>57</v>
      </c>
      <c r="E5">
        <v>0</v>
      </c>
      <c r="F5" t="s">
        <v>23</v>
      </c>
    </row>
    <row r="6" spans="1:6" x14ac:dyDescent="0.25">
      <c r="A6" t="s">
        <v>107</v>
      </c>
      <c r="B6">
        <v>0.754</v>
      </c>
      <c r="C6">
        <v>0</v>
      </c>
      <c r="D6" t="s">
        <v>114</v>
      </c>
      <c r="E6">
        <v>0</v>
      </c>
      <c r="F6" t="s">
        <v>23</v>
      </c>
    </row>
    <row r="7" spans="1:6" x14ac:dyDescent="0.25">
      <c r="A7" t="s">
        <v>108</v>
      </c>
      <c r="B7" s="21">
        <f>1/1.2852</f>
        <v>0.77808901338313108</v>
      </c>
      <c r="C7">
        <v>0.126</v>
      </c>
      <c r="D7" t="s">
        <v>115</v>
      </c>
      <c r="E7">
        <v>0</v>
      </c>
      <c r="F7" t="s">
        <v>23</v>
      </c>
    </row>
    <row r="8" spans="1:6" x14ac:dyDescent="0.25">
      <c r="A8" t="s">
        <v>109</v>
      </c>
      <c r="B8" s="21">
        <f>1/1.43</f>
        <v>0.69930069930069938</v>
      </c>
      <c r="C8">
        <v>0.19</v>
      </c>
      <c r="D8" t="s">
        <v>121</v>
      </c>
      <c r="E8">
        <v>0</v>
      </c>
      <c r="F8" t="s">
        <v>23</v>
      </c>
    </row>
    <row r="9" spans="1:6" x14ac:dyDescent="0.25">
      <c r="A9" t="s">
        <v>110</v>
      </c>
      <c r="B9" s="24">
        <v>0.7</v>
      </c>
      <c r="C9" s="23">
        <v>0.2</v>
      </c>
      <c r="D9" t="s">
        <v>122</v>
      </c>
      <c r="E9">
        <v>0</v>
      </c>
      <c r="F9" t="s">
        <v>23</v>
      </c>
    </row>
    <row r="10" spans="1:6" x14ac:dyDescent="0.25">
      <c r="A10" t="s">
        <v>111</v>
      </c>
      <c r="B10" s="46">
        <f>24.7/32</f>
        <v>0.77187499999999998</v>
      </c>
      <c r="C10" s="47">
        <v>0.12</v>
      </c>
      <c r="D10" s="47" t="s">
        <v>123</v>
      </c>
      <c r="E10">
        <v>0</v>
      </c>
      <c r="F10" t="s">
        <v>23</v>
      </c>
    </row>
    <row r="11" spans="1:6" x14ac:dyDescent="0.25">
      <c r="A11" t="s">
        <v>126</v>
      </c>
      <c r="B11" s="48">
        <f>AVERAGE(B6:B10)</f>
        <v>0.74065294253676606</v>
      </c>
      <c r="C11">
        <f>AVERAGE(C6:C10)</f>
        <v>0.12720000000000001</v>
      </c>
      <c r="D11" t="s">
        <v>115</v>
      </c>
      <c r="E11">
        <v>0</v>
      </c>
      <c r="F11" t="s">
        <v>23</v>
      </c>
    </row>
    <row r="12" spans="1:6" x14ac:dyDescent="0.25">
      <c r="A12" t="s">
        <v>131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23</v>
      </c>
    </row>
    <row r="13" spans="1:6" x14ac:dyDescent="0.25">
      <c r="A13" t="s">
        <v>132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23</v>
      </c>
    </row>
    <row r="14" spans="1:6" x14ac:dyDescent="0.25">
      <c r="A14" t="s">
        <v>133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23</v>
      </c>
    </row>
    <row r="15" spans="1:6" x14ac:dyDescent="0.25">
      <c r="A15" t="s">
        <v>134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23</v>
      </c>
    </row>
    <row r="16" spans="1:6" x14ac:dyDescent="0.25">
      <c r="A16" t="s">
        <v>136</v>
      </c>
      <c r="B16" s="49">
        <f>1/1.2852</f>
        <v>0.77808901338313108</v>
      </c>
      <c r="C16">
        <f>0.126</f>
        <v>0.126</v>
      </c>
      <c r="D16" s="3" t="s">
        <v>57</v>
      </c>
      <c r="E16">
        <v>0</v>
      </c>
      <c r="F16" t="s">
        <v>23</v>
      </c>
    </row>
    <row r="17" spans="1:6" x14ac:dyDescent="0.25">
      <c r="A17" t="s">
        <v>127</v>
      </c>
      <c r="B17">
        <v>0.7</v>
      </c>
      <c r="C17" s="23">
        <v>0.2</v>
      </c>
      <c r="D17" s="21" t="str">
        <f t="shared" ref="D17:D22" si="1">D$7</f>
        <v>coal coking - IPCC</v>
      </c>
      <c r="E17">
        <v>0</v>
      </c>
      <c r="F17" t="s">
        <v>23</v>
      </c>
    </row>
    <row r="18" spans="1:6" x14ac:dyDescent="0.25">
      <c r="A18" t="s">
        <v>151</v>
      </c>
      <c r="B18" s="54">
        <f>0.83</f>
        <v>0.83</v>
      </c>
      <c r="C18">
        <v>0.02</v>
      </c>
      <c r="D18" s="21" t="str">
        <f t="shared" si="1"/>
        <v>coal coking - IPCC</v>
      </c>
      <c r="E18">
        <v>0</v>
      </c>
      <c r="F18" t="s">
        <v>23</v>
      </c>
    </row>
    <row r="19" spans="1:6" x14ac:dyDescent="0.25">
      <c r="A19" t="s">
        <v>158</v>
      </c>
      <c r="B19" s="48">
        <f>1/1.22</f>
        <v>0.81967213114754101</v>
      </c>
      <c r="C19">
        <v>0.02</v>
      </c>
      <c r="D19" s="21" t="str">
        <f t="shared" si="1"/>
        <v>coal coking - IPCC</v>
      </c>
      <c r="E19">
        <v>0</v>
      </c>
      <c r="F19" t="s">
        <v>23</v>
      </c>
    </row>
    <row r="20" spans="1:6" x14ac:dyDescent="0.25">
      <c r="A20" t="s">
        <v>152</v>
      </c>
      <c r="B20" s="21">
        <f>1/1.3</f>
        <v>0.76923076923076916</v>
      </c>
      <c r="C20">
        <v>0.1</v>
      </c>
      <c r="D20" s="21" t="str">
        <f t="shared" si="1"/>
        <v>coal coking - IPCC</v>
      </c>
      <c r="E20">
        <v>0</v>
      </c>
      <c r="F20" t="s">
        <v>23</v>
      </c>
    </row>
    <row r="21" spans="1:6" x14ac:dyDescent="0.25">
      <c r="A21" t="s">
        <v>143</v>
      </c>
      <c r="B21" s="48">
        <f>1/1.22</f>
        <v>0.81967213114754101</v>
      </c>
      <c r="C21">
        <v>0.02</v>
      </c>
      <c r="D21" s="21" t="str">
        <f t="shared" si="1"/>
        <v>coal coking - IPCC</v>
      </c>
      <c r="E21">
        <v>0</v>
      </c>
      <c r="F21" t="s">
        <v>23</v>
      </c>
    </row>
    <row r="22" spans="1:6" x14ac:dyDescent="0.25">
      <c r="A22" t="s">
        <v>153</v>
      </c>
      <c r="B22" s="52">
        <f>30.23/(30.23+2)</f>
        <v>0.93794601303133718</v>
      </c>
      <c r="C22">
        <v>0</v>
      </c>
      <c r="D22" s="21" t="str">
        <f t="shared" si="1"/>
        <v>coal coking - IPCC</v>
      </c>
      <c r="E22">
        <v>0</v>
      </c>
      <c r="F22" t="s">
        <v>23</v>
      </c>
    </row>
    <row r="23" spans="1:6" x14ac:dyDescent="0.25">
      <c r="A23" t="s">
        <v>156</v>
      </c>
      <c r="B23" s="52">
        <f>(B10-3.16/3.24*B10)+B10</f>
        <v>0.79093364197530858</v>
      </c>
      <c r="C23">
        <v>0.1</v>
      </c>
      <c r="D23" s="47" t="s">
        <v>123</v>
      </c>
      <c r="E23">
        <v>0</v>
      </c>
      <c r="F23" t="s">
        <v>23</v>
      </c>
    </row>
    <row r="24" spans="1:6" x14ac:dyDescent="0.25">
      <c r="A24" t="s">
        <v>168</v>
      </c>
      <c r="B24" s="52">
        <f>30.23/(30.23+2.23)</f>
        <v>0.93130006161429446</v>
      </c>
      <c r="C24">
        <v>0.1</v>
      </c>
      <c r="D24" s="47" t="s">
        <v>123</v>
      </c>
      <c r="E24">
        <v>0</v>
      </c>
      <c r="F24" t="s">
        <v>23</v>
      </c>
    </row>
    <row r="25" spans="1:6" x14ac:dyDescent="0.25">
      <c r="A25" t="s">
        <v>169</v>
      </c>
      <c r="B25" s="54">
        <f>0.83</f>
        <v>0.83</v>
      </c>
      <c r="C25">
        <v>0.02</v>
      </c>
      <c r="D25" s="21" t="str">
        <f t="shared" ref="D25" si="2">D$7</f>
        <v>coal coking - IPCC</v>
      </c>
      <c r="E25">
        <v>0</v>
      </c>
      <c r="F25" t="s">
        <v>23</v>
      </c>
    </row>
    <row r="26" spans="1:6" x14ac:dyDescent="0.25">
      <c r="A26" t="s">
        <v>170</v>
      </c>
      <c r="B26" s="48">
        <f>1/1.22</f>
        <v>0.81967213114754101</v>
      </c>
      <c r="C26">
        <v>0.02</v>
      </c>
      <c r="D26" s="21" t="str">
        <f t="shared" ref="D26" si="3">D$7</f>
        <v>coal coking - IPCC</v>
      </c>
      <c r="E26">
        <v>0</v>
      </c>
      <c r="F26" t="s">
        <v>23</v>
      </c>
    </row>
    <row r="27" spans="1:6" x14ac:dyDescent="0.25">
      <c r="A27" t="s">
        <v>166</v>
      </c>
      <c r="B27" s="21">
        <f>1/1.2852</f>
        <v>0.77808901338313108</v>
      </c>
      <c r="C27">
        <v>0.126</v>
      </c>
      <c r="D27" t="s">
        <v>115</v>
      </c>
      <c r="E27">
        <v>0</v>
      </c>
      <c r="F27" t="s">
        <v>23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workbookViewId="0">
      <selection activeCell="A15" sqref="A15"/>
    </sheetView>
  </sheetViews>
  <sheetFormatPr defaultColWidth="8.85546875" defaultRowHeight="15" x14ac:dyDescent="0.25"/>
  <cols>
    <col min="1" max="1" width="23" bestFit="1" customWidth="1"/>
    <col min="2" max="2" width="13.7109375" customWidth="1"/>
  </cols>
  <sheetData>
    <row r="1" spans="1:6" x14ac:dyDescent="0.25">
      <c r="A1" s="38" t="s">
        <v>85</v>
      </c>
      <c r="B1" s="38" t="s">
        <v>86</v>
      </c>
      <c r="C1" s="39" t="s">
        <v>87</v>
      </c>
      <c r="D1" s="39" t="s">
        <v>9</v>
      </c>
      <c r="E1" s="39" t="s">
        <v>88</v>
      </c>
      <c r="F1" s="39" t="s">
        <v>89</v>
      </c>
    </row>
    <row r="2" spans="1:6" x14ac:dyDescent="0.25">
      <c r="A2" s="40" t="s">
        <v>79</v>
      </c>
      <c r="B2" s="41" t="s">
        <v>90</v>
      </c>
      <c r="C2" s="42" t="s">
        <v>91</v>
      </c>
      <c r="D2" s="42" t="s">
        <v>92</v>
      </c>
      <c r="E2" s="42" t="s">
        <v>93</v>
      </c>
      <c r="F2" s="43"/>
    </row>
    <row r="3" spans="1:6" x14ac:dyDescent="0.25">
      <c r="A3" s="40" t="s">
        <v>2</v>
      </c>
      <c r="B3" s="41" t="s">
        <v>94</v>
      </c>
      <c r="C3" s="42" t="s">
        <v>95</v>
      </c>
      <c r="D3" s="43"/>
      <c r="E3" s="43"/>
      <c r="F3" s="43"/>
    </row>
    <row r="4" spans="1:6" x14ac:dyDescent="0.25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x14ac:dyDescent="0.25">
      <c r="A5" s="42" t="s">
        <v>96</v>
      </c>
      <c r="B5" s="42">
        <v>0.63</v>
      </c>
      <c r="C5" s="43">
        <v>0.9</v>
      </c>
      <c r="D5" s="42">
        <v>1.05</v>
      </c>
      <c r="E5" s="43">
        <v>0</v>
      </c>
      <c r="F5" s="42" t="s">
        <v>97</v>
      </c>
    </row>
    <row r="6" spans="1:6" x14ac:dyDescent="0.25">
      <c r="A6" s="42" t="s">
        <v>98</v>
      </c>
      <c r="B6" s="42">
        <v>0.63</v>
      </c>
      <c r="C6" s="43">
        <v>0.9</v>
      </c>
      <c r="D6" s="42">
        <v>0.61</v>
      </c>
      <c r="E6" s="43">
        <v>3.2</v>
      </c>
      <c r="F6" s="42" t="s">
        <v>99</v>
      </c>
    </row>
    <row r="7" spans="1:6" x14ac:dyDescent="0.25">
      <c r="A7" s="42" t="s">
        <v>100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101</v>
      </c>
    </row>
    <row r="8" spans="1:6" x14ac:dyDescent="0.25">
      <c r="A8" t="s">
        <v>107</v>
      </c>
      <c r="B8" s="43">
        <v>1</v>
      </c>
      <c r="C8" s="43">
        <v>0.9</v>
      </c>
      <c r="D8" s="43">
        <v>0.5</v>
      </c>
      <c r="E8" s="43">
        <v>3</v>
      </c>
      <c r="F8" s="42" t="s">
        <v>99</v>
      </c>
    </row>
    <row r="9" spans="1:6" x14ac:dyDescent="0.25">
      <c r="A9" t="s">
        <v>108</v>
      </c>
      <c r="B9" s="43">
        <v>1</v>
      </c>
      <c r="C9" s="43">
        <v>0.9</v>
      </c>
      <c r="D9" s="43">
        <v>0.5</v>
      </c>
      <c r="E9" s="43">
        <v>3</v>
      </c>
      <c r="F9" s="42" t="s">
        <v>106</v>
      </c>
    </row>
    <row r="10" spans="1:6" x14ac:dyDescent="0.25">
      <c r="A10" t="s">
        <v>109</v>
      </c>
      <c r="B10" s="43">
        <v>1</v>
      </c>
      <c r="C10" s="43">
        <v>0.9</v>
      </c>
      <c r="D10" s="43">
        <v>0.5</v>
      </c>
      <c r="E10" s="43">
        <v>3</v>
      </c>
      <c r="F10" s="42" t="s">
        <v>106</v>
      </c>
    </row>
    <row r="11" spans="1:6" x14ac:dyDescent="0.25">
      <c r="A11" t="s">
        <v>110</v>
      </c>
      <c r="B11" s="43">
        <v>1</v>
      </c>
      <c r="C11" s="43">
        <v>0.9</v>
      </c>
      <c r="D11" s="43">
        <v>0.5</v>
      </c>
      <c r="E11" s="43">
        <v>3</v>
      </c>
      <c r="F11" s="42" t="s">
        <v>106</v>
      </c>
    </row>
    <row r="12" spans="1:6" x14ac:dyDescent="0.25">
      <c r="A12" t="s">
        <v>111</v>
      </c>
      <c r="B12" s="43">
        <v>1</v>
      </c>
      <c r="C12" s="43">
        <v>0.9</v>
      </c>
      <c r="D12" s="43">
        <v>0.5</v>
      </c>
      <c r="E12" s="43">
        <v>3</v>
      </c>
      <c r="F12" s="42" t="s">
        <v>106</v>
      </c>
    </row>
    <row r="13" spans="1:6" x14ac:dyDescent="0.25">
      <c r="A13" s="42" t="s">
        <v>56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x14ac:dyDescent="0.25">
      <c r="A14" t="s">
        <v>131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x14ac:dyDescent="0.25">
      <c r="A15" t="s">
        <v>132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x14ac:dyDescent="0.25">
      <c r="A16" t="s">
        <v>133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x14ac:dyDescent="0.25">
      <c r="A17" t="s">
        <v>134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x14ac:dyDescent="0.25">
      <c r="A18" t="s">
        <v>127</v>
      </c>
      <c r="B18" s="43">
        <v>1</v>
      </c>
      <c r="C18" s="43">
        <v>0.9</v>
      </c>
      <c r="D18" s="43">
        <v>0.5</v>
      </c>
      <c r="E18" s="43">
        <v>3</v>
      </c>
    </row>
    <row r="19" spans="1:6" x14ac:dyDescent="0.25">
      <c r="A19" t="s">
        <v>151</v>
      </c>
    </row>
    <row r="20" spans="1:6" x14ac:dyDescent="0.25">
      <c r="A20" t="s">
        <v>158</v>
      </c>
    </row>
    <row r="21" spans="1:6" x14ac:dyDescent="0.25">
      <c r="A21" t="s">
        <v>152</v>
      </c>
    </row>
    <row r="22" spans="1:6" x14ac:dyDescent="0.25">
      <c r="A22" t="s">
        <v>143</v>
      </c>
    </row>
    <row r="23" spans="1:6" x14ac:dyDescent="0.25">
      <c r="A23" t="s">
        <v>153</v>
      </c>
    </row>
    <row r="24" spans="1:6" x14ac:dyDescent="0.25">
      <c r="A24" t="s">
        <v>156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9" sqref="A9"/>
    </sheetView>
  </sheetViews>
  <sheetFormatPr defaultColWidth="8.85546875" defaultRowHeight="15" x14ac:dyDescent="0.25"/>
  <sheetData>
    <row r="1" spans="1:3" x14ac:dyDescent="0.25">
      <c r="A1" s="38" t="s">
        <v>85</v>
      </c>
      <c r="B1" t="s">
        <v>102</v>
      </c>
      <c r="C1" t="s">
        <v>103</v>
      </c>
    </row>
    <row r="2" spans="1:3" x14ac:dyDescent="0.25">
      <c r="A2" s="40" t="s">
        <v>79</v>
      </c>
      <c r="B2" t="s">
        <v>104</v>
      </c>
      <c r="C2" t="s">
        <v>105</v>
      </c>
    </row>
    <row r="3" spans="1:3" x14ac:dyDescent="0.25">
      <c r="A3" s="40" t="s">
        <v>2</v>
      </c>
    </row>
    <row r="4" spans="1:3" x14ac:dyDescent="0.25">
      <c r="A4" s="41" t="s">
        <v>3</v>
      </c>
      <c r="B4">
        <v>0</v>
      </c>
      <c r="C4">
        <v>0</v>
      </c>
    </row>
    <row r="5" spans="1:3" x14ac:dyDescent="0.25">
      <c r="A5" t="s">
        <v>107</v>
      </c>
      <c r="B5">
        <v>0.01</v>
      </c>
      <c r="C5">
        <v>0</v>
      </c>
    </row>
    <row r="6" spans="1:3" x14ac:dyDescent="0.25">
      <c r="A6" t="s">
        <v>108</v>
      </c>
      <c r="B6">
        <v>0.01</v>
      </c>
      <c r="C6">
        <v>0</v>
      </c>
    </row>
    <row r="7" spans="1:3" x14ac:dyDescent="0.25">
      <c r="A7" t="s">
        <v>109</v>
      </c>
      <c r="B7">
        <v>0.01</v>
      </c>
      <c r="C7">
        <v>0</v>
      </c>
    </row>
    <row r="8" spans="1:3" x14ac:dyDescent="0.25">
      <c r="A8" t="s">
        <v>110</v>
      </c>
      <c r="B8">
        <v>0.01</v>
      </c>
      <c r="C8">
        <v>0</v>
      </c>
    </row>
    <row r="9" spans="1:3" x14ac:dyDescent="0.25">
      <c r="A9" t="s">
        <v>111</v>
      </c>
      <c r="B9">
        <v>0.01</v>
      </c>
      <c r="C9">
        <v>0</v>
      </c>
    </row>
    <row r="10" spans="1:3" x14ac:dyDescent="0.25">
      <c r="A10" t="s">
        <v>56</v>
      </c>
      <c r="B10">
        <v>0.01</v>
      </c>
      <c r="C10">
        <v>0</v>
      </c>
    </row>
    <row r="11" spans="1:3" x14ac:dyDescent="0.25">
      <c r="A11" t="s">
        <v>131</v>
      </c>
      <c r="B11">
        <f>B$6</f>
        <v>0.01</v>
      </c>
      <c r="C11">
        <f t="shared" ref="C11:C15" si="0">C$6</f>
        <v>0</v>
      </c>
    </row>
    <row r="12" spans="1:3" x14ac:dyDescent="0.25">
      <c r="A12" t="s">
        <v>132</v>
      </c>
      <c r="B12">
        <f t="shared" ref="B12:B15" si="1">B$6</f>
        <v>0.01</v>
      </c>
      <c r="C12">
        <f t="shared" si="0"/>
        <v>0</v>
      </c>
    </row>
    <row r="13" spans="1:3" x14ac:dyDescent="0.25">
      <c r="A13" t="s">
        <v>133</v>
      </c>
      <c r="B13">
        <f t="shared" si="1"/>
        <v>0.01</v>
      </c>
      <c r="C13">
        <f t="shared" si="0"/>
        <v>0</v>
      </c>
    </row>
    <row r="14" spans="1:3" x14ac:dyDescent="0.25">
      <c r="A14" t="s">
        <v>134</v>
      </c>
      <c r="B14">
        <f t="shared" si="1"/>
        <v>0.01</v>
      </c>
      <c r="C14">
        <f t="shared" si="0"/>
        <v>0</v>
      </c>
    </row>
    <row r="15" spans="1:3" x14ac:dyDescent="0.25">
      <c r="A15" t="s">
        <v>127</v>
      </c>
      <c r="B15">
        <f t="shared" si="1"/>
        <v>0.01</v>
      </c>
      <c r="C15">
        <f t="shared" si="0"/>
        <v>0</v>
      </c>
    </row>
    <row r="16" spans="1:3" x14ac:dyDescent="0.25">
      <c r="A16" t="s">
        <v>151</v>
      </c>
    </row>
    <row r="17" spans="1:1" x14ac:dyDescent="0.25">
      <c r="A17" t="s">
        <v>158</v>
      </c>
    </row>
    <row r="18" spans="1:1" x14ac:dyDescent="0.25">
      <c r="A18" t="s">
        <v>152</v>
      </c>
    </row>
    <row r="19" spans="1:1" x14ac:dyDescent="0.25">
      <c r="A19" t="s">
        <v>143</v>
      </c>
    </row>
    <row r="20" spans="1:1" x14ac:dyDescent="0.25">
      <c r="A20" t="s">
        <v>153</v>
      </c>
    </row>
    <row r="21" spans="1:1" x14ac:dyDescent="0.25">
      <c r="A21" t="s">
        <v>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9" sqref="D29"/>
    </sheetView>
  </sheetViews>
  <sheetFormatPr defaultColWidth="8.85546875" defaultRowHeight="15" x14ac:dyDescent="0.25"/>
  <cols>
    <col min="1" max="1" width="14.85546875" bestFit="1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56</v>
      </c>
      <c r="B5" s="45" t="s">
        <v>67</v>
      </c>
      <c r="C5" s="23" t="s">
        <v>23</v>
      </c>
      <c r="D5" s="23" t="s">
        <v>69</v>
      </c>
    </row>
    <row r="6" spans="1:4" x14ac:dyDescent="0.25">
      <c r="A6" t="s">
        <v>107</v>
      </c>
      <c r="B6" s="45" t="s">
        <v>67</v>
      </c>
      <c r="C6" s="23" t="s">
        <v>23</v>
      </c>
      <c r="D6" s="23" t="s">
        <v>69</v>
      </c>
    </row>
    <row r="7" spans="1:4" x14ac:dyDescent="0.25">
      <c r="A7" t="s">
        <v>108</v>
      </c>
      <c r="B7" s="45" t="s">
        <v>67</v>
      </c>
      <c r="C7" s="23" t="s">
        <v>23</v>
      </c>
      <c r="D7" s="23" t="s">
        <v>69</v>
      </c>
    </row>
    <row r="8" spans="1:4" x14ac:dyDescent="0.25">
      <c r="A8" t="s">
        <v>109</v>
      </c>
      <c r="B8" s="45" t="s">
        <v>67</v>
      </c>
      <c r="C8" s="23" t="s">
        <v>23</v>
      </c>
      <c r="D8" s="23" t="s">
        <v>69</v>
      </c>
    </row>
    <row r="9" spans="1:4" x14ac:dyDescent="0.25">
      <c r="A9" t="s">
        <v>110</v>
      </c>
      <c r="B9" s="45" t="s">
        <v>67</v>
      </c>
      <c r="C9" s="23" t="s">
        <v>23</v>
      </c>
      <c r="D9" s="23" t="s">
        <v>69</v>
      </c>
    </row>
    <row r="10" spans="1:4" x14ac:dyDescent="0.25">
      <c r="A10" t="s">
        <v>111</v>
      </c>
      <c r="B10" s="45" t="s">
        <v>67</v>
      </c>
      <c r="C10" s="23" t="s">
        <v>23</v>
      </c>
      <c r="D10" s="23" t="s">
        <v>69</v>
      </c>
    </row>
    <row r="11" spans="1:4" ht="30" x14ac:dyDescent="0.25">
      <c r="A11" t="s">
        <v>131</v>
      </c>
      <c r="B11" s="45" t="s">
        <v>115</v>
      </c>
      <c r="C11" s="23" t="s">
        <v>23</v>
      </c>
      <c r="D11" s="23" t="s">
        <v>69</v>
      </c>
    </row>
    <row r="12" spans="1:4" ht="30" x14ac:dyDescent="0.25">
      <c r="A12" t="s">
        <v>132</v>
      </c>
      <c r="B12" s="45" t="s">
        <v>115</v>
      </c>
      <c r="C12" s="23" t="s">
        <v>23</v>
      </c>
      <c r="D12" s="23" t="s">
        <v>69</v>
      </c>
    </row>
    <row r="13" spans="1:4" ht="30" x14ac:dyDescent="0.25">
      <c r="A13" t="s">
        <v>133</v>
      </c>
      <c r="B13" s="45" t="s">
        <v>115</v>
      </c>
      <c r="C13" s="23" t="s">
        <v>23</v>
      </c>
      <c r="D13" s="23" t="s">
        <v>69</v>
      </c>
    </row>
    <row r="14" spans="1:4" ht="30" x14ac:dyDescent="0.25">
      <c r="A14" t="s">
        <v>134</v>
      </c>
      <c r="B14" s="45" t="s">
        <v>115</v>
      </c>
      <c r="C14" s="23" t="s">
        <v>23</v>
      </c>
      <c r="D14" s="23" t="s">
        <v>69</v>
      </c>
    </row>
    <row r="15" spans="1:4" x14ac:dyDescent="0.25">
      <c r="A15" t="s">
        <v>151</v>
      </c>
      <c r="B15" s="45" t="s">
        <v>67</v>
      </c>
      <c r="C15" s="23" t="s">
        <v>23</v>
      </c>
      <c r="D15" s="23" t="s">
        <v>69</v>
      </c>
    </row>
    <row r="16" spans="1:4" x14ac:dyDescent="0.25">
      <c r="A16" t="s">
        <v>158</v>
      </c>
      <c r="B16" s="45" t="s">
        <v>67</v>
      </c>
      <c r="C16" s="23" t="s">
        <v>23</v>
      </c>
      <c r="D16" s="23" t="s">
        <v>69</v>
      </c>
    </row>
    <row r="17" spans="1:4" x14ac:dyDescent="0.25">
      <c r="A17" t="s">
        <v>152</v>
      </c>
      <c r="B17" s="45" t="s">
        <v>67</v>
      </c>
      <c r="C17" s="23" t="s">
        <v>23</v>
      </c>
      <c r="D17" s="23" t="s">
        <v>69</v>
      </c>
    </row>
    <row r="18" spans="1:4" x14ac:dyDescent="0.25">
      <c r="A18" t="s">
        <v>143</v>
      </c>
      <c r="B18" s="45" t="s">
        <v>67</v>
      </c>
      <c r="C18" s="23" t="s">
        <v>23</v>
      </c>
      <c r="D18" s="23" t="s">
        <v>69</v>
      </c>
    </row>
    <row r="19" spans="1:4" x14ac:dyDescent="0.25">
      <c r="A19" t="s">
        <v>153</v>
      </c>
      <c r="B19" s="45" t="s">
        <v>67</v>
      </c>
      <c r="C19" s="23" t="s">
        <v>23</v>
      </c>
      <c r="D19" s="23" t="s">
        <v>69</v>
      </c>
    </row>
    <row r="20" spans="1:4" x14ac:dyDescent="0.25">
      <c r="A20" t="s">
        <v>156</v>
      </c>
      <c r="B20" s="45" t="s">
        <v>67</v>
      </c>
      <c r="C20" s="23" t="s">
        <v>23</v>
      </c>
      <c r="D20" s="23" t="s">
        <v>69</v>
      </c>
    </row>
    <row r="21" spans="1:4" x14ac:dyDescent="0.25">
      <c r="A21" t="s">
        <v>169</v>
      </c>
      <c r="B21" s="45" t="s">
        <v>67</v>
      </c>
      <c r="C21" s="23" t="s">
        <v>23</v>
      </c>
      <c r="D21" s="23" t="s">
        <v>69</v>
      </c>
    </row>
    <row r="22" spans="1:4" x14ac:dyDescent="0.25">
      <c r="A22" t="s">
        <v>170</v>
      </c>
      <c r="B22" s="45" t="s">
        <v>67</v>
      </c>
      <c r="C22" s="23" t="s">
        <v>23</v>
      </c>
      <c r="D22" s="23" t="s">
        <v>69</v>
      </c>
    </row>
    <row r="23" spans="1:4" x14ac:dyDescent="0.25">
      <c r="A23" t="s">
        <v>166</v>
      </c>
      <c r="B23" s="45" t="s">
        <v>67</v>
      </c>
      <c r="C23" s="23" t="s">
        <v>23</v>
      </c>
      <c r="D23" s="23" t="s">
        <v>69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8" sqref="A8:A10"/>
    </sheetView>
  </sheetViews>
  <sheetFormatPr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0" x14ac:dyDescent="0.25">
      <c r="A1" s="1" t="s">
        <v>0</v>
      </c>
      <c r="B1" t="s">
        <v>139</v>
      </c>
      <c r="C1" t="s">
        <v>9</v>
      </c>
      <c r="D1" t="s">
        <v>140</v>
      </c>
      <c r="E1" t="s">
        <v>61</v>
      </c>
      <c r="F1" t="s">
        <v>141</v>
      </c>
      <c r="G1" t="s">
        <v>142</v>
      </c>
      <c r="H1" t="s">
        <v>148</v>
      </c>
      <c r="I1" t="s">
        <v>162</v>
      </c>
      <c r="J1" t="s">
        <v>163</v>
      </c>
    </row>
    <row r="2" spans="1:10" x14ac:dyDescent="0.25">
      <c r="A2" s="2" t="s">
        <v>1</v>
      </c>
      <c r="B2" t="s">
        <v>146</v>
      </c>
      <c r="C2" t="s">
        <v>147</v>
      </c>
      <c r="F2" t="s">
        <v>54</v>
      </c>
      <c r="H2" t="s">
        <v>149</v>
      </c>
      <c r="J2" t="s">
        <v>164</v>
      </c>
    </row>
    <row r="3" spans="1:10" x14ac:dyDescent="0.25">
      <c r="A3" s="2" t="s">
        <v>2</v>
      </c>
      <c r="H3" t="s">
        <v>150</v>
      </c>
    </row>
    <row r="4" spans="1:10" x14ac:dyDescent="0.25">
      <c r="A4" t="s">
        <v>3</v>
      </c>
      <c r="B4">
        <v>0.05</v>
      </c>
      <c r="C4">
        <v>1.5</v>
      </c>
      <c r="D4">
        <v>0.1</v>
      </c>
      <c r="E4" t="s">
        <v>112</v>
      </c>
      <c r="F4">
        <v>0.3</v>
      </c>
      <c r="G4" t="s">
        <v>23</v>
      </c>
      <c r="H4">
        <v>0.01</v>
      </c>
    </row>
    <row r="5" spans="1:10" x14ac:dyDescent="0.25">
      <c r="A5" t="s">
        <v>56</v>
      </c>
      <c r="B5">
        <v>0.66700000000000004</v>
      </c>
      <c r="C5">
        <v>0</v>
      </c>
      <c r="D5">
        <v>0</v>
      </c>
      <c r="E5" t="s">
        <v>112</v>
      </c>
      <c r="F5">
        <v>0</v>
      </c>
      <c r="G5" t="s">
        <v>23</v>
      </c>
      <c r="H5">
        <v>0</v>
      </c>
    </row>
    <row r="6" spans="1:10" x14ac:dyDescent="0.25">
      <c r="A6" t="s">
        <v>144</v>
      </c>
      <c r="B6">
        <v>0.45500000000000002</v>
      </c>
      <c r="C6">
        <v>0</v>
      </c>
      <c r="D6">
        <v>0</v>
      </c>
      <c r="E6" t="s">
        <v>112</v>
      </c>
      <c r="F6">
        <v>0</v>
      </c>
      <c r="G6" t="s">
        <v>23</v>
      </c>
      <c r="H6">
        <v>0</v>
      </c>
    </row>
    <row r="7" spans="1:10" x14ac:dyDescent="0.25">
      <c r="A7" t="s">
        <v>145</v>
      </c>
      <c r="B7">
        <v>0.66700000000000004</v>
      </c>
      <c r="C7">
        <v>0</v>
      </c>
      <c r="D7">
        <v>0</v>
      </c>
      <c r="E7" t="s">
        <v>112</v>
      </c>
      <c r="F7">
        <v>0</v>
      </c>
      <c r="G7" t="s">
        <v>23</v>
      </c>
      <c r="H7">
        <v>0</v>
      </c>
    </row>
    <row r="8" spans="1:10" x14ac:dyDescent="0.25">
      <c r="A8" t="s">
        <v>169</v>
      </c>
      <c r="B8">
        <v>0</v>
      </c>
      <c r="C8">
        <v>1.44</v>
      </c>
      <c r="D8">
        <v>0</v>
      </c>
      <c r="E8" t="s">
        <v>112</v>
      </c>
      <c r="F8">
        <v>0</v>
      </c>
      <c r="G8" t="s">
        <v>23</v>
      </c>
      <c r="H8">
        <v>0</v>
      </c>
      <c r="I8">
        <v>0</v>
      </c>
    </row>
    <row r="9" spans="1:10" x14ac:dyDescent="0.25">
      <c r="A9" t="s">
        <v>170</v>
      </c>
      <c r="B9">
        <v>0</v>
      </c>
      <c r="C9">
        <v>1.454</v>
      </c>
      <c r="D9">
        <v>3.0000000000000001E-3</v>
      </c>
      <c r="E9" t="s">
        <v>112</v>
      </c>
      <c r="F9">
        <v>0</v>
      </c>
      <c r="G9" t="s">
        <v>23</v>
      </c>
      <c r="H9">
        <v>0</v>
      </c>
      <c r="I9">
        <v>2.5000000000000001E-2</v>
      </c>
    </row>
    <row r="10" spans="1:10" x14ac:dyDescent="0.25">
      <c r="A10" t="s">
        <v>166</v>
      </c>
      <c r="B10">
        <v>0</v>
      </c>
      <c r="C10">
        <v>1.98</v>
      </c>
      <c r="D10">
        <v>0.01</v>
      </c>
      <c r="E10" t="s">
        <v>112</v>
      </c>
      <c r="F10">
        <v>0</v>
      </c>
      <c r="G10" t="s">
        <v>23</v>
      </c>
      <c r="H10">
        <v>0</v>
      </c>
      <c r="I10">
        <v>0.04</v>
      </c>
    </row>
    <row r="11" spans="1:10" x14ac:dyDescent="0.25">
      <c r="A11" t="s">
        <v>143</v>
      </c>
      <c r="B11">
        <v>0</v>
      </c>
      <c r="C11">
        <v>1.454</v>
      </c>
      <c r="D11">
        <v>3.0000000000000001E-3</v>
      </c>
      <c r="E11" t="s">
        <v>137</v>
      </c>
      <c r="F11">
        <v>0</v>
      </c>
      <c r="G11" t="s">
        <v>23</v>
      </c>
      <c r="H11">
        <v>0</v>
      </c>
      <c r="I11">
        <v>2.5000000000000001E-2</v>
      </c>
    </row>
    <row r="12" spans="1:10" x14ac:dyDescent="0.25">
      <c r="A12" t="s">
        <v>153</v>
      </c>
      <c r="B12">
        <v>0</v>
      </c>
      <c r="C12">
        <v>1.33</v>
      </c>
      <c r="D12">
        <v>0</v>
      </c>
      <c r="E12" t="s">
        <v>120</v>
      </c>
      <c r="F12">
        <v>0</v>
      </c>
      <c r="G12" t="s">
        <v>23</v>
      </c>
      <c r="H12">
        <v>0</v>
      </c>
    </row>
    <row r="13" spans="1:10" x14ac:dyDescent="0.25">
      <c r="A13" t="s">
        <v>156</v>
      </c>
      <c r="B13">
        <v>0</v>
      </c>
      <c r="C13">
        <v>1.71</v>
      </c>
      <c r="D13">
        <f>0.18/47.1</f>
        <v>3.8216560509554136E-3</v>
      </c>
      <c r="E13" t="s">
        <v>120</v>
      </c>
      <c r="F13">
        <v>0</v>
      </c>
      <c r="G13" t="s">
        <v>23</v>
      </c>
      <c r="H13">
        <v>0</v>
      </c>
    </row>
    <row r="14" spans="1:10" x14ac:dyDescent="0.25">
      <c r="A14" t="s">
        <v>165</v>
      </c>
      <c r="B14">
        <v>0</v>
      </c>
      <c r="C14">
        <v>1.65</v>
      </c>
      <c r="D14">
        <f>0.51/47.1</f>
        <v>1.0828025477707006E-2</v>
      </c>
      <c r="E14" t="s">
        <v>120</v>
      </c>
      <c r="F14">
        <v>0</v>
      </c>
      <c r="G14" t="s">
        <v>23</v>
      </c>
      <c r="H14">
        <v>0</v>
      </c>
    </row>
    <row r="15" spans="1:10" x14ac:dyDescent="0.25">
      <c r="A15" t="s">
        <v>167</v>
      </c>
      <c r="B15">
        <v>0</v>
      </c>
      <c r="C15">
        <v>1.44</v>
      </c>
      <c r="D15">
        <v>0</v>
      </c>
      <c r="E15" t="s">
        <v>120</v>
      </c>
      <c r="F15">
        <v>0</v>
      </c>
      <c r="G15" t="s">
        <v>23</v>
      </c>
      <c r="H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28</v>
      </c>
      <c r="B1" s="5"/>
      <c r="C1" s="5"/>
    </row>
    <row r="2" spans="1:3" x14ac:dyDescent="0.25">
      <c r="A2" s="4" t="s">
        <v>29</v>
      </c>
      <c r="B2" s="5"/>
      <c r="C2" s="5"/>
    </row>
    <row r="3" spans="1:3" x14ac:dyDescent="0.25">
      <c r="A3" s="6"/>
      <c r="B3" s="7" t="s">
        <v>30</v>
      </c>
      <c r="C3" s="8" t="s">
        <v>31</v>
      </c>
    </row>
    <row r="4" spans="1:3" x14ac:dyDescent="0.25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41</v>
      </c>
      <c r="B15" s="15"/>
      <c r="C15" s="15"/>
    </row>
    <row r="16" spans="1:3" x14ac:dyDescent="0.25">
      <c r="A16" s="29"/>
      <c r="B16" s="16" t="s">
        <v>42</v>
      </c>
      <c r="C16" s="16"/>
    </row>
    <row r="17" spans="1:3" x14ac:dyDescent="0.25">
      <c r="A17" s="29" t="s">
        <v>43</v>
      </c>
      <c r="B17" s="32">
        <v>3.6</v>
      </c>
      <c r="C17" s="10"/>
    </row>
    <row r="18" spans="1:3" x14ac:dyDescent="0.25">
      <c r="A18" s="29" t="s">
        <v>44</v>
      </c>
      <c r="B18" s="32">
        <f>B17/1000</f>
        <v>3.5999999999999999E-3</v>
      </c>
      <c r="C18" s="10"/>
    </row>
    <row r="19" spans="1:3" x14ac:dyDescent="0.25">
      <c r="A19" s="29" t="s">
        <v>45</v>
      </c>
      <c r="B19" s="32">
        <f>1/0.022414</f>
        <v>44.614972784866602</v>
      </c>
      <c r="C19" s="10"/>
    </row>
    <row r="20" spans="1:3" x14ac:dyDescent="0.25">
      <c r="A20" s="28" t="s">
        <v>78</v>
      </c>
      <c r="B20" s="30">
        <f>1.163</f>
        <v>1.163</v>
      </c>
    </row>
    <row r="21" spans="1:3" x14ac:dyDescent="0.25">
      <c r="A21" s="28" t="s">
        <v>80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33" sqref="B33"/>
    </sheetView>
  </sheetViews>
  <sheetFormatPr defaultColWidth="8.85546875" defaultRowHeight="15" x14ac:dyDescent="0.25"/>
  <cols>
    <col min="2" max="2" width="8.42578125" bestFit="1" customWidth="1"/>
  </cols>
  <sheetData>
    <row r="1" spans="1:4" x14ac:dyDescent="0.25">
      <c r="A1" s="1" t="s">
        <v>0</v>
      </c>
      <c r="B1" t="s">
        <v>8</v>
      </c>
      <c r="C1" t="s">
        <v>9</v>
      </c>
      <c r="D1" t="s">
        <v>81</v>
      </c>
    </row>
    <row r="2" spans="1:4" x14ac:dyDescent="0.25">
      <c r="A2" s="2" t="s">
        <v>1</v>
      </c>
      <c r="B2" t="s">
        <v>65</v>
      </c>
      <c r="C2" t="s">
        <v>66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56</v>
      </c>
      <c r="B5">
        <v>0.1</v>
      </c>
      <c r="C5">
        <v>0.1</v>
      </c>
    </row>
    <row r="6" spans="1:4" x14ac:dyDescent="0.25">
      <c r="A6" t="s">
        <v>107</v>
      </c>
      <c r="B6" s="23">
        <v>7.0000000000000007E-2</v>
      </c>
      <c r="C6" s="23">
        <v>0.108</v>
      </c>
    </row>
    <row r="7" spans="1:4" x14ac:dyDescent="0.25">
      <c r="A7" t="s">
        <v>108</v>
      </c>
      <c r="B7">
        <v>7.0000000000000007E-2</v>
      </c>
      <c r="C7">
        <v>0.108</v>
      </c>
    </row>
    <row r="8" spans="1:4" x14ac:dyDescent="0.25">
      <c r="A8" t="s">
        <v>109</v>
      </c>
      <c r="B8" s="23">
        <v>7.0000000000000007E-2</v>
      </c>
      <c r="C8" s="23">
        <v>0.108</v>
      </c>
    </row>
    <row r="9" spans="1:4" x14ac:dyDescent="0.25">
      <c r="A9" t="s">
        <v>110</v>
      </c>
      <c r="B9" s="23">
        <v>7.0000000000000007E-2</v>
      </c>
      <c r="C9">
        <f>17*Ref!B18</f>
        <v>6.1199999999999997E-2</v>
      </c>
      <c r="D9" s="35" t="s">
        <v>82</v>
      </c>
    </row>
    <row r="10" spans="1:4" x14ac:dyDescent="0.25">
      <c r="A10" t="s">
        <v>111</v>
      </c>
      <c r="B10" s="23">
        <v>7.0000000000000007E-2</v>
      </c>
      <c r="C10" s="23">
        <v>0.108</v>
      </c>
    </row>
    <row r="11" spans="1:4" x14ac:dyDescent="0.25">
      <c r="A11" t="s">
        <v>126</v>
      </c>
      <c r="B11">
        <f>AVERAGE(B6:B10)</f>
        <v>7.0000000000000007E-2</v>
      </c>
      <c r="C11">
        <f>AVERAGE(C6:C10)</f>
        <v>9.8639999999999992E-2</v>
      </c>
    </row>
    <row r="12" spans="1:4" x14ac:dyDescent="0.25">
      <c r="A12" t="s">
        <v>131</v>
      </c>
      <c r="B12">
        <f>B$7</f>
        <v>7.0000000000000007E-2</v>
      </c>
      <c r="C12">
        <f t="shared" ref="C12:C15" si="0">C$7</f>
        <v>0.108</v>
      </c>
    </row>
    <row r="13" spans="1:4" x14ac:dyDescent="0.25">
      <c r="A13" t="s">
        <v>132</v>
      </c>
      <c r="B13">
        <f t="shared" ref="B13:B15" si="1">B$7</f>
        <v>7.0000000000000007E-2</v>
      </c>
      <c r="C13">
        <f t="shared" si="0"/>
        <v>0.108</v>
      </c>
    </row>
    <row r="14" spans="1:4" x14ac:dyDescent="0.25">
      <c r="A14" t="s">
        <v>133</v>
      </c>
      <c r="B14">
        <f t="shared" si="1"/>
        <v>7.0000000000000007E-2</v>
      </c>
      <c r="C14">
        <f t="shared" si="0"/>
        <v>0.108</v>
      </c>
    </row>
    <row r="15" spans="1:4" x14ac:dyDescent="0.25">
      <c r="A15" t="s">
        <v>134</v>
      </c>
      <c r="B15">
        <f t="shared" si="1"/>
        <v>7.0000000000000007E-2</v>
      </c>
      <c r="C15">
        <f t="shared" si="0"/>
        <v>0.108</v>
      </c>
    </row>
    <row r="16" spans="1:4" x14ac:dyDescent="0.25">
      <c r="A16" t="s">
        <v>136</v>
      </c>
      <c r="B16">
        <f>0.07</f>
        <v>7.0000000000000007E-2</v>
      </c>
      <c r="C16">
        <v>0.108</v>
      </c>
    </row>
    <row r="17" spans="1:3" x14ac:dyDescent="0.25">
      <c r="A17" t="s">
        <v>127</v>
      </c>
      <c r="B17">
        <f>0.07</f>
        <v>7.0000000000000007E-2</v>
      </c>
      <c r="C17">
        <v>0.108</v>
      </c>
    </row>
    <row r="18" spans="1:3" x14ac:dyDescent="0.25">
      <c r="A18" t="s">
        <v>151</v>
      </c>
      <c r="B18">
        <v>7.0000000000000007E-2</v>
      </c>
      <c r="C18">
        <v>0.108</v>
      </c>
    </row>
    <row r="19" spans="1:3" x14ac:dyDescent="0.25">
      <c r="A19" t="s">
        <v>169</v>
      </c>
      <c r="B19">
        <v>7.0000000000000007E-2</v>
      </c>
      <c r="C19">
        <v>0.108</v>
      </c>
    </row>
    <row r="20" spans="1:3" x14ac:dyDescent="0.25">
      <c r="A20" t="s">
        <v>170</v>
      </c>
      <c r="B20">
        <v>7.0000000000000007E-2</v>
      </c>
      <c r="C20">
        <v>0.108</v>
      </c>
    </row>
    <row r="21" spans="1:3" x14ac:dyDescent="0.25">
      <c r="A21" t="s">
        <v>166</v>
      </c>
      <c r="B21">
        <v>7.0000000000000007E-2</v>
      </c>
      <c r="C21">
        <v>0.108</v>
      </c>
    </row>
    <row r="22" spans="1:3" x14ac:dyDescent="0.25">
      <c r="A22" t="s">
        <v>158</v>
      </c>
      <c r="B22">
        <v>7.0000000000000007E-2</v>
      </c>
      <c r="C22">
        <v>0.108</v>
      </c>
    </row>
  </sheetData>
  <hyperlinks>
    <hyperlink ref="D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C26" sqref="C26"/>
    </sheetView>
  </sheetViews>
  <sheetFormatPr defaultColWidth="8.85546875" defaultRowHeight="15" x14ac:dyDescent="0.25"/>
  <cols>
    <col min="1" max="1" width="20.42578125" customWidth="1"/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8" x14ac:dyDescent="0.25">
      <c r="A2" s="2" t="s">
        <v>1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x14ac:dyDescent="0.25">
      <c r="A5" t="s">
        <v>56</v>
      </c>
      <c r="B5">
        <v>0.01</v>
      </c>
      <c r="C5" t="s">
        <v>112</v>
      </c>
      <c r="D5">
        <v>0</v>
      </c>
      <c r="E5" t="s">
        <v>23</v>
      </c>
      <c r="F5">
        <v>0</v>
      </c>
      <c r="G5">
        <v>0.1</v>
      </c>
    </row>
    <row r="6" spans="1:8" x14ac:dyDescent="0.25">
      <c r="A6" t="s">
        <v>107</v>
      </c>
      <c r="B6">
        <v>0</v>
      </c>
      <c r="C6" t="s">
        <v>113</v>
      </c>
      <c r="D6">
        <v>0</v>
      </c>
      <c r="E6" t="s">
        <v>23</v>
      </c>
      <c r="F6">
        <v>0</v>
      </c>
      <c r="G6">
        <v>0</v>
      </c>
    </row>
    <row r="7" spans="1:8" x14ac:dyDescent="0.25">
      <c r="A7" t="s">
        <v>108</v>
      </c>
      <c r="B7">
        <f>0.6/28.2</f>
        <v>2.1276595744680851E-2</v>
      </c>
      <c r="C7" t="s">
        <v>112</v>
      </c>
      <c r="D7">
        <v>0</v>
      </c>
      <c r="E7" t="s">
        <v>23</v>
      </c>
      <c r="F7">
        <f>0.018*0.56</f>
        <v>1.008E-2</v>
      </c>
      <c r="G7">
        <v>75</v>
      </c>
    </row>
    <row r="8" spans="1:8" x14ac:dyDescent="0.25">
      <c r="A8" t="s">
        <v>109</v>
      </c>
      <c r="B8">
        <v>0.01</v>
      </c>
      <c r="C8" t="s">
        <v>116</v>
      </c>
      <c r="D8">
        <v>0</v>
      </c>
      <c r="E8" t="s">
        <v>23</v>
      </c>
      <c r="F8">
        <v>0.3</v>
      </c>
      <c r="G8">
        <v>0.14000000000000001</v>
      </c>
    </row>
    <row r="9" spans="1:8" x14ac:dyDescent="0.25">
      <c r="A9" t="s">
        <v>110</v>
      </c>
      <c r="B9" s="23">
        <v>0.01</v>
      </c>
      <c r="C9" t="s">
        <v>112</v>
      </c>
      <c r="D9">
        <v>0</v>
      </c>
      <c r="E9" t="s">
        <v>23</v>
      </c>
      <c r="F9" s="23">
        <v>0</v>
      </c>
      <c r="G9" s="23">
        <v>0</v>
      </c>
    </row>
    <row r="10" spans="1:8" x14ac:dyDescent="0.25">
      <c r="A10" t="s">
        <v>111</v>
      </c>
      <c r="B10" s="34">
        <f>0.37/30.23</f>
        <v>1.2239497188223619E-2</v>
      </c>
      <c r="C10" t="s">
        <v>119</v>
      </c>
      <c r="D10">
        <v>0</v>
      </c>
      <c r="E10" t="s">
        <v>23</v>
      </c>
      <c r="F10" s="23">
        <v>0</v>
      </c>
      <c r="G10" s="34">
        <v>0.1</v>
      </c>
      <c r="H10" t="s">
        <v>155</v>
      </c>
    </row>
    <row r="11" spans="1:8" x14ac:dyDescent="0.25">
      <c r="A11" t="s">
        <v>126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15.047999999999998</v>
      </c>
    </row>
    <row r="12" spans="1:8" x14ac:dyDescent="0.25">
      <c r="A12" t="s">
        <v>131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</v>
      </c>
      <c r="F12">
        <f t="shared" si="0"/>
        <v>1.008E-2</v>
      </c>
      <c r="G12">
        <f t="shared" si="0"/>
        <v>75</v>
      </c>
    </row>
    <row r="13" spans="1:8" x14ac:dyDescent="0.25">
      <c r="A13" t="s">
        <v>132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</v>
      </c>
      <c r="F13">
        <f t="shared" si="2"/>
        <v>1.008E-2</v>
      </c>
      <c r="G13">
        <f t="shared" si="2"/>
        <v>75</v>
      </c>
    </row>
    <row r="14" spans="1:8" x14ac:dyDescent="0.25">
      <c r="A14" t="s">
        <v>133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</v>
      </c>
      <c r="F14">
        <f t="shared" si="2"/>
        <v>1.008E-2</v>
      </c>
      <c r="G14">
        <f t="shared" si="2"/>
        <v>75</v>
      </c>
    </row>
    <row r="15" spans="1:8" x14ac:dyDescent="0.25">
      <c r="A15" t="s">
        <v>134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</v>
      </c>
      <c r="F15">
        <f t="shared" si="2"/>
        <v>1.008E-2</v>
      </c>
      <c r="G15">
        <f t="shared" si="2"/>
        <v>75</v>
      </c>
    </row>
    <row r="16" spans="1:8" x14ac:dyDescent="0.25">
      <c r="A16" t="s">
        <v>136</v>
      </c>
      <c r="B16">
        <v>0</v>
      </c>
      <c r="C16" t="s">
        <v>137</v>
      </c>
      <c r="D16">
        <v>0</v>
      </c>
      <c r="E16" t="s">
        <v>23</v>
      </c>
      <c r="F16">
        <v>0</v>
      </c>
      <c r="G16">
        <v>0</v>
      </c>
    </row>
    <row r="17" spans="1:7" x14ac:dyDescent="0.25">
      <c r="A17" t="s">
        <v>127</v>
      </c>
      <c r="B17">
        <v>0.01</v>
      </c>
      <c r="C17" t="s">
        <v>112</v>
      </c>
      <c r="D17">
        <v>0</v>
      </c>
      <c r="E17" t="s">
        <v>23</v>
      </c>
      <c r="F17">
        <v>0</v>
      </c>
      <c r="G17">
        <v>0</v>
      </c>
    </row>
    <row r="18" spans="1:7" x14ac:dyDescent="0.25">
      <c r="A18" t="s">
        <v>158</v>
      </c>
      <c r="B18">
        <f>0.6/28.2</f>
        <v>2.1276595744680851E-2</v>
      </c>
      <c r="C18" t="s">
        <v>112</v>
      </c>
      <c r="D18">
        <v>0</v>
      </c>
      <c r="E18" t="s">
        <v>23</v>
      </c>
      <c r="F18">
        <f>0.018*0.56</f>
        <v>1.008E-2</v>
      </c>
      <c r="G18">
        <v>75</v>
      </c>
    </row>
    <row r="19" spans="1:7" x14ac:dyDescent="0.25">
      <c r="A19" t="s">
        <v>151</v>
      </c>
      <c r="B19">
        <f>0.6/28.2</f>
        <v>2.1276595744680851E-2</v>
      </c>
      <c r="C19" t="s">
        <v>112</v>
      </c>
      <c r="D19">
        <v>0</v>
      </c>
      <c r="E19" t="s">
        <v>23</v>
      </c>
      <c r="F19">
        <f>0.018*0.56</f>
        <v>1.008E-2</v>
      </c>
      <c r="G19">
        <v>75</v>
      </c>
    </row>
    <row r="20" spans="1:7" x14ac:dyDescent="0.25">
      <c r="A20" t="s">
        <v>152</v>
      </c>
      <c r="B20">
        <f>0.5/28.2</f>
        <v>1.7730496453900711E-2</v>
      </c>
      <c r="C20" t="s">
        <v>112</v>
      </c>
      <c r="D20">
        <v>0</v>
      </c>
      <c r="E20" t="s">
        <v>23</v>
      </c>
      <c r="F20">
        <f>0.018*0.56</f>
        <v>1.008E-2</v>
      </c>
      <c r="G20">
        <v>75</v>
      </c>
    </row>
    <row r="21" spans="1:7" x14ac:dyDescent="0.25">
      <c r="A21" t="s">
        <v>143</v>
      </c>
    </row>
    <row r="22" spans="1:7" x14ac:dyDescent="0.25">
      <c r="A22" t="s">
        <v>153</v>
      </c>
    </row>
    <row r="23" spans="1:7" x14ac:dyDescent="0.25">
      <c r="A23" t="s">
        <v>156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2" max="2" width="21.42578125" bestFit="1" customWidth="1"/>
    <col min="3" max="3" width="9" bestFit="1" customWidth="1"/>
    <col min="4" max="4" width="17.85546875" bestFit="1" customWidth="1"/>
    <col min="5" max="5" width="11.85546875" bestFit="1" customWidth="1"/>
    <col min="6" max="6" width="12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x14ac:dyDescent="0.25">
      <c r="A5" t="s">
        <v>56</v>
      </c>
      <c r="B5">
        <v>0.04</v>
      </c>
      <c r="C5" t="s">
        <v>112</v>
      </c>
      <c r="D5">
        <v>0</v>
      </c>
      <c r="E5" t="s">
        <v>23</v>
      </c>
      <c r="F5">
        <v>0.1</v>
      </c>
      <c r="G5">
        <v>0.14000000000000001</v>
      </c>
    </row>
    <row r="6" spans="1:8" x14ac:dyDescent="0.25">
      <c r="A6" t="s">
        <v>107</v>
      </c>
      <c r="B6">
        <v>5.1040000000000002E-2</v>
      </c>
      <c r="C6" t="s">
        <v>113</v>
      </c>
      <c r="D6">
        <v>0</v>
      </c>
      <c r="E6" t="s">
        <v>23</v>
      </c>
      <c r="F6" s="36">
        <f>0.1407*0.56</f>
        <v>7.8792000000000001E-2</v>
      </c>
      <c r="G6">
        <f>4.93*Ref!B18</f>
        <v>1.7748E-2</v>
      </c>
    </row>
    <row r="7" spans="1:8" x14ac:dyDescent="0.25">
      <c r="A7" t="s">
        <v>108</v>
      </c>
      <c r="B7">
        <v>0.05</v>
      </c>
      <c r="C7" t="s">
        <v>112</v>
      </c>
      <c r="D7">
        <v>0</v>
      </c>
      <c r="E7" t="s">
        <v>23</v>
      </c>
      <c r="F7">
        <v>9.4E-2</v>
      </c>
      <c r="G7">
        <v>0.1152</v>
      </c>
    </row>
    <row r="8" spans="1:8" x14ac:dyDescent="0.25">
      <c r="A8" t="s">
        <v>109</v>
      </c>
      <c r="B8">
        <v>0.04</v>
      </c>
      <c r="C8" t="s">
        <v>116</v>
      </c>
      <c r="D8">
        <v>0</v>
      </c>
      <c r="E8" t="s">
        <v>23</v>
      </c>
      <c r="F8" s="23">
        <f>0.15*0.56</f>
        <v>8.4000000000000005E-2</v>
      </c>
      <c r="G8">
        <v>0.14000000000000001</v>
      </c>
    </row>
    <row r="9" spans="1:8" x14ac:dyDescent="0.25">
      <c r="A9" t="s">
        <v>110</v>
      </c>
      <c r="B9" s="23">
        <v>0.05</v>
      </c>
      <c r="C9" t="s">
        <v>112</v>
      </c>
      <c r="D9">
        <v>0</v>
      </c>
      <c r="E9" t="s">
        <v>23</v>
      </c>
      <c r="F9" s="33">
        <v>8.4699999999999998E-2</v>
      </c>
      <c r="G9" s="23">
        <v>0.1</v>
      </c>
    </row>
    <row r="10" spans="1:8" x14ac:dyDescent="0.25">
      <c r="A10" t="s">
        <v>111</v>
      </c>
      <c r="B10" s="52">
        <f>1.44/30.23</f>
        <v>4.7634799867681106E-2</v>
      </c>
      <c r="C10" t="s">
        <v>119</v>
      </c>
      <c r="D10" s="33">
        <v>0</v>
      </c>
      <c r="E10" s="33" t="s">
        <v>23</v>
      </c>
      <c r="F10" s="23">
        <f>0.15*0.56</f>
        <v>8.4000000000000005E-2</v>
      </c>
      <c r="G10" s="34">
        <f>0.1</f>
        <v>0.1</v>
      </c>
      <c r="H10" t="s">
        <v>154</v>
      </c>
    </row>
    <row r="11" spans="1:8" x14ac:dyDescent="0.25">
      <c r="A11" t="s">
        <v>127</v>
      </c>
      <c r="B11">
        <f>B9</f>
        <v>0.05</v>
      </c>
      <c r="C11" t="s">
        <v>112</v>
      </c>
      <c r="D11">
        <v>0</v>
      </c>
      <c r="E11" t="s">
        <v>23</v>
      </c>
      <c r="F11" s="23">
        <f>0.15*0.56</f>
        <v>8.4000000000000005E-2</v>
      </c>
      <c r="G11" s="23">
        <v>0.1</v>
      </c>
    </row>
    <row r="12" spans="1:8" x14ac:dyDescent="0.25">
      <c r="A12" t="s">
        <v>126</v>
      </c>
      <c r="B12" s="48">
        <f>AVERAGE(B6:B11)</f>
        <v>4.8112466644613515E-2</v>
      </c>
      <c r="C12" s="48"/>
      <c r="D12" s="48">
        <f>AVERAGE(D6:D11)</f>
        <v>0</v>
      </c>
      <c r="E12" s="48"/>
      <c r="F12" s="48">
        <f>AVERAGE(F6:F11)</f>
        <v>8.4915333333333343E-2</v>
      </c>
      <c r="G12" s="48">
        <f>AVERAGE(G6:G11)</f>
        <v>9.5491333333333331E-2</v>
      </c>
    </row>
    <row r="13" spans="1:8" x14ac:dyDescent="0.25">
      <c r="A13" t="s">
        <v>131</v>
      </c>
      <c r="B13">
        <f>B$7</f>
        <v>0.05</v>
      </c>
      <c r="C13" t="str">
        <f t="shared" ref="C13:C16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0.1152</v>
      </c>
    </row>
    <row r="14" spans="1:8" x14ac:dyDescent="0.25">
      <c r="A14" t="s">
        <v>132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0.1152</v>
      </c>
    </row>
    <row r="15" spans="1:8" x14ac:dyDescent="0.25">
      <c r="A15" t="s">
        <v>133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0.1152</v>
      </c>
    </row>
    <row r="16" spans="1:8" x14ac:dyDescent="0.25">
      <c r="A16" t="s">
        <v>134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0.1152</v>
      </c>
    </row>
    <row r="17" spans="1:8" x14ac:dyDescent="0.25">
      <c r="A17" s="51" t="s">
        <v>136</v>
      </c>
      <c r="B17">
        <v>0.05</v>
      </c>
      <c r="C17" t="s">
        <v>137</v>
      </c>
      <c r="D17">
        <v>0</v>
      </c>
      <c r="E17" t="s">
        <v>23</v>
      </c>
      <c r="F17">
        <v>9.4E-2</v>
      </c>
      <c r="G17">
        <v>0.1152</v>
      </c>
    </row>
    <row r="18" spans="1:8" x14ac:dyDescent="0.25">
      <c r="A18" t="s">
        <v>151</v>
      </c>
      <c r="B18" s="49">
        <f>B20</f>
        <v>4.4468085106382983E-2</v>
      </c>
      <c r="C18" t="s">
        <v>112</v>
      </c>
      <c r="D18">
        <v>0</v>
      </c>
      <c r="E18" t="s">
        <v>23</v>
      </c>
      <c r="F18" s="23">
        <f>(0.56*131.1+10.2)/1000</f>
        <v>8.3615999999999996E-2</v>
      </c>
      <c r="G18">
        <f>G20</f>
        <v>9.1999999999999998E-2</v>
      </c>
    </row>
    <row r="19" spans="1:8" x14ac:dyDescent="0.25">
      <c r="A19" t="s">
        <v>152</v>
      </c>
      <c r="B19" s="27">
        <f>1.2766/28.2</f>
        <v>4.5269503546099293E-2</v>
      </c>
      <c r="C19" t="s">
        <v>112</v>
      </c>
      <c r="D19">
        <v>0</v>
      </c>
      <c r="E19" t="s">
        <v>23</v>
      </c>
      <c r="F19">
        <f>(0.56*131.1+10.2)/1000</f>
        <v>8.3615999999999996E-2</v>
      </c>
      <c r="G19" s="23">
        <f>(0.092+0.155)/2</f>
        <v>0.1235</v>
      </c>
      <c r="H19">
        <v>2004</v>
      </c>
    </row>
    <row r="20" spans="1:8" x14ac:dyDescent="0.25">
      <c r="A20" t="s">
        <v>143</v>
      </c>
      <c r="B20" s="53">
        <f>1.254/28.2</f>
        <v>4.4468085106382983E-2</v>
      </c>
      <c r="C20" t="s">
        <v>112</v>
      </c>
      <c r="D20">
        <v>0</v>
      </c>
      <c r="E20" t="s">
        <v>23</v>
      </c>
      <c r="F20" s="23">
        <f>(0.56*131.1+10.2)/1000</f>
        <v>8.3615999999999996E-2</v>
      </c>
      <c r="G20">
        <v>9.1999999999999998E-2</v>
      </c>
      <c r="H20">
        <v>2004</v>
      </c>
    </row>
    <row r="21" spans="1:8" x14ac:dyDescent="0.25">
      <c r="A21" t="s">
        <v>153</v>
      </c>
      <c r="B21" s="53">
        <f>1.2/28.2</f>
        <v>4.2553191489361701E-2</v>
      </c>
      <c r="C21" t="s">
        <v>112</v>
      </c>
      <c r="F21">
        <v>0</v>
      </c>
    </row>
    <row r="22" spans="1:8" x14ac:dyDescent="0.25">
      <c r="A22" t="s">
        <v>156</v>
      </c>
      <c r="B22" s="52">
        <f>1.37/30.23</f>
        <v>4.531921931855773E-2</v>
      </c>
      <c r="C22" t="s">
        <v>112</v>
      </c>
      <c r="G22">
        <v>0.1</v>
      </c>
    </row>
    <row r="23" spans="1:8" x14ac:dyDescent="0.25">
      <c r="A23" t="s">
        <v>167</v>
      </c>
      <c r="B23" s="53">
        <f>1.29/28.2</f>
        <v>4.5744680851063833E-2</v>
      </c>
    </row>
    <row r="24" spans="1:8" x14ac:dyDescent="0.25">
      <c r="A24" t="s">
        <v>158</v>
      </c>
      <c r="B24" s="49">
        <f>0.044</f>
        <v>4.3999999999999997E-2</v>
      </c>
      <c r="C24" t="s">
        <v>112</v>
      </c>
      <c r="D24">
        <v>0</v>
      </c>
      <c r="E24" t="s">
        <v>23</v>
      </c>
      <c r="F24" s="23">
        <f>(0.56*131.1+10.2)/1000</f>
        <v>8.3615999999999996E-2</v>
      </c>
      <c r="G24">
        <f>G26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workbookViewId="0">
      <selection activeCell="A14" sqref="A14"/>
    </sheetView>
  </sheetViews>
  <sheetFormatPr defaultColWidth="11.42578125" defaultRowHeight="15" x14ac:dyDescent="0.25"/>
  <cols>
    <col min="1" max="1" width="20.7109375" bestFit="1" customWidth="1"/>
  </cols>
  <sheetData>
    <row r="1" spans="1:17" x14ac:dyDescent="0.25">
      <c r="A1" s="1" t="s">
        <v>0</v>
      </c>
      <c r="B1" s="3" t="s">
        <v>26</v>
      </c>
      <c r="C1" s="3" t="s">
        <v>27</v>
      </c>
      <c r="D1" s="3" t="s">
        <v>19</v>
      </c>
      <c r="E1" t="s">
        <v>7</v>
      </c>
      <c r="F1" t="s">
        <v>70</v>
      </c>
      <c r="G1" t="s">
        <v>51</v>
      </c>
      <c r="H1" t="s">
        <v>52</v>
      </c>
      <c r="I1" t="s">
        <v>53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160</v>
      </c>
      <c r="P1" t="s">
        <v>161</v>
      </c>
      <c r="Q1" t="s">
        <v>2</v>
      </c>
    </row>
    <row r="2" spans="1:17" x14ac:dyDescent="0.25">
      <c r="A2" s="2" t="s">
        <v>1</v>
      </c>
      <c r="B2" s="2" t="s">
        <v>47</v>
      </c>
      <c r="C2" s="2" t="s">
        <v>48</v>
      </c>
      <c r="D2" s="2" t="s">
        <v>49</v>
      </c>
      <c r="E2" t="s">
        <v>58</v>
      </c>
      <c r="F2" t="s">
        <v>157</v>
      </c>
      <c r="G2" s="2" t="s">
        <v>50</v>
      </c>
      <c r="I2" s="2" t="s">
        <v>54</v>
      </c>
      <c r="K2" s="2" t="s">
        <v>55</v>
      </c>
      <c r="M2" t="s">
        <v>54</v>
      </c>
      <c r="O2" s="2" t="s">
        <v>50</v>
      </c>
    </row>
    <row r="3" spans="1:17" x14ac:dyDescent="0.25">
      <c r="A3" s="2" t="s">
        <v>2</v>
      </c>
      <c r="B3" s="2"/>
      <c r="C3" s="2"/>
      <c r="D3" s="2"/>
    </row>
    <row r="4" spans="1:17" x14ac:dyDescent="0.25">
      <c r="A4" t="s">
        <v>3</v>
      </c>
      <c r="B4">
        <f t="shared" ref="B4:K4" si="0">B7</f>
        <v>1.1000000000000001</v>
      </c>
      <c r="C4">
        <f t="shared" si="0"/>
        <v>0.35</v>
      </c>
      <c r="D4">
        <f t="shared" si="0"/>
        <v>7.28E-3</v>
      </c>
      <c r="E4">
        <f>E7</f>
        <v>0.10444000000000001</v>
      </c>
      <c r="G4">
        <f t="shared" si="0"/>
        <v>0.3548</v>
      </c>
      <c r="H4" t="str">
        <f t="shared" si="0"/>
        <v>coke - IPCC</v>
      </c>
      <c r="I4">
        <f t="shared" si="0"/>
        <v>0</v>
      </c>
      <c r="J4" t="str">
        <f t="shared" si="0"/>
        <v>charcoal</v>
      </c>
      <c r="K4">
        <f t="shared" si="0"/>
        <v>0.152</v>
      </c>
      <c r="L4" t="str">
        <f>L11</f>
        <v>coal coking - IPCC</v>
      </c>
      <c r="M4">
        <f>M7</f>
        <v>0</v>
      </c>
      <c r="N4" t="str">
        <f>N7</f>
        <v>charcoal</v>
      </c>
    </row>
    <row r="5" spans="1:17" x14ac:dyDescent="0.25">
      <c r="A5" t="s">
        <v>56</v>
      </c>
      <c r="B5">
        <v>1.1499999999999999</v>
      </c>
      <c r="C5">
        <v>0.15</v>
      </c>
      <c r="D5" s="3">
        <v>0.15</v>
      </c>
      <c r="E5">
        <v>0.24</v>
      </c>
      <c r="G5" s="3">
        <v>0.3</v>
      </c>
      <c r="H5" t="s">
        <v>112</v>
      </c>
      <c r="I5">
        <v>0.5</v>
      </c>
      <c r="J5" t="s">
        <v>23</v>
      </c>
      <c r="K5">
        <v>0.2</v>
      </c>
      <c r="L5" t="str">
        <f>L8</f>
        <v>coal PCI - JP IPCC</v>
      </c>
      <c r="M5">
        <v>0.3</v>
      </c>
      <c r="N5" t="s">
        <v>23</v>
      </c>
    </row>
    <row r="6" spans="1:17" x14ac:dyDescent="0.25">
      <c r="A6" t="s">
        <v>107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>
        <v>0.28799999999999998</v>
      </c>
      <c r="H6" t="s">
        <v>113</v>
      </c>
      <c r="I6">
        <v>0</v>
      </c>
      <c r="J6" t="s">
        <v>23</v>
      </c>
      <c r="K6">
        <v>0.20499999999999999</v>
      </c>
      <c r="L6" t="s">
        <v>114</v>
      </c>
      <c r="M6">
        <v>0</v>
      </c>
      <c r="N6" t="s">
        <v>23</v>
      </c>
    </row>
    <row r="7" spans="1:17" x14ac:dyDescent="0.25">
      <c r="A7" t="s">
        <v>108</v>
      </c>
      <c r="B7">
        <v>1.1000000000000001</v>
      </c>
      <c r="C7">
        <v>0.35</v>
      </c>
      <c r="D7" s="22">
        <f>0.013*(56/100)</f>
        <v>7.28E-3</v>
      </c>
      <c r="E7" s="21">
        <v>0.10444000000000001</v>
      </c>
      <c r="G7">
        <v>0.3548</v>
      </c>
      <c r="H7" t="s">
        <v>112</v>
      </c>
      <c r="I7">
        <v>0</v>
      </c>
      <c r="J7" t="s">
        <v>23</v>
      </c>
      <c r="K7">
        <v>0.152</v>
      </c>
      <c r="L7" t="s">
        <v>115</v>
      </c>
      <c r="M7">
        <v>0</v>
      </c>
      <c r="N7" t="s">
        <v>23</v>
      </c>
    </row>
    <row r="8" spans="1:17" x14ac:dyDescent="0.25">
      <c r="A8" t="s">
        <v>109</v>
      </c>
      <c r="B8">
        <v>1.17</v>
      </c>
      <c r="C8">
        <v>0.12</v>
      </c>
      <c r="D8" s="23">
        <f>0.04*(0.56)</f>
        <v>2.2400000000000003E-2</v>
      </c>
      <c r="E8">
        <v>0.24</v>
      </c>
      <c r="G8" s="3">
        <v>0.36499999999999999</v>
      </c>
      <c r="H8" t="s">
        <v>116</v>
      </c>
      <c r="I8">
        <v>0</v>
      </c>
      <c r="J8" t="s">
        <v>23</v>
      </c>
      <c r="K8">
        <v>0.14000000000000001</v>
      </c>
      <c r="L8" t="s">
        <v>117</v>
      </c>
      <c r="M8">
        <v>0</v>
      </c>
      <c r="N8" t="s">
        <v>23</v>
      </c>
    </row>
    <row r="9" spans="1:17" x14ac:dyDescent="0.25">
      <c r="A9" t="s">
        <v>110</v>
      </c>
      <c r="B9" s="33">
        <f>0.85*1.15</f>
        <v>0.97749999999999992</v>
      </c>
      <c r="C9" s="33">
        <f>0.15*1.15</f>
        <v>0.17249999999999999</v>
      </c>
      <c r="D9" s="23">
        <f>0.04*(0.56)</f>
        <v>2.2400000000000003E-2</v>
      </c>
      <c r="E9" s="23">
        <v>0.2</v>
      </c>
      <c r="G9" s="3">
        <v>0.45300000000000001</v>
      </c>
      <c r="H9" t="s">
        <v>112</v>
      </c>
      <c r="I9" s="3">
        <v>0</v>
      </c>
      <c r="J9" t="s">
        <v>23</v>
      </c>
      <c r="K9" s="3">
        <v>9.1600000000000001E-2</v>
      </c>
      <c r="L9" t="s">
        <v>118</v>
      </c>
      <c r="M9">
        <v>0</v>
      </c>
      <c r="N9" t="s">
        <v>23</v>
      </c>
    </row>
    <row r="10" spans="1:17" x14ac:dyDescent="0.25">
      <c r="A10" t="s">
        <v>111</v>
      </c>
      <c r="B10">
        <v>0</v>
      </c>
      <c r="C10" s="26">
        <f>70.2/54.4</f>
        <v>1.2904411764705883</v>
      </c>
      <c r="D10" s="33">
        <f>0.25*0.56</f>
        <v>0.14000000000000001</v>
      </c>
      <c r="E10">
        <v>0.27</v>
      </c>
      <c r="G10" s="33">
        <f>12.26/30.23</f>
        <v>0.40555739331789614</v>
      </c>
      <c r="H10" t="s">
        <v>119</v>
      </c>
      <c r="I10" s="3">
        <v>0</v>
      </c>
      <c r="J10" t="s">
        <v>23</v>
      </c>
      <c r="K10" s="33">
        <f>(1.88+2.13)/47</f>
        <v>8.5319148936170208E-2</v>
      </c>
      <c r="L10" t="s">
        <v>120</v>
      </c>
      <c r="M10">
        <v>0</v>
      </c>
      <c r="N10" t="s">
        <v>23</v>
      </c>
    </row>
    <row r="11" spans="1:17" x14ac:dyDescent="0.25">
      <c r="A11" t="s">
        <v>127</v>
      </c>
      <c r="B11" s="23">
        <v>1.3</v>
      </c>
      <c r="C11" s="23">
        <v>0</v>
      </c>
      <c r="D11" s="23">
        <v>0.01</v>
      </c>
      <c r="E11" s="23">
        <v>0.1</v>
      </c>
      <c r="G11" s="3">
        <v>0.59</v>
      </c>
      <c r="H11" t="s">
        <v>112</v>
      </c>
      <c r="I11" s="3">
        <v>0</v>
      </c>
      <c r="J11" t="s">
        <v>23</v>
      </c>
      <c r="K11" s="3">
        <v>0.11</v>
      </c>
      <c r="L11" t="s">
        <v>115</v>
      </c>
      <c r="M11">
        <v>0</v>
      </c>
      <c r="N11" t="s">
        <v>23</v>
      </c>
    </row>
    <row r="12" spans="1:17" x14ac:dyDescent="0.25">
      <c r="A12" t="s">
        <v>130</v>
      </c>
      <c r="B12" s="49">
        <f>AVERAGE(B6:B11)</f>
        <v>0.97694500000000006</v>
      </c>
      <c r="C12" s="49">
        <f>AVERAGE(C6:C11)</f>
        <v>0.32215686274509808</v>
      </c>
      <c r="D12" s="49">
        <f>AVERAGE(D6:D11)</f>
        <v>3.741333333333334E-2</v>
      </c>
      <c r="E12" s="49">
        <f>AVERAGE(E5:E11)</f>
        <v>0.20275085714285715</v>
      </c>
      <c r="G12" s="49">
        <f>AVERAGE(G6:G11)</f>
        <v>0.40939289888631603</v>
      </c>
      <c r="H12" t="s">
        <v>112</v>
      </c>
      <c r="I12" s="49">
        <f>AVERAGE(I6:I11)</f>
        <v>0</v>
      </c>
      <c r="J12" t="s">
        <v>23</v>
      </c>
      <c r="K12" s="49">
        <f>AVERAGE(K6:K11)</f>
        <v>0.13065319148936169</v>
      </c>
      <c r="L12" t="s">
        <v>115</v>
      </c>
      <c r="M12" s="49">
        <f>AVERAGE(M6:M11)</f>
        <v>0</v>
      </c>
      <c r="N12" t="s">
        <v>23</v>
      </c>
    </row>
    <row r="13" spans="1:17" x14ac:dyDescent="0.25">
      <c r="A13" t="s">
        <v>131</v>
      </c>
      <c r="B13">
        <f t="shared" ref="B13:C16" si="1">B$7</f>
        <v>1.1000000000000001</v>
      </c>
      <c r="C13">
        <f t="shared" si="1"/>
        <v>0.35</v>
      </c>
      <c r="D13" s="50">
        <f>D$7*0.7</f>
        <v>5.0959999999999998E-3</v>
      </c>
      <c r="E13">
        <f>E$7</f>
        <v>0.10444000000000001</v>
      </c>
      <c r="G13">
        <f t="shared" ref="G13:H16" si="2">G$7</f>
        <v>0.3548</v>
      </c>
      <c r="H13" t="str">
        <f t="shared" si="2"/>
        <v>coke - IPCC</v>
      </c>
      <c r="I13" s="3">
        <v>0</v>
      </c>
      <c r="J13" t="s">
        <v>23</v>
      </c>
      <c r="K13">
        <f t="shared" ref="K13:L16" si="3">K$7</f>
        <v>0.152</v>
      </c>
      <c r="L13" t="str">
        <f t="shared" si="3"/>
        <v>coal coking - IPCC</v>
      </c>
      <c r="M13">
        <v>1</v>
      </c>
      <c r="N13" t="s">
        <v>23</v>
      </c>
    </row>
    <row r="14" spans="1:17" x14ac:dyDescent="0.25">
      <c r="A14" t="s">
        <v>132</v>
      </c>
      <c r="B14">
        <f t="shared" si="1"/>
        <v>1.1000000000000001</v>
      </c>
      <c r="C14">
        <f t="shared" si="1"/>
        <v>0.35</v>
      </c>
      <c r="D14" s="50">
        <f>D$7*0.7</f>
        <v>5.0959999999999998E-3</v>
      </c>
      <c r="E14">
        <f>E$7</f>
        <v>0.10444000000000001</v>
      </c>
      <c r="G14">
        <f t="shared" si="2"/>
        <v>0.3548</v>
      </c>
      <c r="H14" t="str">
        <f t="shared" si="2"/>
        <v>coke - IPCC</v>
      </c>
      <c r="I14" s="3">
        <v>0</v>
      </c>
      <c r="J14" t="s">
        <v>23</v>
      </c>
      <c r="K14">
        <f t="shared" si="3"/>
        <v>0.152</v>
      </c>
      <c r="L14" t="str">
        <f t="shared" si="3"/>
        <v>coal coking - IPCC</v>
      </c>
      <c r="M14">
        <v>1</v>
      </c>
      <c r="N14" t="s">
        <v>23</v>
      </c>
    </row>
    <row r="15" spans="1:17" x14ac:dyDescent="0.25">
      <c r="A15" t="s">
        <v>133</v>
      </c>
      <c r="B15">
        <f t="shared" si="1"/>
        <v>1.1000000000000001</v>
      </c>
      <c r="C15">
        <f t="shared" si="1"/>
        <v>0.35</v>
      </c>
      <c r="D15" s="50">
        <f>D$7*0.7</f>
        <v>5.0959999999999998E-3</v>
      </c>
      <c r="E15">
        <f>E$7</f>
        <v>0.10444000000000001</v>
      </c>
      <c r="G15">
        <f t="shared" si="2"/>
        <v>0.3548</v>
      </c>
      <c r="H15" t="str">
        <f t="shared" si="2"/>
        <v>coke - IPCC</v>
      </c>
      <c r="I15" s="3">
        <v>0</v>
      </c>
      <c r="J15" t="s">
        <v>23</v>
      </c>
      <c r="K15">
        <f t="shared" si="3"/>
        <v>0.152</v>
      </c>
      <c r="L15" t="str">
        <f t="shared" si="3"/>
        <v>coal coking - IPCC</v>
      </c>
      <c r="M15">
        <v>1</v>
      </c>
      <c r="N15" t="s">
        <v>23</v>
      </c>
    </row>
    <row r="16" spans="1:17" x14ac:dyDescent="0.25">
      <c r="A16" t="s">
        <v>134</v>
      </c>
      <c r="B16">
        <f t="shared" si="1"/>
        <v>1.1000000000000001</v>
      </c>
      <c r="C16">
        <f t="shared" si="1"/>
        <v>0.35</v>
      </c>
      <c r="D16" s="50">
        <f>D$7*0.7</f>
        <v>5.0959999999999998E-3</v>
      </c>
      <c r="E16">
        <f>E$7</f>
        <v>0.10444000000000001</v>
      </c>
      <c r="G16">
        <f t="shared" si="2"/>
        <v>0.3548</v>
      </c>
      <c r="H16" t="str">
        <f t="shared" si="2"/>
        <v>coke - IPCC</v>
      </c>
      <c r="I16" s="3">
        <v>0</v>
      </c>
      <c r="J16" t="s">
        <v>23</v>
      </c>
      <c r="K16">
        <f t="shared" si="3"/>
        <v>0.152</v>
      </c>
      <c r="L16" t="str">
        <f t="shared" si="3"/>
        <v>coal coking - IPCC</v>
      </c>
      <c r="M16">
        <v>0.5</v>
      </c>
      <c r="N16" t="s">
        <v>23</v>
      </c>
    </row>
    <row r="17" spans="1:17" x14ac:dyDescent="0.25">
      <c r="A17" t="s">
        <v>136</v>
      </c>
      <c r="B17">
        <v>1.1200000000000001</v>
      </c>
      <c r="C17">
        <v>0</v>
      </c>
      <c r="D17" s="50">
        <f>0.013*0.56</f>
        <v>7.28E-3</v>
      </c>
      <c r="E17">
        <v>0.37331999999999999</v>
      </c>
      <c r="F17">
        <v>6.8400000000000002E-2</v>
      </c>
      <c r="G17">
        <v>0.35489999999999999</v>
      </c>
      <c r="H17" t="s">
        <v>137</v>
      </c>
      <c r="I17" s="3">
        <v>0</v>
      </c>
      <c r="J17" t="s">
        <v>23</v>
      </c>
      <c r="K17" s="3">
        <v>0.152</v>
      </c>
      <c r="L17" t="s">
        <v>138</v>
      </c>
      <c r="M17">
        <v>0</v>
      </c>
      <c r="N17" t="s">
        <v>23</v>
      </c>
    </row>
    <row r="18" spans="1:17" x14ac:dyDescent="0.25">
      <c r="A18" t="s">
        <v>151</v>
      </c>
      <c r="B18" s="23">
        <v>1.2</v>
      </c>
      <c r="E18">
        <v>0.09</v>
      </c>
      <c r="G18">
        <v>0.25800000000000001</v>
      </c>
      <c r="H18" t="s">
        <v>112</v>
      </c>
      <c r="I18">
        <v>0</v>
      </c>
      <c r="J18" t="s">
        <v>23</v>
      </c>
      <c r="K18">
        <v>0.14399999999999999</v>
      </c>
      <c r="L18" t="s">
        <v>115</v>
      </c>
      <c r="M18">
        <v>0</v>
      </c>
      <c r="N18" t="s">
        <v>23</v>
      </c>
      <c r="Q18" t="s">
        <v>159</v>
      </c>
    </row>
    <row r="19" spans="1:17" x14ac:dyDescent="0.25">
      <c r="A19" t="s">
        <v>158</v>
      </c>
      <c r="B19" s="23">
        <v>1.3</v>
      </c>
      <c r="C19">
        <v>0</v>
      </c>
      <c r="E19">
        <v>0.107</v>
      </c>
      <c r="G19">
        <v>0.28199999999999997</v>
      </c>
      <c r="H19" t="s">
        <v>112</v>
      </c>
      <c r="I19">
        <v>0</v>
      </c>
      <c r="J19" t="s">
        <v>23</v>
      </c>
      <c r="K19">
        <v>0.16</v>
      </c>
      <c r="L19" t="s">
        <v>115</v>
      </c>
      <c r="M19">
        <v>0</v>
      </c>
      <c r="N19" t="s">
        <v>23</v>
      </c>
    </row>
    <row r="20" spans="1:17" x14ac:dyDescent="0.25">
      <c r="A20" t="s">
        <v>152</v>
      </c>
      <c r="B20">
        <v>1088</v>
      </c>
      <c r="C20">
        <v>358</v>
      </c>
      <c r="D20">
        <v>2.5700000000000001E-2</v>
      </c>
      <c r="E20">
        <v>0.26800000000000002</v>
      </c>
      <c r="F20">
        <v>5.4399999999999997E-2</v>
      </c>
      <c r="G20">
        <v>0.35899999999999999</v>
      </c>
      <c r="H20" t="s">
        <v>112</v>
      </c>
      <c r="I20">
        <v>0</v>
      </c>
      <c r="J20" t="s">
        <v>23</v>
      </c>
      <c r="K20">
        <v>0.19</v>
      </c>
      <c r="L20" t="s">
        <v>115</v>
      </c>
      <c r="M20">
        <v>0</v>
      </c>
      <c r="N20" t="s">
        <v>23</v>
      </c>
    </row>
    <row r="21" spans="1:17" x14ac:dyDescent="0.25">
      <c r="A21" t="s">
        <v>143</v>
      </c>
      <c r="D21">
        <v>0</v>
      </c>
      <c r="E21">
        <v>0.107</v>
      </c>
      <c r="G21">
        <v>0.28199999999999997</v>
      </c>
      <c r="H21" t="s">
        <v>112</v>
      </c>
    </row>
    <row r="22" spans="1:17" x14ac:dyDescent="0.25">
      <c r="A22" t="s">
        <v>153</v>
      </c>
      <c r="B22">
        <v>1.2</v>
      </c>
      <c r="C22">
        <v>0</v>
      </c>
      <c r="D22" s="23">
        <v>0.01</v>
      </c>
      <c r="G22">
        <f>10.42/30.23</f>
        <v>0.34469070459808138</v>
      </c>
      <c r="H22" t="s">
        <v>119</v>
      </c>
      <c r="K22">
        <v>0</v>
      </c>
      <c r="L22" t="s">
        <v>120</v>
      </c>
      <c r="M22">
        <v>0</v>
      </c>
      <c r="N22" t="s">
        <v>23</v>
      </c>
    </row>
    <row r="23" spans="1:17" x14ac:dyDescent="0.25">
      <c r="A23" t="s">
        <v>156</v>
      </c>
      <c r="E23">
        <v>0.09</v>
      </c>
      <c r="G23">
        <f>11.49/30.23</f>
        <v>0.38008600727753888</v>
      </c>
      <c r="H23" t="s">
        <v>119</v>
      </c>
      <c r="I23">
        <v>0</v>
      </c>
      <c r="J23" t="s">
        <v>23</v>
      </c>
      <c r="K23">
        <f>(2.69+1.41)/31.2</f>
        <v>0.13141025641025642</v>
      </c>
      <c r="L23" t="s">
        <v>123</v>
      </c>
      <c r="M23">
        <v>0</v>
      </c>
      <c r="N23" t="s">
        <v>23</v>
      </c>
    </row>
    <row r="24" spans="1:17" x14ac:dyDescent="0.25">
      <c r="A24" t="s">
        <v>167</v>
      </c>
      <c r="G24">
        <f>11.04/30.23</f>
        <v>0.36520013231888848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B18" sqref="B18:J18"/>
    </sheetView>
  </sheetViews>
  <sheetFormatPr defaultColWidth="8.85546875" defaultRowHeight="15" x14ac:dyDescent="0.25"/>
  <cols>
    <col min="1" max="1" width="14.85546875" bestFit="1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  <col min="10" max="10" width="12" bestFit="1" customWidth="1"/>
  </cols>
  <sheetData>
    <row r="1" spans="1:10" x14ac:dyDescent="0.25">
      <c r="A1" s="1" t="s">
        <v>0</v>
      </c>
      <c r="B1" s="3" t="s">
        <v>74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</row>
    <row r="2" spans="1:10" x14ac:dyDescent="0.25">
      <c r="A2" s="2" t="s">
        <v>1</v>
      </c>
      <c r="B2" s="2" t="s">
        <v>75</v>
      </c>
      <c r="C2" t="s">
        <v>71</v>
      </c>
      <c r="I2" t="s">
        <v>73</v>
      </c>
      <c r="J2" t="s">
        <v>72</v>
      </c>
    </row>
    <row r="3" spans="1:10" x14ac:dyDescent="0.25">
      <c r="A3" s="2" t="s">
        <v>2</v>
      </c>
      <c r="B3" s="2"/>
    </row>
    <row r="4" spans="1:10" x14ac:dyDescent="0.25">
      <c r="A4" t="s">
        <v>3</v>
      </c>
    </row>
    <row r="5" spans="1:10" x14ac:dyDescent="0.25">
      <c r="A5" t="s">
        <v>56</v>
      </c>
      <c r="B5">
        <f>0.95</f>
        <v>0.95</v>
      </c>
      <c r="C5">
        <v>0.155</v>
      </c>
      <c r="D5">
        <v>0.01</v>
      </c>
      <c r="E5" t="s">
        <v>112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0" x14ac:dyDescent="0.25">
      <c r="A6" t="s">
        <v>107</v>
      </c>
      <c r="B6">
        <f>0.95</f>
        <v>0.95</v>
      </c>
      <c r="C6">
        <v>0.14000000000000001</v>
      </c>
      <c r="D6">
        <v>0</v>
      </c>
      <c r="E6" t="s">
        <v>113</v>
      </c>
      <c r="F6">
        <v>0</v>
      </c>
      <c r="G6" t="s">
        <v>23</v>
      </c>
      <c r="H6" s="24">
        <f>H7</f>
        <v>7.975728E-2</v>
      </c>
      <c r="I6">
        <f>35.5*Ref!B18</f>
        <v>0.1278</v>
      </c>
      <c r="J6">
        <f>51.08*Ref!C12</f>
        <v>7.2923115195859714E-2</v>
      </c>
    </row>
    <row r="7" spans="1:10" x14ac:dyDescent="0.25">
      <c r="A7" t="s">
        <v>108</v>
      </c>
      <c r="B7">
        <f>0.9058</f>
        <v>0.90580000000000005</v>
      </c>
      <c r="C7">
        <f>0.1169+0.0731</f>
        <v>0.19</v>
      </c>
      <c r="D7">
        <v>0</v>
      </c>
      <c r="E7" t="s">
        <v>112</v>
      </c>
      <c r="F7">
        <v>0</v>
      </c>
      <c r="G7" t="s">
        <v>23</v>
      </c>
      <c r="H7" s="21">
        <f>0.9136*(0.0755+0.0118)</f>
        <v>7.975728E-2</v>
      </c>
      <c r="I7">
        <v>7.1999999999999995E-2</v>
      </c>
      <c r="J7">
        <v>7.4236999999999997E-2</v>
      </c>
    </row>
    <row r="8" spans="1:10" x14ac:dyDescent="0.25">
      <c r="A8" t="s">
        <v>109</v>
      </c>
      <c r="B8">
        <v>0.95</v>
      </c>
      <c r="C8">
        <v>0.155</v>
      </c>
      <c r="D8">
        <v>0.01</v>
      </c>
      <c r="E8" t="s">
        <v>116</v>
      </c>
      <c r="F8">
        <v>0</v>
      </c>
      <c r="G8" t="s">
        <v>23</v>
      </c>
      <c r="H8" s="23">
        <v>6.9000000000000006E-2</v>
      </c>
      <c r="I8">
        <v>0.2</v>
      </c>
      <c r="J8" s="23">
        <v>7.0000000000000007E-2</v>
      </c>
    </row>
    <row r="9" spans="1:10" x14ac:dyDescent="0.25">
      <c r="A9" t="s">
        <v>110</v>
      </c>
      <c r="B9" s="23">
        <v>0.95</v>
      </c>
      <c r="C9" s="23">
        <v>0.155</v>
      </c>
      <c r="D9">
        <v>0</v>
      </c>
      <c r="E9" t="s">
        <v>112</v>
      </c>
      <c r="F9">
        <v>0</v>
      </c>
      <c r="G9" t="s">
        <v>23</v>
      </c>
      <c r="H9" s="23">
        <v>6.9000000000000006E-2</v>
      </c>
      <c r="J9" s="23">
        <v>7.0000000000000007E-2</v>
      </c>
    </row>
    <row r="10" spans="1:10" x14ac:dyDescent="0.25">
      <c r="A10" t="s">
        <v>111</v>
      </c>
      <c r="B10" s="27">
        <f>53.4/62.7</f>
        <v>0.85167464114832525</v>
      </c>
      <c r="C10" s="27">
        <f>17/62.7</f>
        <v>0.27113237639553428</v>
      </c>
      <c r="D10" s="21">
        <f>0.43/47.1</f>
        <v>9.1295116772823776E-3</v>
      </c>
      <c r="E10" t="s">
        <v>120</v>
      </c>
      <c r="F10">
        <v>0</v>
      </c>
      <c r="G10" t="s">
        <v>23</v>
      </c>
      <c r="H10" s="23">
        <v>0.04</v>
      </c>
      <c r="I10">
        <v>0.13</v>
      </c>
      <c r="J10" s="23">
        <v>7.0000000000000007E-2</v>
      </c>
    </row>
    <row r="11" spans="1:10" x14ac:dyDescent="0.25">
      <c r="A11" t="s">
        <v>127</v>
      </c>
      <c r="B11" s="23">
        <v>0.95</v>
      </c>
      <c r="C11" s="23">
        <v>0.15</v>
      </c>
      <c r="D11" s="23">
        <v>0</v>
      </c>
      <c r="E11" s="23" t="s">
        <v>112</v>
      </c>
      <c r="F11" s="23">
        <v>0</v>
      </c>
      <c r="G11" s="23" t="s">
        <v>23</v>
      </c>
      <c r="H11" s="23">
        <v>6.9000000000000006E-2</v>
      </c>
      <c r="I11" s="23"/>
      <c r="J11" s="23">
        <v>7.0000000000000007E-2</v>
      </c>
    </row>
    <row r="12" spans="1:10" x14ac:dyDescent="0.25">
      <c r="A12" t="s">
        <v>131</v>
      </c>
      <c r="B12">
        <f t="shared" ref="B12:J16" si="0">B$7</f>
        <v>0.90580000000000005</v>
      </c>
      <c r="C12">
        <f t="shared" si="0"/>
        <v>0.19</v>
      </c>
      <c r="D12">
        <f t="shared" si="0"/>
        <v>0</v>
      </c>
      <c r="E12" t="str">
        <f t="shared" si="0"/>
        <v>coke - IPCC</v>
      </c>
      <c r="F12">
        <f t="shared" si="0"/>
        <v>0</v>
      </c>
      <c r="G12" t="str">
        <f t="shared" si="0"/>
        <v>charcoal</v>
      </c>
      <c r="H12">
        <f t="shared" si="0"/>
        <v>7.975728E-2</v>
      </c>
      <c r="I12">
        <f t="shared" si="0"/>
        <v>7.1999999999999995E-2</v>
      </c>
      <c r="J12">
        <f t="shared" si="0"/>
        <v>7.4236999999999997E-2</v>
      </c>
    </row>
    <row r="13" spans="1:10" x14ac:dyDescent="0.25">
      <c r="A13" t="s">
        <v>132</v>
      </c>
      <c r="B13">
        <f t="shared" si="0"/>
        <v>0.90580000000000005</v>
      </c>
      <c r="C13">
        <f t="shared" si="0"/>
        <v>0.19</v>
      </c>
      <c r="D13">
        <f t="shared" si="0"/>
        <v>0</v>
      </c>
      <c r="E13" t="str">
        <f t="shared" si="0"/>
        <v>coke - IPCC</v>
      </c>
      <c r="F13">
        <f t="shared" si="0"/>
        <v>0</v>
      </c>
      <c r="G13" t="str">
        <f t="shared" si="0"/>
        <v>charcoal</v>
      </c>
      <c r="H13">
        <f t="shared" si="0"/>
        <v>7.975728E-2</v>
      </c>
      <c r="I13">
        <f t="shared" si="0"/>
        <v>7.1999999999999995E-2</v>
      </c>
      <c r="J13">
        <f t="shared" si="0"/>
        <v>7.4236999999999997E-2</v>
      </c>
    </row>
    <row r="14" spans="1:10" x14ac:dyDescent="0.25">
      <c r="A14" t="s">
        <v>133</v>
      </c>
      <c r="B14">
        <f t="shared" si="0"/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0" x14ac:dyDescent="0.25">
      <c r="A15" t="s">
        <v>134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  <row r="16" spans="1:10" x14ac:dyDescent="0.25">
      <c r="A16" t="s">
        <v>136</v>
      </c>
      <c r="B16">
        <v>0.90580000000000005</v>
      </c>
      <c r="C16">
        <f>0.1169+0.0731</f>
        <v>0.19</v>
      </c>
      <c r="D16">
        <v>0</v>
      </c>
      <c r="E16" t="s">
        <v>137</v>
      </c>
      <c r="F16">
        <v>0</v>
      </c>
      <c r="G16" t="s">
        <v>23</v>
      </c>
      <c r="H16">
        <f>0.0757*0.913606</f>
        <v>6.9159974200000002E-2</v>
      </c>
      <c r="I16">
        <f t="shared" si="0"/>
        <v>7.1999999999999995E-2</v>
      </c>
      <c r="J16">
        <f t="shared" si="0"/>
        <v>7.4236999999999997E-2</v>
      </c>
    </row>
    <row r="17" spans="1:10" x14ac:dyDescent="0.25">
      <c r="A17" t="s">
        <v>151</v>
      </c>
      <c r="B17">
        <f>0.9058</f>
        <v>0.90580000000000005</v>
      </c>
      <c r="C17">
        <f>0.1169+0.0731</f>
        <v>0.19</v>
      </c>
      <c r="D17">
        <v>0</v>
      </c>
      <c r="E17" t="s">
        <v>112</v>
      </c>
      <c r="F17">
        <v>0</v>
      </c>
      <c r="G17" t="s">
        <v>23</v>
      </c>
      <c r="H17" s="21">
        <f>0.9136*(0.0755+0.0118)</f>
        <v>7.975728E-2</v>
      </c>
      <c r="I17">
        <v>7.1999999999999995E-2</v>
      </c>
      <c r="J17">
        <v>7.4236999999999997E-2</v>
      </c>
    </row>
    <row r="18" spans="1:10" x14ac:dyDescent="0.25">
      <c r="A18" t="s">
        <v>158</v>
      </c>
      <c r="B18">
        <f>0.9058</f>
        <v>0.90580000000000005</v>
      </c>
      <c r="C18">
        <f>0.1169+0.0731</f>
        <v>0.19</v>
      </c>
      <c r="D18">
        <v>0</v>
      </c>
      <c r="E18" t="s">
        <v>112</v>
      </c>
      <c r="F18">
        <v>0</v>
      </c>
      <c r="G18" t="s">
        <v>23</v>
      </c>
      <c r="H18" s="21">
        <f>0.9136*(0.0755+0.0118)</f>
        <v>7.975728E-2</v>
      </c>
      <c r="I18">
        <v>7.1999999999999995E-2</v>
      </c>
      <c r="J18">
        <v>7.4236999999999997E-2</v>
      </c>
    </row>
    <row r="19" spans="1:10" x14ac:dyDescent="0.25">
      <c r="A19" t="s">
        <v>152</v>
      </c>
    </row>
    <row r="20" spans="1:10" x14ac:dyDescent="0.25">
      <c r="A20" t="s">
        <v>143</v>
      </c>
      <c r="B20">
        <f>0.788</f>
        <v>0.78800000000000003</v>
      </c>
      <c r="C20">
        <v>0.34</v>
      </c>
      <c r="D20">
        <v>1E-3</v>
      </c>
      <c r="E20" t="s">
        <v>120</v>
      </c>
      <c r="H20">
        <v>0.03</v>
      </c>
      <c r="I20">
        <v>3.5000000000000003E-2</v>
      </c>
      <c r="J20">
        <f>49.5*Ref!C12</f>
        <v>7.0667466761845266E-2</v>
      </c>
    </row>
    <row r="21" spans="1:10" x14ac:dyDescent="0.25">
      <c r="A21" t="s">
        <v>153</v>
      </c>
      <c r="D21">
        <v>0</v>
      </c>
      <c r="E21" t="s">
        <v>120</v>
      </c>
    </row>
    <row r="22" spans="1:10" x14ac:dyDescent="0.25">
      <c r="A22" t="s">
        <v>156</v>
      </c>
      <c r="D22" s="21">
        <f>0.4/47.1</f>
        <v>8.4925690021231421E-3</v>
      </c>
      <c r="E22" t="s">
        <v>120</v>
      </c>
      <c r="I22">
        <v>0.09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B28" sqref="B28"/>
    </sheetView>
  </sheetViews>
  <sheetFormatPr defaultColWidth="10.140625" defaultRowHeight="15" x14ac:dyDescent="0.25"/>
  <cols>
    <col min="1" max="1" width="14.85546875" bestFit="1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3" s="1" customFormat="1" x14ac:dyDescent="0.25">
      <c r="A1" s="1" t="s">
        <v>0</v>
      </c>
      <c r="B1" s="19" t="s">
        <v>60</v>
      </c>
      <c r="C1" s="18" t="s">
        <v>9</v>
      </c>
    </row>
    <row r="2" spans="1:3" x14ac:dyDescent="0.25">
      <c r="A2" s="2" t="s">
        <v>1</v>
      </c>
      <c r="C2" s="19" t="s">
        <v>76</v>
      </c>
    </row>
    <row r="3" spans="1:3" x14ac:dyDescent="0.25">
      <c r="A3" s="2" t="s">
        <v>2</v>
      </c>
    </row>
    <row r="4" spans="1:3" x14ac:dyDescent="0.25">
      <c r="A4" t="s">
        <v>3</v>
      </c>
    </row>
    <row r="5" spans="1:3" x14ac:dyDescent="0.25">
      <c r="A5" t="s">
        <v>56</v>
      </c>
      <c r="B5" s="5">
        <f>B6</f>
        <v>0.87</v>
      </c>
      <c r="C5" s="5">
        <v>2</v>
      </c>
    </row>
    <row r="6" spans="1:3" x14ac:dyDescent="0.25">
      <c r="A6" t="s">
        <v>107</v>
      </c>
      <c r="B6" s="5">
        <f>B7</f>
        <v>0.87</v>
      </c>
      <c r="C6" s="5">
        <f>8.2*0.3264</f>
        <v>2.6764799999999997</v>
      </c>
    </row>
    <row r="7" spans="1:3" x14ac:dyDescent="0.25">
      <c r="A7" t="s">
        <v>108</v>
      </c>
      <c r="B7" s="5">
        <v>0.87</v>
      </c>
      <c r="C7" s="5">
        <v>1.3869199999999999</v>
      </c>
    </row>
    <row r="8" spans="1:3" x14ac:dyDescent="0.25">
      <c r="A8" t="s">
        <v>109</v>
      </c>
      <c r="B8" s="25">
        <f>B7</f>
        <v>0.87</v>
      </c>
      <c r="C8" s="25">
        <f>C7</f>
        <v>1.3869199999999999</v>
      </c>
    </row>
    <row r="9" spans="1:3" x14ac:dyDescent="0.25">
      <c r="A9" t="s">
        <v>110</v>
      </c>
      <c r="B9" s="25">
        <f>B8</f>
        <v>0.87</v>
      </c>
      <c r="C9" s="25">
        <f>8.2*0.3264</f>
        <v>2.6764799999999997</v>
      </c>
    </row>
    <row r="10" spans="1:3" x14ac:dyDescent="0.25">
      <c r="A10" t="s">
        <v>111</v>
      </c>
      <c r="B10" s="25">
        <f>B9</f>
        <v>0.87</v>
      </c>
      <c r="C10" s="25">
        <v>1.3869199999999999</v>
      </c>
    </row>
    <row r="11" spans="1:3" x14ac:dyDescent="0.25">
      <c r="A11" t="s">
        <v>131</v>
      </c>
      <c r="B11">
        <f t="shared" ref="B11:C15" si="0">B$7</f>
        <v>0.87</v>
      </c>
      <c r="C11">
        <f t="shared" si="0"/>
        <v>1.3869199999999999</v>
      </c>
    </row>
    <row r="12" spans="1:3" x14ac:dyDescent="0.25">
      <c r="A12" t="s">
        <v>132</v>
      </c>
      <c r="B12">
        <f t="shared" si="0"/>
        <v>0.87</v>
      </c>
      <c r="C12">
        <f t="shared" si="0"/>
        <v>1.3869199999999999</v>
      </c>
    </row>
    <row r="13" spans="1:3" x14ac:dyDescent="0.25">
      <c r="A13" t="s">
        <v>133</v>
      </c>
      <c r="B13">
        <f t="shared" si="0"/>
        <v>0.87</v>
      </c>
      <c r="C13">
        <f t="shared" si="0"/>
        <v>1.3869199999999999</v>
      </c>
    </row>
    <row r="14" spans="1:3" x14ac:dyDescent="0.25">
      <c r="A14" t="s">
        <v>134</v>
      </c>
      <c r="B14">
        <f t="shared" si="0"/>
        <v>0.87</v>
      </c>
      <c r="C14">
        <f t="shared" si="0"/>
        <v>1.3869199999999999</v>
      </c>
    </row>
    <row r="15" spans="1:3" x14ac:dyDescent="0.25">
      <c r="A15" t="s">
        <v>136</v>
      </c>
      <c r="B15">
        <f t="shared" si="0"/>
        <v>0.87</v>
      </c>
      <c r="C15">
        <f t="shared" si="0"/>
        <v>1.3869199999999999</v>
      </c>
    </row>
    <row r="16" spans="1:3" x14ac:dyDescent="0.25">
      <c r="A16" t="s">
        <v>127</v>
      </c>
      <c r="B16" s="25">
        <f>B15</f>
        <v>0.87</v>
      </c>
      <c r="C16" s="25">
        <f>8.2*0.3264</f>
        <v>2.6764799999999997</v>
      </c>
    </row>
    <row r="17" spans="1:3" x14ac:dyDescent="0.25">
      <c r="A17" t="s">
        <v>151</v>
      </c>
      <c r="B17" s="5">
        <v>0.87</v>
      </c>
      <c r="C17" s="5">
        <v>1.3869199999999999</v>
      </c>
    </row>
    <row r="18" spans="1:3" x14ac:dyDescent="0.25">
      <c r="A18" t="s">
        <v>158</v>
      </c>
      <c r="B18" s="5">
        <v>0.87</v>
      </c>
      <c r="C18" s="5">
        <v>1.3869199999999999</v>
      </c>
    </row>
    <row r="19" spans="1:3" x14ac:dyDescent="0.25">
      <c r="A19" t="s">
        <v>152</v>
      </c>
    </row>
    <row r="20" spans="1:3" x14ac:dyDescent="0.25">
      <c r="A20" t="s">
        <v>143</v>
      </c>
    </row>
    <row r="21" spans="1:3" x14ac:dyDescent="0.25">
      <c r="A21" t="s">
        <v>153</v>
      </c>
    </row>
    <row r="22" spans="1:3" x14ac:dyDescent="0.25">
      <c r="A22" t="s">
        <v>156</v>
      </c>
    </row>
    <row r="23" spans="1:3" x14ac:dyDescent="0.25">
      <c r="A23" t="s">
        <v>169</v>
      </c>
      <c r="B23" s="5">
        <v>0.87</v>
      </c>
      <c r="C23" s="5">
        <v>1.3869199999999999</v>
      </c>
    </row>
    <row r="24" spans="1:3" x14ac:dyDescent="0.25">
      <c r="A24" t="s">
        <v>170</v>
      </c>
      <c r="B24" s="5">
        <v>0.87</v>
      </c>
      <c r="C24" s="5">
        <v>1.3869199999999999</v>
      </c>
    </row>
    <row r="25" spans="1:3" x14ac:dyDescent="0.25">
      <c r="A25" t="s">
        <v>166</v>
      </c>
      <c r="B25" s="5">
        <v>0.87</v>
      </c>
      <c r="C25" s="5">
        <v>1.3869199999999999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0" sqref="A20:A22"/>
    </sheetView>
  </sheetViews>
  <sheetFormatPr defaultColWidth="10.140625" defaultRowHeight="15" x14ac:dyDescent="0.25"/>
  <cols>
    <col min="1" max="1" width="14.85546875" bestFit="1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59</v>
      </c>
      <c r="C1" s="17" t="s">
        <v>83</v>
      </c>
      <c r="D1" s="1" t="s">
        <v>61</v>
      </c>
      <c r="E1" s="1" t="s">
        <v>2</v>
      </c>
      <c r="F1" s="1" t="s">
        <v>129</v>
      </c>
      <c r="G1" s="1"/>
      <c r="H1" s="1"/>
      <c r="I1" s="1"/>
      <c r="J1" s="1"/>
    </row>
    <row r="2" spans="1:10" x14ac:dyDescent="0.25">
      <c r="A2" s="2" t="s">
        <v>1</v>
      </c>
      <c r="B2" s="19" t="s">
        <v>68</v>
      </c>
      <c r="C2" s="19" t="s">
        <v>84</v>
      </c>
      <c r="G2" s="17"/>
    </row>
    <row r="3" spans="1:10" x14ac:dyDescent="0.25">
      <c r="A3" s="2" t="s">
        <v>2</v>
      </c>
    </row>
    <row r="4" spans="1:10" x14ac:dyDescent="0.25">
      <c r="A4" t="s">
        <v>3</v>
      </c>
    </row>
    <row r="5" spans="1:10" x14ac:dyDescent="0.25">
      <c r="A5" t="s">
        <v>56</v>
      </c>
      <c r="B5" s="5">
        <v>0.32</v>
      </c>
      <c r="C5" s="5">
        <v>0</v>
      </c>
      <c r="D5" s="19" t="s">
        <v>124</v>
      </c>
    </row>
    <row r="6" spans="1:10" x14ac:dyDescent="0.25">
      <c r="A6" t="s">
        <v>107</v>
      </c>
      <c r="B6" s="5">
        <v>1</v>
      </c>
      <c r="C6" s="5">
        <v>0</v>
      </c>
      <c r="D6" t="s">
        <v>135</v>
      </c>
      <c r="F6" s="5">
        <f>533/1278</f>
        <v>0.41705790297339596</v>
      </c>
    </row>
    <row r="7" spans="1:10" x14ac:dyDescent="0.25">
      <c r="A7" t="s">
        <v>108</v>
      </c>
      <c r="B7" s="5">
        <v>0.32</v>
      </c>
      <c r="C7" s="5">
        <v>0</v>
      </c>
      <c r="D7" t="s">
        <v>172</v>
      </c>
      <c r="F7" s="5">
        <f>57.7/129.5</f>
        <v>0.44555984555984557</v>
      </c>
    </row>
    <row r="8" spans="1:10" x14ac:dyDescent="0.25">
      <c r="A8" t="s">
        <v>109</v>
      </c>
      <c r="B8" s="37">
        <v>0.4773</v>
      </c>
      <c r="C8" s="44">
        <v>0</v>
      </c>
      <c r="D8" t="s">
        <v>124</v>
      </c>
      <c r="E8" s="19" t="s">
        <v>77</v>
      </c>
      <c r="F8" s="5">
        <f>90.4/189.6</f>
        <v>0.47679324894514774</v>
      </c>
    </row>
    <row r="9" spans="1:10" x14ac:dyDescent="0.25">
      <c r="A9" t="s">
        <v>110</v>
      </c>
      <c r="B9" s="37">
        <v>0.27550000000000002</v>
      </c>
      <c r="C9" s="44">
        <v>0</v>
      </c>
      <c r="D9" t="s">
        <v>118</v>
      </c>
      <c r="E9" s="19" t="s">
        <v>77</v>
      </c>
      <c r="F9" s="5">
        <f>93.6/340</f>
        <v>0.2752941176470588</v>
      </c>
    </row>
    <row r="10" spans="1:10" x14ac:dyDescent="0.25">
      <c r="A10" t="s">
        <v>111</v>
      </c>
      <c r="B10" s="5">
        <f>18/39</f>
        <v>0.46153846153846156</v>
      </c>
      <c r="C10" s="5">
        <v>0</v>
      </c>
      <c r="D10" t="s">
        <v>120</v>
      </c>
      <c r="F10" s="5">
        <f>376/868</f>
        <v>0.43317972350230416</v>
      </c>
    </row>
    <row r="11" spans="1:10" x14ac:dyDescent="0.25">
      <c r="A11" t="s">
        <v>127</v>
      </c>
      <c r="B11" s="37">
        <f>127/328.7</f>
        <v>0.38637055065409187</v>
      </c>
      <c r="C11" s="5">
        <v>0</v>
      </c>
      <c r="D11" s="19" t="s">
        <v>115</v>
      </c>
      <c r="F11" s="5">
        <f>127.5/328.7</f>
        <v>0.38789169455430483</v>
      </c>
    </row>
    <row r="12" spans="1:10" x14ac:dyDescent="0.25">
      <c r="A12" t="s">
        <v>128</v>
      </c>
      <c r="F12" s="5">
        <f>48/126.8</f>
        <v>0.37854889589905366</v>
      </c>
    </row>
    <row r="13" spans="1:10" x14ac:dyDescent="0.25">
      <c r="A13" t="s">
        <v>131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x14ac:dyDescent="0.25">
      <c r="A14" t="s">
        <v>132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x14ac:dyDescent="0.25">
      <c r="A15" t="s">
        <v>133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x14ac:dyDescent="0.25">
      <c r="A16" t="s">
        <v>134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x14ac:dyDescent="0.25">
      <c r="A17" t="s">
        <v>136</v>
      </c>
      <c r="B17">
        <f t="shared" si="0"/>
        <v>0.32</v>
      </c>
      <c r="C17">
        <f t="shared" si="0"/>
        <v>0</v>
      </c>
      <c r="D17" t="s">
        <v>125</v>
      </c>
      <c r="E17">
        <f t="shared" si="0"/>
        <v>0</v>
      </c>
      <c r="F17">
        <f t="shared" si="0"/>
        <v>0.44555984555984557</v>
      </c>
    </row>
    <row r="18" spans="1:6" x14ac:dyDescent="0.25">
      <c r="A18" t="s">
        <v>151</v>
      </c>
      <c r="B18" s="5">
        <v>1</v>
      </c>
      <c r="D18" t="s">
        <v>173</v>
      </c>
    </row>
    <row r="19" spans="1:6" x14ac:dyDescent="0.25">
      <c r="A19" t="s">
        <v>158</v>
      </c>
      <c r="B19" s="5">
        <v>1</v>
      </c>
      <c r="D19" t="s">
        <v>171</v>
      </c>
    </row>
    <row r="20" spans="1:6" x14ac:dyDescent="0.25">
      <c r="A20" t="s">
        <v>169</v>
      </c>
      <c r="B20" s="5">
        <v>1</v>
      </c>
      <c r="D20" t="s">
        <v>173</v>
      </c>
    </row>
    <row r="21" spans="1:6" x14ac:dyDescent="0.25">
      <c r="A21" t="s">
        <v>170</v>
      </c>
      <c r="B21" s="5">
        <v>1</v>
      </c>
      <c r="D21" t="s">
        <v>171</v>
      </c>
    </row>
    <row r="22" spans="1:6" x14ac:dyDescent="0.25">
      <c r="A22" t="s">
        <v>166</v>
      </c>
      <c r="B22" s="5">
        <v>1</v>
      </c>
      <c r="D22" t="s">
        <v>172</v>
      </c>
    </row>
    <row r="23" spans="1:6" x14ac:dyDescent="0.25">
      <c r="D2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8" sqref="F28"/>
    </sheetView>
  </sheetViews>
  <sheetFormatPr defaultColWidth="8.85546875" defaultRowHeight="15" x14ac:dyDescent="0.25"/>
  <sheetData>
    <row r="1" spans="1:4" x14ac:dyDescent="0.25">
      <c r="A1" s="1" t="s">
        <v>0</v>
      </c>
      <c r="B1" s="17" t="s">
        <v>59</v>
      </c>
      <c r="C1" s="1" t="s">
        <v>61</v>
      </c>
      <c r="D1" s="1" t="s">
        <v>2</v>
      </c>
    </row>
    <row r="2" spans="1:4" x14ac:dyDescent="0.25">
      <c r="A2" s="2" t="s">
        <v>1</v>
      </c>
      <c r="B2" s="19" t="s">
        <v>68</v>
      </c>
      <c r="C2" s="5"/>
      <c r="D2" s="5"/>
    </row>
    <row r="3" spans="1:4" x14ac:dyDescent="0.25">
      <c r="A3" s="2" t="s">
        <v>2</v>
      </c>
      <c r="B3" s="5"/>
      <c r="C3" s="5"/>
      <c r="D3" s="5"/>
    </row>
    <row r="4" spans="1:4" x14ac:dyDescent="0.25">
      <c r="A4" t="s">
        <v>3</v>
      </c>
      <c r="B4" s="5"/>
      <c r="C4" s="5"/>
      <c r="D4" s="5"/>
    </row>
    <row r="5" spans="1:4" x14ac:dyDescent="0.25">
      <c r="A5" t="s">
        <v>56</v>
      </c>
      <c r="B5" s="5">
        <v>0.8</v>
      </c>
      <c r="C5" s="19" t="s">
        <v>125</v>
      </c>
      <c r="D5" s="5"/>
    </row>
    <row r="6" spans="1:4" x14ac:dyDescent="0.25">
      <c r="A6" t="s">
        <v>107</v>
      </c>
      <c r="B6" s="5">
        <v>0.8</v>
      </c>
      <c r="C6" s="19" t="s">
        <v>125</v>
      </c>
      <c r="D6" s="5"/>
    </row>
    <row r="7" spans="1:4" x14ac:dyDescent="0.25">
      <c r="A7" t="s">
        <v>108</v>
      </c>
      <c r="B7" s="5">
        <v>0.8</v>
      </c>
      <c r="C7" t="s">
        <v>124</v>
      </c>
      <c r="D7" s="5"/>
    </row>
    <row r="8" spans="1:4" x14ac:dyDescent="0.25">
      <c r="A8" t="s">
        <v>109</v>
      </c>
      <c r="B8" s="5">
        <v>0.8</v>
      </c>
      <c r="C8" t="s">
        <v>124</v>
      </c>
      <c r="D8" s="19" t="s">
        <v>77</v>
      </c>
    </row>
    <row r="9" spans="1:4" x14ac:dyDescent="0.25">
      <c r="A9" t="s">
        <v>110</v>
      </c>
      <c r="B9" s="5">
        <v>0.8</v>
      </c>
      <c r="C9" t="s">
        <v>118</v>
      </c>
      <c r="D9" s="19" t="s">
        <v>77</v>
      </c>
    </row>
    <row r="10" spans="1:4" x14ac:dyDescent="0.25">
      <c r="A10" t="s">
        <v>111</v>
      </c>
      <c r="B10" s="5">
        <v>0.8</v>
      </c>
      <c r="C10" t="s">
        <v>120</v>
      </c>
      <c r="D10" s="5"/>
    </row>
    <row r="11" spans="1:4" x14ac:dyDescent="0.25">
      <c r="A11" t="s">
        <v>131</v>
      </c>
      <c r="B11">
        <f t="shared" ref="B11:C15" si="0">B$7</f>
        <v>0.8</v>
      </c>
      <c r="C11" t="str">
        <f t="shared" si="0"/>
        <v>natural gas - IPCC</v>
      </c>
      <c r="D11" s="5"/>
    </row>
    <row r="12" spans="1:4" x14ac:dyDescent="0.25">
      <c r="A12" t="s">
        <v>132</v>
      </c>
      <c r="B12">
        <f t="shared" si="0"/>
        <v>0.8</v>
      </c>
      <c r="C12" t="str">
        <f t="shared" si="0"/>
        <v>natural gas - IPCC</v>
      </c>
    </row>
    <row r="13" spans="1:4" x14ac:dyDescent="0.25">
      <c r="A13" t="s">
        <v>133</v>
      </c>
      <c r="B13">
        <f t="shared" si="0"/>
        <v>0.8</v>
      </c>
      <c r="C13" t="str">
        <f t="shared" si="0"/>
        <v>natural gas - IPCC</v>
      </c>
    </row>
    <row r="14" spans="1:4" x14ac:dyDescent="0.25">
      <c r="A14" t="s">
        <v>134</v>
      </c>
      <c r="B14">
        <f t="shared" si="0"/>
        <v>0.8</v>
      </c>
      <c r="C14" t="str">
        <f t="shared" si="0"/>
        <v>natural gas - IPCC</v>
      </c>
    </row>
    <row r="15" spans="1:4" x14ac:dyDescent="0.25">
      <c r="A15" t="s">
        <v>136</v>
      </c>
      <c r="B15">
        <f t="shared" si="0"/>
        <v>0.8</v>
      </c>
      <c r="C15" t="str">
        <f t="shared" si="0"/>
        <v>natural gas - IPCC</v>
      </c>
    </row>
    <row r="16" spans="1:4" x14ac:dyDescent="0.25">
      <c r="A16" t="s">
        <v>127</v>
      </c>
      <c r="B16">
        <v>0.8</v>
      </c>
      <c r="C16" t="s">
        <v>115</v>
      </c>
    </row>
    <row r="17" spans="1:1" x14ac:dyDescent="0.25">
      <c r="A17" t="s">
        <v>151</v>
      </c>
    </row>
    <row r="18" spans="1:1" x14ac:dyDescent="0.25">
      <c r="A18" t="s">
        <v>158</v>
      </c>
    </row>
    <row r="19" spans="1:1" x14ac:dyDescent="0.25">
      <c r="A19" t="s">
        <v>152</v>
      </c>
    </row>
    <row r="20" spans="1:1" x14ac:dyDescent="0.25">
      <c r="A20" t="s">
        <v>143</v>
      </c>
    </row>
    <row r="21" spans="1:1" x14ac:dyDescent="0.25">
      <c r="A21" t="s">
        <v>153</v>
      </c>
    </row>
    <row r="22" spans="1:1" x14ac:dyDescent="0.25">
      <c r="A22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2019-05-09T16:08:00Z</dcterms:modified>
</cp:coreProperties>
</file>