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BlackBlox\data\cement\"/>
    </mc:Choice>
  </mc:AlternateContent>
  <bookViews>
    <workbookView xWindow="13965" yWindow="465" windowWidth="22125" windowHeight="17535" tabRatio="598" activeTab="1"/>
  </bookViews>
  <sheets>
    <sheet name="Meal" sheetId="25" r:id="rId1"/>
    <sheet name="Kiln System" sheetId="32" r:id="rId2"/>
    <sheet name="Cooler" sheetId="31" r:id="rId3"/>
    <sheet name="Mixer" sheetId="29" r:id="rId4"/>
    <sheet name="Ref" sheetId="7" r:id="rId5"/>
    <sheet name="Preheater" sheetId="30" r:id="rId6"/>
    <sheet name="Calciner" sheetId="26" r:id="rId7"/>
    <sheet name="Kiln" sheetId="27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" i="32" l="1"/>
  <c r="J5" i="32"/>
  <c r="F4" i="32" l="1"/>
  <c r="C4" i="25"/>
  <c r="J4" i="32"/>
  <c r="C4" i="32"/>
  <c r="J3" i="32"/>
  <c r="C3" i="32"/>
  <c r="D5" i="30"/>
  <c r="B5" i="25"/>
  <c r="C5" i="25"/>
  <c r="I5" i="30"/>
  <c r="C4" i="30"/>
  <c r="F4" i="27" l="1"/>
  <c r="B4" i="27" l="1"/>
  <c r="F4" i="26"/>
  <c r="B4" i="26"/>
  <c r="B4" i="30"/>
  <c r="B21" i="7" l="1"/>
  <c r="B20" i="7" l="1"/>
  <c r="B19" i="7" l="1"/>
  <c r="C7" i="7" s="1"/>
  <c r="B18" i="7"/>
  <c r="B10" i="7"/>
  <c r="C6" i="7" l="1"/>
  <c r="C10" i="7"/>
  <c r="C4" i="7"/>
  <c r="C8" i="7"/>
  <c r="C11" i="7"/>
  <c r="C5" i="7"/>
  <c r="C9" i="7"/>
  <c r="C12" i="7"/>
</calcChain>
</file>

<file path=xl/comments1.xml><?xml version="1.0" encoding="utf-8"?>
<comments xmlns="http://schemas.openxmlformats.org/spreadsheetml/2006/main">
  <authors>
    <author>Samantha Eleanor Tanzer - TBM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Samantha Eleanor Tanzer - TBM:</t>
        </r>
        <r>
          <rPr>
            <sz val="9"/>
            <color indexed="81"/>
            <rFont val="Tahoma"/>
            <family val="2"/>
          </rPr>
          <t xml:space="preserve">
(CO2/t clinker * CaCO3/CO2) / (t meal/t clinker) </t>
        </r>
      </text>
    </comment>
    <comment ref="H6" authorId="0" shapeId="0">
      <text>
        <r>
          <rPr>
            <b/>
            <sz val="9"/>
            <color indexed="81"/>
            <rFont val="Tahoma"/>
            <charset val="1"/>
          </rPr>
          <t>Samantha Eleanor Tanzer - TBM:</t>
        </r>
        <r>
          <rPr>
            <sz val="9"/>
            <color indexed="81"/>
            <rFont val="Tahoma"/>
            <charset val="1"/>
          </rPr>
          <t xml:space="preserve">
included in kiln system</t>
        </r>
      </text>
    </comment>
  </commentList>
</comments>
</file>

<file path=xl/comments2.xml><?xml version="1.0" encoding="utf-8"?>
<comments xmlns="http://schemas.openxmlformats.org/spreadsheetml/2006/main">
  <authors>
    <author>Samantha Eleanor Tanzer - TBM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Samantha Eleanor Tanzer - TBM:</t>
        </r>
        <r>
          <rPr>
            <sz val="9"/>
            <color indexed="81"/>
            <rFont val="Tahoma"/>
            <family val="2"/>
          </rPr>
          <t xml:space="preserve">
(CO2/t clinker * CaCO3/CO2) / (t meal/t clinker) </t>
        </r>
      </text>
    </comment>
    <comment ref="F4" authorId="0" shapeId="0">
      <text>
        <r>
          <rPr>
            <b/>
            <sz val="9"/>
            <color indexed="81"/>
            <rFont val="Tahoma"/>
            <charset val="1"/>
          </rPr>
          <t>Samantha Eleanor Tanzer - TBM:</t>
        </r>
        <r>
          <rPr>
            <sz val="9"/>
            <color indexed="81"/>
            <rFont val="Tahoma"/>
            <charset val="1"/>
          </rPr>
          <t xml:space="preserve">
Mass flow of solid fuel/clinker output * heating value of coal specified in energies paper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C3" authorId="0" shapeId="0">
      <text>
        <r>
          <rPr>
            <b/>
            <sz val="10"/>
            <color rgb="FF000000"/>
            <rFont val="Tahoma"/>
            <family val="2"/>
          </rPr>
          <t>S.E. Tanzer: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(g/mol * mol/nM3 / g/kg) / kg/t  </t>
        </r>
      </text>
    </comment>
  </commentList>
</comments>
</file>

<file path=xl/comments4.xml><?xml version="1.0" encoding="utf-8"?>
<comments xmlns="http://schemas.openxmlformats.org/spreadsheetml/2006/main">
  <authors>
    <author>Samantha Eleanor Tanzer - TBM</author>
  </authors>
  <commentList>
    <comment ref="I5" authorId="0" shapeId="0">
      <text>
        <r>
          <rPr>
            <b/>
            <sz val="9"/>
            <color indexed="81"/>
            <rFont val="Tahoma"/>
            <charset val="1"/>
          </rPr>
          <t>Samantha Eleanor Tanzer - TBM:</t>
        </r>
        <r>
          <rPr>
            <sz val="9"/>
            <color indexed="81"/>
            <rFont val="Tahoma"/>
            <charset val="1"/>
          </rPr>
          <t xml:space="preserve">
Based on 6% moisture of the meal</t>
        </r>
      </text>
    </comment>
  </commentList>
</comments>
</file>

<file path=xl/sharedStrings.xml><?xml version="1.0" encoding="utf-8"?>
<sst xmlns="http://schemas.openxmlformats.org/spreadsheetml/2006/main" count="153" uniqueCount="70">
  <si>
    <t>meta-notes</t>
  </si>
  <si>
    <t>electricity demand</t>
  </si>
  <si>
    <t>fuel demand</t>
  </si>
  <si>
    <t>biofuel cofire rate</t>
  </si>
  <si>
    <t>biofuel type</t>
  </si>
  <si>
    <t>fossil fuel type</t>
  </si>
  <si>
    <t>CONSTANTS</t>
  </si>
  <si>
    <t>Molar Mass</t>
  </si>
  <si>
    <t>g/mol</t>
  </si>
  <si>
    <t>t / Nm3</t>
  </si>
  <si>
    <t>C</t>
  </si>
  <si>
    <t>CH4</t>
  </si>
  <si>
    <t>CO</t>
  </si>
  <si>
    <t>CO2</t>
  </si>
  <si>
    <t>H2</t>
  </si>
  <si>
    <t>H2O</t>
  </si>
  <si>
    <t>HCs (BTX)</t>
  </si>
  <si>
    <t>N2</t>
  </si>
  <si>
    <t>O2</t>
  </si>
  <si>
    <t>Conversions</t>
  </si>
  <si>
    <t>ratio</t>
  </si>
  <si>
    <t>kWh in MJ</t>
  </si>
  <si>
    <t>kWh in GJ</t>
  </si>
  <si>
    <t>mol in Nm3</t>
  </si>
  <si>
    <t>Mbtu/ton in GJ/tonne</t>
  </si>
  <si>
    <t>meta-units</t>
  </si>
  <si>
    <t>short ton in metric tonnes</t>
  </si>
  <si>
    <t>Scenario</t>
  </si>
  <si>
    <t>fuel energy demand</t>
  </si>
  <si>
    <t xml:space="preserve"> </t>
  </si>
  <si>
    <t>CaCO3</t>
  </si>
  <si>
    <t>CEMCAP-0C</t>
  </si>
  <si>
    <t>kg / kg meal</t>
  </si>
  <si>
    <t>GJ/t meal</t>
  </si>
  <si>
    <t>calcination eff</t>
  </si>
  <si>
    <t>Clinker</t>
  </si>
  <si>
    <t>kg clinker/kg cement</t>
  </si>
  <si>
    <t>meal CaCO3</t>
  </si>
  <si>
    <t>meal MgCO3</t>
  </si>
  <si>
    <t>kg heated meal out/kg meal in</t>
  </si>
  <si>
    <t>kg/kg meal in</t>
  </si>
  <si>
    <t>calc meal out/heated meal in</t>
  </si>
  <si>
    <t>Out2In</t>
  </si>
  <si>
    <t>kg/kg calcined meal</t>
  </si>
  <si>
    <t>clinker recovery eff</t>
  </si>
  <si>
    <t>gypsum</t>
  </si>
  <si>
    <t>kg gypsum/kg cement</t>
  </si>
  <si>
    <t>fly ash</t>
  </si>
  <si>
    <t>kg fly ash/kg cement</t>
  </si>
  <si>
    <t>clinker heat</t>
  </si>
  <si>
    <t>GJ / t clinker</t>
  </si>
  <si>
    <t>heat recovery eff</t>
  </si>
  <si>
    <t>coal bituminous - IPCC</t>
  </si>
  <si>
    <t>charcoal - IPCC</t>
  </si>
  <si>
    <t>dust in</t>
  </si>
  <si>
    <t>kg/kg meal out</t>
  </si>
  <si>
    <t>Clay</t>
  </si>
  <si>
    <t>Marl</t>
  </si>
  <si>
    <t>EU-BAT</t>
  </si>
  <si>
    <t>blast furnace slag</t>
  </si>
  <si>
    <t>kg blast furnace slag/kg cement</t>
  </si>
  <si>
    <t>GJ/kg clinker out</t>
  </si>
  <si>
    <t>meal2clinker</t>
  </si>
  <si>
    <t>kg meal/kg clinker</t>
  </si>
  <si>
    <t>Shackel2018-0B</t>
  </si>
  <si>
    <t>Shackel2018-HB</t>
  </si>
  <si>
    <t>wood chips</t>
  </si>
  <si>
    <t>Sand</t>
  </si>
  <si>
    <t>Iron Ore</t>
  </si>
  <si>
    <t>Bauxite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</si>
</sst>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"/>
    <numFmt numFmtId="166" formatCode="0.0000"/>
    <numFmt numFmtId="167" formatCode="0.000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7">
    <xf numFmtId="0" fontId="0" fillId="0" borderId="0" xfId="0"/>
    <xf numFmtId="0" fontId="2" fillId="0" borderId="0" xfId="0" applyFont="1"/>
    <xf numFmtId="0" fontId="1" fillId="0" borderId="0" xfId="1" applyFont="1"/>
    <xf numFmtId="0" fontId="3" fillId="0" borderId="0" xfId="1"/>
    <xf numFmtId="0" fontId="3" fillId="0" borderId="1" xfId="1" applyBorder="1"/>
    <xf numFmtId="0" fontId="1" fillId="0" borderId="2" xfId="1" applyFont="1" applyBorder="1"/>
    <xf numFmtId="0" fontId="1" fillId="0" borderId="3" xfId="1" applyFont="1" applyBorder="1"/>
    <xf numFmtId="0" fontId="3" fillId="0" borderId="4" xfId="1" applyBorder="1"/>
    <xf numFmtId="2" fontId="3" fillId="0" borderId="0" xfId="1" applyNumberFormat="1" applyBorder="1"/>
    <xf numFmtId="164" fontId="3" fillId="0" borderId="5" xfId="1" applyNumberFormat="1" applyBorder="1" applyAlignment="1">
      <alignment horizontal="right"/>
    </xf>
    <xf numFmtId="0" fontId="3" fillId="0" borderId="6" xfId="1" applyBorder="1"/>
    <xf numFmtId="2" fontId="3" fillId="0" borderId="7" xfId="1" applyNumberFormat="1" applyBorder="1"/>
    <xf numFmtId="2" fontId="3" fillId="0" borderId="8" xfId="1" applyNumberFormat="1" applyBorder="1"/>
    <xf numFmtId="2" fontId="3" fillId="0" borderId="0" xfId="1" applyNumberFormat="1"/>
    <xf numFmtId="2" fontId="1" fillId="0" borderId="0" xfId="1" applyNumberFormat="1" applyFont="1" applyBorder="1"/>
    <xf numFmtId="0" fontId="3" fillId="0" borderId="0" xfId="1" applyFont="1"/>
    <xf numFmtId="0" fontId="3" fillId="0" borderId="0" xfId="1" applyFill="1" applyBorder="1"/>
    <xf numFmtId="0" fontId="3" fillId="0" borderId="0" xfId="1" applyBorder="1"/>
    <xf numFmtId="0" fontId="0" fillId="0" borderId="0" xfId="0" applyBorder="1"/>
    <xf numFmtId="165" fontId="0" fillId="0" borderId="0" xfId="0" applyNumberFormat="1" applyBorder="1"/>
    <xf numFmtId="165" fontId="3" fillId="0" borderId="0" xfId="1" applyNumberFormat="1" applyBorder="1"/>
    <xf numFmtId="0" fontId="0" fillId="0" borderId="0" xfId="0" applyFill="1" applyBorder="1"/>
    <xf numFmtId="166" fontId="3" fillId="0" borderId="0" xfId="1" applyNumberFormat="1" applyBorder="1"/>
    <xf numFmtId="0" fontId="2" fillId="0" borderId="0" xfId="0" applyFont="1" applyFill="1" applyBorder="1"/>
    <xf numFmtId="0" fontId="7" fillId="0" borderId="0" xfId="2" applyFont="1" applyBorder="1"/>
    <xf numFmtId="0" fontId="8" fillId="0" borderId="0" xfId="2" applyFont="1" applyBorder="1"/>
    <xf numFmtId="0" fontId="9" fillId="0" borderId="0" xfId="2" applyFont="1" applyBorder="1"/>
    <xf numFmtId="166" fontId="0" fillId="0" borderId="0" xfId="0" applyNumberFormat="1"/>
    <xf numFmtId="0" fontId="9" fillId="0" borderId="0" xfId="2" applyFont="1" applyFill="1" applyBorder="1"/>
    <xf numFmtId="167" fontId="0" fillId="0" borderId="0" xfId="0" applyNumberFormat="1"/>
    <xf numFmtId="0" fontId="3" fillId="0" borderId="0" xfId="0" applyFont="1"/>
    <xf numFmtId="0" fontId="10" fillId="0" borderId="0" xfId="2" applyFont="1" applyBorder="1"/>
    <xf numFmtId="0" fontId="11" fillId="0" borderId="0" xfId="2" applyFont="1" applyBorder="1"/>
    <xf numFmtId="0" fontId="10" fillId="0" borderId="0" xfId="0" applyFont="1"/>
    <xf numFmtId="0" fontId="14" fillId="0" borderId="0" xfId="1" applyFont="1"/>
    <xf numFmtId="0" fontId="14" fillId="0" borderId="0" xfId="0" applyFont="1"/>
    <xf numFmtId="0" fontId="8" fillId="0" borderId="0" xfId="2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workbookViewId="0">
      <selection activeCell="I22" sqref="I22"/>
    </sheetView>
  </sheetViews>
  <sheetFormatPr defaultColWidth="11.42578125" defaultRowHeight="15" x14ac:dyDescent="0.25"/>
  <sheetData>
    <row r="1" spans="1:9" x14ac:dyDescent="0.25">
      <c r="A1" s="24" t="s">
        <v>27</v>
      </c>
      <c r="B1" s="18" t="s">
        <v>30</v>
      </c>
      <c r="C1" s="18" t="s">
        <v>56</v>
      </c>
      <c r="D1" t="s">
        <v>57</v>
      </c>
      <c r="E1" t="s">
        <v>67</v>
      </c>
      <c r="F1" t="s">
        <v>68</v>
      </c>
      <c r="G1" t="s">
        <v>69</v>
      </c>
      <c r="H1" s="21" t="s">
        <v>1</v>
      </c>
    </row>
    <row r="2" spans="1:9" x14ac:dyDescent="0.25">
      <c r="A2" s="25" t="s">
        <v>25</v>
      </c>
      <c r="B2" s="18" t="s">
        <v>32</v>
      </c>
      <c r="C2" s="18" t="s">
        <v>32</v>
      </c>
      <c r="D2" s="18" t="s">
        <v>32</v>
      </c>
      <c r="E2" s="18"/>
      <c r="F2" s="18"/>
      <c r="G2" s="18"/>
      <c r="H2" s="21" t="s">
        <v>33</v>
      </c>
    </row>
    <row r="3" spans="1:9" x14ac:dyDescent="0.25">
      <c r="A3" s="25" t="s">
        <v>0</v>
      </c>
      <c r="B3" s="18"/>
      <c r="C3" s="18"/>
      <c r="D3" s="18"/>
      <c r="E3" s="18"/>
      <c r="F3" s="18"/>
      <c r="G3" s="18"/>
    </row>
    <row r="4" spans="1:9" x14ac:dyDescent="0.25">
      <c r="A4" t="s">
        <v>31</v>
      </c>
      <c r="B4">
        <v>0.77</v>
      </c>
      <c r="C4">
        <f>1-B4</f>
        <v>0.22999999999999998</v>
      </c>
      <c r="H4">
        <v>0</v>
      </c>
      <c r="I4" s="29"/>
    </row>
    <row r="5" spans="1:9" x14ac:dyDescent="0.25">
      <c r="A5" t="s">
        <v>58</v>
      </c>
      <c r="B5">
        <f>0.421*(100/44)/1.52</f>
        <v>0.62948564593301437</v>
      </c>
      <c r="C5">
        <f>1-B5</f>
        <v>0.37051435406698563</v>
      </c>
      <c r="D5">
        <v>0</v>
      </c>
      <c r="H5">
        <v>0</v>
      </c>
    </row>
    <row r="6" spans="1:9" x14ac:dyDescent="0.25">
      <c r="A6" t="s">
        <v>64</v>
      </c>
      <c r="B6">
        <v>0.77400000000000002</v>
      </c>
      <c r="C6">
        <v>0</v>
      </c>
      <c r="D6">
        <v>0</v>
      </c>
      <c r="E6">
        <v>0.13500000000000001</v>
      </c>
      <c r="F6">
        <v>2.3199999999999998E-2</v>
      </c>
      <c r="G6">
        <v>3.3099999999999997E-2</v>
      </c>
      <c r="H6">
        <v>0</v>
      </c>
    </row>
    <row r="7" spans="1:9" x14ac:dyDescent="0.25">
      <c r="A7" t="s">
        <v>65</v>
      </c>
      <c r="B7">
        <v>0.77400000000000002</v>
      </c>
      <c r="C7">
        <v>0</v>
      </c>
      <c r="D7">
        <v>0</v>
      </c>
      <c r="E7">
        <v>0.13500000000000001</v>
      </c>
      <c r="F7">
        <v>2.3199999999999998E-2</v>
      </c>
      <c r="G7">
        <v>3.3099999999999997E-2</v>
      </c>
      <c r="H7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G3" sqref="G3"/>
    </sheetView>
  </sheetViews>
  <sheetFormatPr defaultRowHeight="15" x14ac:dyDescent="0.25"/>
  <cols>
    <col min="1" max="1" width="11.140625" bestFit="1" customWidth="1"/>
    <col min="2" max="2" width="17.7109375" bestFit="1" customWidth="1"/>
    <col min="3" max="4" width="13.5703125" bestFit="1" customWidth="1"/>
    <col min="5" max="5" width="13.7109375" bestFit="1" customWidth="1"/>
    <col min="6" max="6" width="19.140625" bestFit="1" customWidth="1"/>
    <col min="7" max="7" width="21" bestFit="1" customWidth="1"/>
    <col min="8" max="8" width="17.28515625" bestFit="1" customWidth="1"/>
  </cols>
  <sheetData>
    <row r="1" spans="1:21" x14ac:dyDescent="0.25">
      <c r="A1" s="24" t="s">
        <v>27</v>
      </c>
      <c r="B1" s="30" t="s">
        <v>62</v>
      </c>
      <c r="C1" s="26" t="s">
        <v>37</v>
      </c>
      <c r="D1" s="26" t="s">
        <v>38</v>
      </c>
      <c r="E1" s="26" t="s">
        <v>34</v>
      </c>
      <c r="F1" s="15" t="s">
        <v>28</v>
      </c>
      <c r="G1" s="28" t="s">
        <v>5</v>
      </c>
      <c r="H1" t="s">
        <v>3</v>
      </c>
      <c r="I1" t="s">
        <v>4</v>
      </c>
      <c r="J1" t="s">
        <v>1</v>
      </c>
      <c r="K1" s="23"/>
      <c r="L1" s="23"/>
      <c r="M1" s="23"/>
      <c r="N1" s="23"/>
      <c r="O1" s="23"/>
      <c r="P1" s="23"/>
      <c r="Q1" s="23"/>
    </row>
    <row r="2" spans="1:21" x14ac:dyDescent="0.25">
      <c r="A2" s="25" t="s">
        <v>25</v>
      </c>
      <c r="B2" s="25" t="s">
        <v>63</v>
      </c>
      <c r="C2" s="25" t="s">
        <v>40</v>
      </c>
      <c r="D2" s="25" t="s">
        <v>40</v>
      </c>
      <c r="E2" s="25"/>
      <c r="F2" s="36" t="s">
        <v>61</v>
      </c>
      <c r="J2" s="36" t="s">
        <v>61</v>
      </c>
      <c r="K2" s="23"/>
      <c r="L2" s="21"/>
      <c r="M2" s="21"/>
      <c r="N2" s="21"/>
      <c r="O2" s="21"/>
      <c r="P2" s="23"/>
      <c r="Q2" s="23"/>
      <c r="R2" s="21"/>
      <c r="S2" s="21"/>
      <c r="T2" s="21"/>
      <c r="U2" s="21"/>
    </row>
    <row r="3" spans="1:21" x14ac:dyDescent="0.25">
      <c r="A3" t="s">
        <v>58</v>
      </c>
      <c r="B3">
        <v>1.57</v>
      </c>
      <c r="C3">
        <f>Meal!B5</f>
        <v>0.62948564593301437</v>
      </c>
      <c r="D3">
        <v>0</v>
      </c>
      <c r="E3">
        <v>1</v>
      </c>
      <c r="F3">
        <v>3.3</v>
      </c>
      <c r="G3" t="s">
        <v>52</v>
      </c>
      <c r="H3">
        <v>0</v>
      </c>
      <c r="I3" t="s">
        <v>53</v>
      </c>
      <c r="J3">
        <f>100*Ref!B18</f>
        <v>0.36</v>
      </c>
    </row>
    <row r="4" spans="1:21" x14ac:dyDescent="0.25">
      <c r="A4" t="s">
        <v>31</v>
      </c>
      <c r="B4">
        <v>1.6</v>
      </c>
      <c r="C4">
        <f>Meal!B4</f>
        <v>0.77</v>
      </c>
      <c r="D4">
        <v>0</v>
      </c>
      <c r="E4">
        <v>1</v>
      </c>
      <c r="F4">
        <f>(8640+5290)/120646*27.15</f>
        <v>3.1347868972033885</v>
      </c>
      <c r="G4" t="s">
        <v>52</v>
      </c>
      <c r="H4">
        <v>0</v>
      </c>
      <c r="I4" t="s">
        <v>53</v>
      </c>
      <c r="J4">
        <f>97*Ref!B18</f>
        <v>0.34920000000000001</v>
      </c>
    </row>
    <row r="5" spans="1:21" x14ac:dyDescent="0.25">
      <c r="A5" t="s">
        <v>64</v>
      </c>
      <c r="B5">
        <v>1.53</v>
      </c>
      <c r="C5">
        <v>0.77400000000000002</v>
      </c>
      <c r="D5">
        <v>0</v>
      </c>
      <c r="G5" t="s">
        <v>52</v>
      </c>
      <c r="H5">
        <v>0</v>
      </c>
      <c r="J5">
        <f>72*Ref!$B$18</f>
        <v>0.25919999999999999</v>
      </c>
    </row>
    <row r="6" spans="1:21" x14ac:dyDescent="0.25">
      <c r="A6" t="s">
        <v>65</v>
      </c>
      <c r="B6">
        <v>1.53</v>
      </c>
      <c r="C6">
        <v>0.77400000000000002</v>
      </c>
      <c r="D6">
        <v>0</v>
      </c>
      <c r="G6" t="s">
        <v>66</v>
      </c>
      <c r="J6">
        <f>72*Ref!$B$18</f>
        <v>0.25919999999999999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1" sqref="D21"/>
    </sheetView>
  </sheetViews>
  <sheetFormatPr defaultColWidth="11.42578125" defaultRowHeight="15" x14ac:dyDescent="0.25"/>
  <sheetData>
    <row r="1" spans="1:5" x14ac:dyDescent="0.25">
      <c r="A1" s="24" t="s">
        <v>27</v>
      </c>
      <c r="B1" s="30" t="s">
        <v>44</v>
      </c>
      <c r="C1" s="30" t="s">
        <v>49</v>
      </c>
      <c r="D1" s="30" t="s">
        <v>51</v>
      </c>
      <c r="E1" t="s">
        <v>1</v>
      </c>
    </row>
    <row r="2" spans="1:5" x14ac:dyDescent="0.25">
      <c r="A2" s="25" t="s">
        <v>25</v>
      </c>
      <c r="C2" t="s">
        <v>50</v>
      </c>
    </row>
    <row r="3" spans="1:5" x14ac:dyDescent="0.25">
      <c r="A3" s="25" t="s">
        <v>0</v>
      </c>
    </row>
    <row r="4" spans="1:5" x14ac:dyDescent="0.25">
      <c r="A4" t="s">
        <v>31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58</v>
      </c>
      <c r="B5">
        <v>1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1" sqref="F11"/>
    </sheetView>
  </sheetViews>
  <sheetFormatPr defaultColWidth="11.42578125" defaultRowHeight="15" x14ac:dyDescent="0.25"/>
  <sheetData>
    <row r="1" spans="1:6" x14ac:dyDescent="0.25">
      <c r="A1" s="24" t="s">
        <v>27</v>
      </c>
      <c r="B1" t="s">
        <v>35</v>
      </c>
      <c r="C1" t="s">
        <v>1</v>
      </c>
      <c r="D1" t="s">
        <v>45</v>
      </c>
      <c r="E1" t="s">
        <v>47</v>
      </c>
      <c r="F1" t="s">
        <v>59</v>
      </c>
    </row>
    <row r="2" spans="1:6" x14ac:dyDescent="0.25">
      <c r="A2" s="25" t="s">
        <v>25</v>
      </c>
      <c r="B2" t="s">
        <v>36</v>
      </c>
      <c r="D2" t="s">
        <v>46</v>
      </c>
      <c r="E2" t="s">
        <v>48</v>
      </c>
      <c r="F2" t="s">
        <v>60</v>
      </c>
    </row>
    <row r="3" spans="1:6" x14ac:dyDescent="0.25">
      <c r="A3" s="25" t="s">
        <v>0</v>
      </c>
    </row>
    <row r="4" spans="1:6" x14ac:dyDescent="0.25">
      <c r="A4" t="s">
        <v>31</v>
      </c>
      <c r="B4">
        <v>0.73699999999999999</v>
      </c>
      <c r="C4">
        <v>0</v>
      </c>
      <c r="D4">
        <v>0.05</v>
      </c>
      <c r="E4">
        <v>0</v>
      </c>
    </row>
    <row r="5" spans="1:6" x14ac:dyDescent="0.25">
      <c r="A5" t="s">
        <v>58</v>
      </c>
      <c r="B5">
        <v>0.8</v>
      </c>
      <c r="C5">
        <v>0</v>
      </c>
      <c r="D5">
        <v>0.05</v>
      </c>
      <c r="E5">
        <v>0</v>
      </c>
      <c r="F5">
        <v>0.15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workbookViewId="0">
      <selection activeCell="M25" sqref="M25"/>
    </sheetView>
  </sheetViews>
  <sheetFormatPr defaultColWidth="8.85546875" defaultRowHeight="15" x14ac:dyDescent="0.25"/>
  <cols>
    <col min="1" max="1" width="24.28515625" bestFit="1" customWidth="1"/>
  </cols>
  <sheetData>
    <row r="1" spans="1:8" x14ac:dyDescent="0.25">
      <c r="A1" s="2" t="s">
        <v>6</v>
      </c>
      <c r="B1" s="3"/>
      <c r="C1" s="3"/>
    </row>
    <row r="2" spans="1:8" x14ac:dyDescent="0.25">
      <c r="A2" s="2" t="s">
        <v>7</v>
      </c>
      <c r="B2" s="3"/>
      <c r="C2" s="3"/>
    </row>
    <row r="3" spans="1:8" x14ac:dyDescent="0.25">
      <c r="A3" s="4"/>
      <c r="B3" s="5" t="s">
        <v>8</v>
      </c>
      <c r="C3" s="6" t="s">
        <v>9</v>
      </c>
    </row>
    <row r="4" spans="1:8" x14ac:dyDescent="0.25">
      <c r="A4" s="7" t="s">
        <v>10</v>
      </c>
      <c r="B4" s="8">
        <v>12</v>
      </c>
      <c r="C4" s="9">
        <f>(B4*$B$19)/1000/1000</f>
        <v>5.3537967341839917E-4</v>
      </c>
    </row>
    <row r="5" spans="1:8" x14ac:dyDescent="0.25">
      <c r="A5" s="7" t="s">
        <v>11</v>
      </c>
      <c r="B5" s="8">
        <v>16.042459999999998</v>
      </c>
      <c r="C5" s="9">
        <f t="shared" ref="C5:C12" si="0">(B5*$B$19)/1000/1000</f>
        <v>7.1573391630231102E-4</v>
      </c>
    </row>
    <row r="6" spans="1:8" x14ac:dyDescent="0.25">
      <c r="A6" s="7" t="s">
        <v>12</v>
      </c>
      <c r="B6" s="8">
        <v>28.010100000000001</v>
      </c>
      <c r="C6" s="9">
        <f t="shared" si="0"/>
        <v>1.2496698492013921E-3</v>
      </c>
    </row>
    <row r="7" spans="1:8" x14ac:dyDescent="0.25">
      <c r="A7" s="7" t="s">
        <v>13</v>
      </c>
      <c r="B7" s="8">
        <v>44.009500000000003</v>
      </c>
      <c r="C7" s="9">
        <f t="shared" si="0"/>
        <v>1.963482644775587E-3</v>
      </c>
    </row>
    <row r="8" spans="1:8" x14ac:dyDescent="0.25">
      <c r="A8" s="7" t="s">
        <v>14</v>
      </c>
      <c r="B8" s="8">
        <v>2.0158800000000001</v>
      </c>
      <c r="C8" s="9">
        <f t="shared" si="0"/>
        <v>8.9938431337556905E-5</v>
      </c>
    </row>
    <row r="9" spans="1:8" x14ac:dyDescent="0.25">
      <c r="A9" s="7" t="s">
        <v>15</v>
      </c>
      <c r="B9" s="8">
        <v>18.015280000000001</v>
      </c>
      <c r="C9" s="9">
        <f t="shared" si="0"/>
        <v>8.0375122691175155E-4</v>
      </c>
    </row>
    <row r="10" spans="1:8" x14ac:dyDescent="0.25">
      <c r="A10" s="7" t="s">
        <v>16</v>
      </c>
      <c r="B10" s="8">
        <f>(78.12+92.15+106.7)/3</f>
        <v>92.323333333333338</v>
      </c>
      <c r="C10" s="9">
        <f t="shared" si="0"/>
        <v>4.1190030040748338E-3</v>
      </c>
    </row>
    <row r="11" spans="1:8" x14ac:dyDescent="0.25">
      <c r="A11" s="7" t="s">
        <v>17</v>
      </c>
      <c r="B11" s="8">
        <v>28.013400000000001</v>
      </c>
      <c r="C11" s="9">
        <f t="shared" si="0"/>
        <v>1.2498170786115822E-3</v>
      </c>
    </row>
    <row r="12" spans="1:8" x14ac:dyDescent="0.25">
      <c r="A12" s="7" t="s">
        <v>18</v>
      </c>
      <c r="B12" s="8">
        <v>31.998799999999999</v>
      </c>
      <c r="C12" s="9">
        <f t="shared" si="0"/>
        <v>1.4276255911483892E-3</v>
      </c>
    </row>
    <row r="13" spans="1:8" x14ac:dyDescent="0.25">
      <c r="A13" s="10"/>
      <c r="B13" s="11"/>
      <c r="C13" s="12"/>
    </row>
    <row r="14" spans="1:8" x14ac:dyDescent="0.25">
      <c r="A14" s="3"/>
      <c r="B14" s="13"/>
      <c r="C14" s="13"/>
    </row>
    <row r="15" spans="1:8" x14ac:dyDescent="0.25">
      <c r="A15" s="2" t="s">
        <v>19</v>
      </c>
      <c r="B15" s="13"/>
      <c r="C15" s="13"/>
    </row>
    <row r="16" spans="1:8" x14ac:dyDescent="0.25">
      <c r="A16" s="17"/>
      <c r="B16" s="14" t="s">
        <v>20</v>
      </c>
      <c r="C16" s="14"/>
      <c r="H16" s="27"/>
    </row>
    <row r="17" spans="1:8" x14ac:dyDescent="0.25">
      <c r="A17" s="17" t="s">
        <v>21</v>
      </c>
      <c r="B17" s="20">
        <v>3.6</v>
      </c>
      <c r="C17" s="8"/>
    </row>
    <row r="18" spans="1:8" x14ac:dyDescent="0.25">
      <c r="A18" s="17" t="s">
        <v>22</v>
      </c>
      <c r="B18" s="22">
        <f>B17/1000</f>
        <v>3.5999999999999999E-3</v>
      </c>
      <c r="C18" s="8"/>
      <c r="D18" s="20"/>
      <c r="E18" s="27"/>
    </row>
    <row r="19" spans="1:8" x14ac:dyDescent="0.25">
      <c r="A19" s="17" t="s">
        <v>23</v>
      </c>
      <c r="B19" s="8">
        <f>1/0.022414</f>
        <v>44.614972784866602</v>
      </c>
      <c r="C19" s="8"/>
    </row>
    <row r="20" spans="1:8" x14ac:dyDescent="0.25">
      <c r="A20" s="16" t="s">
        <v>24</v>
      </c>
      <c r="B20" s="18">
        <f>1.163</f>
        <v>1.163</v>
      </c>
      <c r="E20" s="27"/>
    </row>
    <row r="21" spans="1:8" x14ac:dyDescent="0.25">
      <c r="A21" s="16" t="s">
        <v>26</v>
      </c>
      <c r="B21" s="19">
        <f>2000/2204.62</f>
        <v>0.90718581887127947</v>
      </c>
    </row>
    <row r="28" spans="1:8" x14ac:dyDescent="0.25">
      <c r="H28" t="s">
        <v>29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"/>
  <sheetViews>
    <sheetView workbookViewId="0">
      <selection activeCell="D4" sqref="D4"/>
    </sheetView>
  </sheetViews>
  <sheetFormatPr defaultColWidth="11.42578125" defaultRowHeight="15" x14ac:dyDescent="0.25"/>
  <cols>
    <col min="2" max="2" width="25.140625" customWidth="1"/>
    <col min="3" max="3" width="15" style="33" bestFit="1" customWidth="1"/>
    <col min="4" max="4" width="13.5703125" bestFit="1" customWidth="1"/>
    <col min="7" max="7" width="12.28515625" bestFit="1" customWidth="1"/>
    <col min="9" max="9" width="19.140625" style="35" bestFit="1" customWidth="1"/>
  </cols>
  <sheetData>
    <row r="1" spans="1:17" x14ac:dyDescent="0.25">
      <c r="A1" s="24" t="s">
        <v>27</v>
      </c>
      <c r="B1" s="26" t="s">
        <v>42</v>
      </c>
      <c r="C1" s="31" t="s">
        <v>54</v>
      </c>
      <c r="D1" s="26" t="s">
        <v>37</v>
      </c>
      <c r="E1" s="26" t="s">
        <v>38</v>
      </c>
      <c r="F1" s="26" t="s">
        <v>34</v>
      </c>
      <c r="G1" t="s">
        <v>2</v>
      </c>
      <c r="H1" s="28" t="s">
        <v>5</v>
      </c>
      <c r="I1" s="34" t="s">
        <v>28</v>
      </c>
      <c r="J1" t="s">
        <v>3</v>
      </c>
      <c r="K1" t="s">
        <v>4</v>
      </c>
      <c r="L1" t="s">
        <v>1</v>
      </c>
      <c r="M1" s="21"/>
    </row>
    <row r="2" spans="1:17" x14ac:dyDescent="0.25">
      <c r="A2" s="25" t="s">
        <v>25</v>
      </c>
      <c r="B2" s="25" t="s">
        <v>39</v>
      </c>
      <c r="C2" s="32" t="s">
        <v>55</v>
      </c>
      <c r="D2" s="25" t="s">
        <v>40</v>
      </c>
      <c r="E2" s="25" t="s">
        <v>40</v>
      </c>
      <c r="F2" s="25"/>
      <c r="I2" s="35" t="s">
        <v>33</v>
      </c>
      <c r="M2" s="21"/>
      <c r="N2" s="21"/>
      <c r="O2" s="21"/>
      <c r="P2" s="21"/>
      <c r="Q2" s="21"/>
    </row>
    <row r="3" spans="1:17" x14ac:dyDescent="0.25">
      <c r="A3" s="25" t="s">
        <v>0</v>
      </c>
      <c r="B3" s="25"/>
      <c r="C3" s="32"/>
      <c r="D3" s="25"/>
      <c r="E3" s="25"/>
      <c r="F3" s="25"/>
    </row>
    <row r="4" spans="1:17" x14ac:dyDescent="0.25">
      <c r="A4" t="s">
        <v>31</v>
      </c>
      <c r="B4">
        <f>233098/200025</f>
        <v>1.1653443319585053</v>
      </c>
      <c r="C4" s="33">
        <f>(10550-9339)/233098</f>
        <v>5.1952397703970005E-3</v>
      </c>
      <c r="D4">
        <v>0.77339999999999998</v>
      </c>
      <c r="E4">
        <v>1.49E-2</v>
      </c>
      <c r="F4">
        <v>0.18</v>
      </c>
      <c r="G4">
        <v>0</v>
      </c>
      <c r="H4" t="s">
        <v>52</v>
      </c>
      <c r="I4" s="35">
        <v>0</v>
      </c>
      <c r="J4">
        <v>0</v>
      </c>
      <c r="K4" t="s">
        <v>53</v>
      </c>
      <c r="L4">
        <v>0</v>
      </c>
    </row>
    <row r="5" spans="1:17" x14ac:dyDescent="0.25">
      <c r="A5" t="s">
        <v>58</v>
      </c>
      <c r="B5">
        <v>1</v>
      </c>
      <c r="C5" s="33">
        <v>0</v>
      </c>
      <c r="D5">
        <f>Meal!B5</f>
        <v>0.62948564593301437</v>
      </c>
      <c r="E5">
        <v>0</v>
      </c>
      <c r="I5" s="35">
        <f>0.29/1.52</f>
        <v>0.19078947368421051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C4" sqref="C4"/>
    </sheetView>
  </sheetViews>
  <sheetFormatPr defaultColWidth="11.42578125" defaultRowHeight="15" x14ac:dyDescent="0.25"/>
  <cols>
    <col min="2" max="2" width="27.28515625" bestFit="1" customWidth="1"/>
    <col min="5" max="5" width="13.7109375" customWidth="1"/>
  </cols>
  <sheetData>
    <row r="1" spans="1:22" x14ac:dyDescent="0.25">
      <c r="A1" s="24" t="s">
        <v>27</v>
      </c>
      <c r="B1" s="26" t="s">
        <v>42</v>
      </c>
      <c r="C1" s="26" t="s">
        <v>37</v>
      </c>
      <c r="D1" s="26" t="s">
        <v>38</v>
      </c>
      <c r="E1" s="26" t="s">
        <v>34</v>
      </c>
      <c r="F1" t="s">
        <v>2</v>
      </c>
      <c r="G1" s="28" t="s">
        <v>5</v>
      </c>
      <c r="H1" s="15" t="s">
        <v>28</v>
      </c>
      <c r="I1" t="s">
        <v>3</v>
      </c>
      <c r="J1" t="s">
        <v>4</v>
      </c>
      <c r="K1" t="s">
        <v>1</v>
      </c>
      <c r="L1" s="21"/>
      <c r="M1" s="21"/>
      <c r="N1" s="21"/>
      <c r="O1" s="21"/>
      <c r="P1" s="21"/>
      <c r="Q1" s="21"/>
      <c r="R1" s="21"/>
    </row>
    <row r="2" spans="1:22" x14ac:dyDescent="0.25">
      <c r="A2" s="25" t="s">
        <v>25</v>
      </c>
      <c r="B2" s="25" t="s">
        <v>41</v>
      </c>
      <c r="C2" s="25" t="s">
        <v>40</v>
      </c>
      <c r="D2" s="25" t="s">
        <v>40</v>
      </c>
      <c r="E2" s="25"/>
      <c r="F2" t="s">
        <v>43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x14ac:dyDescent="0.25">
      <c r="A3" s="25" t="s">
        <v>0</v>
      </c>
      <c r="B3" s="25"/>
      <c r="C3" s="25"/>
      <c r="D3" s="25"/>
      <c r="E3" s="25"/>
    </row>
    <row r="4" spans="1:22" x14ac:dyDescent="0.25">
      <c r="A4" t="s">
        <v>31</v>
      </c>
      <c r="B4">
        <f>143198/233098</f>
        <v>0.61432530523642415</v>
      </c>
      <c r="C4">
        <v>0.63590000000000002</v>
      </c>
      <c r="D4">
        <v>1.23E-2</v>
      </c>
      <c r="E4">
        <v>0.95</v>
      </c>
      <c r="F4">
        <f>8640/143198</f>
        <v>6.0336038212824204E-2</v>
      </c>
      <c r="G4" t="s">
        <v>52</v>
      </c>
      <c r="H4">
        <v>0</v>
      </c>
      <c r="I4">
        <v>0</v>
      </c>
      <c r="J4" t="s">
        <v>53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J4" sqref="J4"/>
    </sheetView>
  </sheetViews>
  <sheetFormatPr defaultColWidth="11.42578125" defaultRowHeight="15" x14ac:dyDescent="0.25"/>
  <cols>
    <col min="8" max="8" width="17.42578125" customWidth="1"/>
    <col min="12" max="18" width="10.85546875" style="1"/>
  </cols>
  <sheetData>
    <row r="1" spans="1:22" x14ac:dyDescent="0.25">
      <c r="A1" s="24" t="s">
        <v>27</v>
      </c>
      <c r="B1" s="26" t="s">
        <v>42</v>
      </c>
      <c r="C1" s="26" t="s">
        <v>37</v>
      </c>
      <c r="D1" s="26" t="s">
        <v>38</v>
      </c>
      <c r="E1" s="26" t="s">
        <v>34</v>
      </c>
      <c r="F1" t="s">
        <v>2</v>
      </c>
      <c r="G1" s="28" t="s">
        <v>5</v>
      </c>
      <c r="H1" s="15" t="s">
        <v>28</v>
      </c>
      <c r="I1" t="s">
        <v>3</v>
      </c>
      <c r="J1" t="s">
        <v>4</v>
      </c>
      <c r="K1" t="s">
        <v>1</v>
      </c>
      <c r="L1" s="23"/>
      <c r="M1" s="23"/>
      <c r="N1" s="23"/>
      <c r="O1" s="23"/>
      <c r="P1" s="23"/>
      <c r="Q1" s="23"/>
      <c r="R1" s="23"/>
    </row>
    <row r="2" spans="1:22" x14ac:dyDescent="0.25">
      <c r="A2" s="25" t="s">
        <v>25</v>
      </c>
      <c r="B2" s="25" t="s">
        <v>41</v>
      </c>
      <c r="C2" s="25" t="s">
        <v>40</v>
      </c>
      <c r="D2" s="25" t="s">
        <v>40</v>
      </c>
      <c r="E2" s="25"/>
      <c r="F2" t="s">
        <v>40</v>
      </c>
      <c r="L2" s="23"/>
      <c r="M2" s="21"/>
      <c r="N2" s="21"/>
      <c r="O2" s="21"/>
      <c r="P2" s="21"/>
      <c r="Q2" s="23"/>
      <c r="R2" s="23"/>
      <c r="S2" s="21"/>
      <c r="T2" s="21"/>
      <c r="U2" s="21"/>
      <c r="V2" s="21"/>
    </row>
    <row r="3" spans="1:22" x14ac:dyDescent="0.25">
      <c r="A3" s="25" t="s">
        <v>0</v>
      </c>
      <c r="B3" s="25"/>
      <c r="C3" s="25"/>
      <c r="D3" s="25"/>
      <c r="E3" s="25"/>
    </row>
    <row r="4" spans="1:22" x14ac:dyDescent="0.25">
      <c r="A4" t="s">
        <v>31</v>
      </c>
      <c r="B4">
        <f>120646/143198</f>
        <v>0.842511766924119</v>
      </c>
      <c r="C4">
        <v>6.2399999999999997E-2</v>
      </c>
      <c r="D4">
        <v>1.1999999999999999E-3</v>
      </c>
      <c r="E4">
        <v>1</v>
      </c>
      <c r="F4">
        <f>5290/143198</f>
        <v>3.6941856729842598E-2</v>
      </c>
      <c r="G4" t="s">
        <v>52</v>
      </c>
      <c r="H4">
        <v>0</v>
      </c>
      <c r="I4">
        <v>0</v>
      </c>
      <c r="J4" t="s">
        <v>53</v>
      </c>
      <c r="K4">
        <v>0</v>
      </c>
      <c r="O4"/>
      <c r="P4"/>
    </row>
    <row r="5" spans="1:22" x14ac:dyDescent="0.25">
      <c r="A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Meal</vt:lpstr>
      <vt:lpstr>Kiln System</vt:lpstr>
      <vt:lpstr>Cooler</vt:lpstr>
      <vt:lpstr>Mixer</vt:lpstr>
      <vt:lpstr>Ref</vt:lpstr>
      <vt:lpstr>Preheater</vt:lpstr>
      <vt:lpstr>Calciner</vt:lpstr>
      <vt:lpstr>Kiln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Samantha Eleanor Tanzer - TBM</cp:lastModifiedBy>
  <dcterms:created xsi:type="dcterms:W3CDTF">2019-04-04T16:15:53Z</dcterms:created>
  <dcterms:modified xsi:type="dcterms:W3CDTF">2020-01-27T18:36:56Z</dcterms:modified>
</cp:coreProperties>
</file>