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zer/GitHub/BlackBlox/data/shared/"/>
    </mc:Choice>
  </mc:AlternateContent>
  <xr:revisionPtr revIDLastSave="0" documentId="13_ncr:1_{D829D588-69D3-D74A-9738-AB4FF8D5F921}" xr6:coauthVersionLast="43" xr6:coauthVersionMax="43" xr10:uidLastSave="{00000000-0000-0000-0000-000000000000}"/>
  <bookViews>
    <workbookView xWindow="3140" yWindow="460" windowWidth="16760" windowHeight="16840" xr2:uid="{00000000-000D-0000-FFFF-FFFF00000000}"/>
  </bookViews>
  <sheets>
    <sheet name="Fuels" sheetId="2" r:id="rId1"/>
  </sheets>
  <definedNames>
    <definedName name="fuels" localSheetId="0">Fuels!$A$1:$E$23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2" l="1"/>
  <c r="K6" i="2"/>
  <c r="K5" i="2"/>
  <c r="O7" i="2"/>
  <c r="L7" i="2"/>
  <c r="L8" i="2"/>
  <c r="O8" i="2"/>
  <c r="O6" i="2"/>
  <c r="L6" i="2"/>
  <c r="L5" i="2"/>
  <c r="K40" i="2" l="1"/>
  <c r="J59" i="2" l="1"/>
  <c r="O9" i="2" l="1"/>
  <c r="O46" i="2" l="1"/>
  <c r="O45" i="2"/>
  <c r="O42" i="2"/>
  <c r="O31" i="2"/>
  <c r="O27" i="2"/>
  <c r="O26" i="2"/>
  <c r="O25" i="2"/>
  <c r="O24" i="2"/>
  <c r="O23" i="2"/>
  <c r="O22" i="2"/>
  <c r="O21" i="2"/>
  <c r="O20" i="2"/>
  <c r="O19" i="2"/>
  <c r="O18" i="2"/>
  <c r="O15" i="2"/>
  <c r="O14" i="2"/>
  <c r="O13" i="2"/>
  <c r="O12" i="2"/>
  <c r="O11" i="2"/>
  <c r="O4" i="2"/>
  <c r="O5" i="2"/>
  <c r="O63" i="2"/>
  <c r="O62" i="2"/>
  <c r="O61" i="2"/>
  <c r="O60" i="2"/>
  <c r="O59" i="2"/>
  <c r="O58" i="2"/>
  <c r="O54" i="2"/>
  <c r="L61" i="2"/>
  <c r="L62" i="2"/>
  <c r="D61" i="2" l="1"/>
  <c r="D62" i="2"/>
  <c r="D63" i="2"/>
  <c r="D24" i="2"/>
  <c r="D12" i="2"/>
  <c r="D5" i="2"/>
  <c r="D33" i="2"/>
  <c r="D40" i="2"/>
  <c r="D17" i="2"/>
  <c r="D11" i="2"/>
  <c r="D60" i="2"/>
  <c r="L58" i="2"/>
  <c r="L59" i="2"/>
  <c r="D54" i="2"/>
  <c r="D58" i="2"/>
  <c r="D53" i="2" l="1"/>
  <c r="D52" i="2"/>
  <c r="D45" i="2" l="1"/>
  <c r="D37" i="2"/>
  <c r="D30" i="2"/>
  <c r="K39" i="2" l="1"/>
  <c r="O40" i="2"/>
  <c r="O17" i="2"/>
  <c r="O35" i="2"/>
  <c r="O29" i="2"/>
  <c r="O43" i="2"/>
  <c r="O36" i="2"/>
  <c r="O33" i="2"/>
  <c r="O41" i="2"/>
  <c r="O34" i="2"/>
  <c r="O56" i="2"/>
  <c r="O28" i="2"/>
  <c r="O48" i="2"/>
  <c r="O32" i="2"/>
  <c r="O16" i="2"/>
  <c r="C41" i="2" l="1"/>
  <c r="D41" i="2" s="1"/>
  <c r="D43" i="2"/>
  <c r="B41" i="2" l="1"/>
  <c r="D35" i="2"/>
  <c r="D29" i="2"/>
  <c r="D27" i="2"/>
  <c r="D20" i="2"/>
  <c r="D28" i="2"/>
  <c r="D34" i="2"/>
  <c r="D19" i="2"/>
  <c r="D36" i="2"/>
  <c r="C23" i="2"/>
  <c r="D23" i="2" s="1"/>
  <c r="D48" i="2" l="1"/>
  <c r="D16" i="2"/>
  <c r="O50" i="2" l="1"/>
  <c r="O51" i="2"/>
  <c r="O37" i="2" l="1"/>
  <c r="O30" i="2"/>
  <c r="O49" i="2"/>
  <c r="O55" i="2"/>
  <c r="O57" i="2"/>
  <c r="O38" i="2"/>
  <c r="O39" i="2"/>
  <c r="O10" i="2"/>
  <c r="D38" i="2" l="1"/>
  <c r="D4" i="2"/>
  <c r="E45" i="2"/>
  <c r="E37" i="2"/>
  <c r="E30" i="2"/>
  <c r="D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S.E. Tanzer</author>
  </authors>
  <commentList>
    <comment ref="K12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ecoinvent 2.2
</t>
        </r>
      </text>
    </comment>
    <comment ref="K1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ecoinvent 2.2
</t>
        </r>
      </text>
    </comment>
    <comment ref="D20" authorId="1" shapeId="0" xr:uid="{00000000-0006-0000-0000-000003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gCO2/gC * gC/MJ * MJ/kg * g/kg</t>
        </r>
      </text>
    </comment>
    <comment ref="D27" authorId="1" shapeId="0" xr:uid="{00000000-0006-0000-0000-000004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gCO2/gC * gC/MJ * MJ/kg * g/kg</t>
        </r>
      </text>
    </comment>
    <comment ref="D29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gCO2/gC * gC/MJ * MJ/kg * g/kg</t>
        </r>
      </text>
    </comment>
    <comment ref="D35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gCO2/gC * gC/MJ * MJ/kg * g/kg</t>
        </r>
      </text>
    </comment>
    <comment ref="K40" authorId="0" shapeId="0" xr:uid="{00000000-0006-0000-0000-000007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ecoinvent 2.2</t>
        </r>
      </text>
    </comment>
    <comment ref="J59" authorId="0" shapeId="0" xr:uid="{00000000-0006-0000-0000-000008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https://www.forestresearch.gov.uk/tools-and-resources/biomass-energy-resources/reference-biomass/facts-figures/carbon-emissions-of-different-fuels/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uels" type="6" refreshedVersion="6" background="1" saveData="1">
    <textPr sourceFile="/Users/Tanzer/GitHub/BlackBlox/globalData/fuels.tsv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<sst xmlns="http://schemas.openxmlformats.org/spreadsheetml/2006/main" count="117" uniqueCount="101">
  <si>
    <t>meta-notes</t>
  </si>
  <si>
    <t>CO2</t>
  </si>
  <si>
    <t>fuel</t>
  </si>
  <si>
    <t>HHV</t>
  </si>
  <si>
    <t>meta-units</t>
  </si>
  <si>
    <t>(t/t combusted)</t>
  </si>
  <si>
    <t>coal</t>
  </si>
  <si>
    <t>charcoal</t>
  </si>
  <si>
    <t>natural gas</t>
  </si>
  <si>
    <t>diesel</t>
  </si>
  <si>
    <t>wood chips</t>
  </si>
  <si>
    <t>H2O</t>
  </si>
  <si>
    <t>steam</t>
  </si>
  <si>
    <t>coke</t>
  </si>
  <si>
    <t>(gj/t)</t>
  </si>
  <si>
    <t>meta-source</t>
  </si>
  <si>
    <t>EUROFER</t>
  </si>
  <si>
    <t>Moisture Content</t>
  </si>
  <si>
    <t>t / t wet</t>
  </si>
  <si>
    <t>coking coal</t>
  </si>
  <si>
    <t>IEAGHG 2013</t>
  </si>
  <si>
    <t>LHV</t>
  </si>
  <si>
    <t>(gj/t dry)</t>
  </si>
  <si>
    <t>PCI coal</t>
  </si>
  <si>
    <t>IEAGHG</t>
  </si>
  <si>
    <t>upstream CO2</t>
  </si>
  <si>
    <t>C %</t>
  </si>
  <si>
    <t>H %</t>
  </si>
  <si>
    <t>S %</t>
  </si>
  <si>
    <t>Ash %</t>
  </si>
  <si>
    <t>t CO2 / t fuel</t>
  </si>
  <si>
    <t>ecoinvent 2.2</t>
  </si>
  <si>
    <t>CO2 removal</t>
  </si>
  <si>
    <t>biomass-to-fuel ratio</t>
  </si>
  <si>
    <t>is fossil</t>
  </si>
  <si>
    <t>is biofuel</t>
  </si>
  <si>
    <t>PROXY fuel mix (1:1 energy:mass unit)- Eurofer Electricity 2010</t>
  </si>
  <si>
    <t>PROXY fuel mix (1:1 energy:mass unit)- Eurofer Electricity 2050</t>
  </si>
  <si>
    <t>PROXY fuel mix (1:1 energy:mass unit)- Eurofer Electricity 2030</t>
  </si>
  <si>
    <t>none</t>
  </si>
  <si>
    <t>n/a</t>
  </si>
  <si>
    <t>IPCC EFDB</t>
  </si>
  <si>
    <t>https://pdf.sciencedirectassets.com/271097/1-s2.0-S0301421500X01073/1-s2.0-S0301421501001434/main.pdf?x-amz-security-token=AgoJb3JpZ2luX2VjEC8aCXVzLWVhc3QtMSJHMEUCIDycNgcmzDGaem%2B8hqymQUr9KTZdItafx2%2BhltFWNPC6AiEA4sAQrcZ%2F%2BuQ1csgrpfNBYG%2Bv7vHS4HdcfivGxvIcRtoq2gMIGBACGgwwNTkwMDM1NDY4NjUiDOfIyLb7NBWK%2BYzk%2FCq3AxVVI7%2BCKCw9sa5ecoz%2BySXr9i98aqWRO1jaGXHKMhua1AReJbnM5QHrl3x0rsxfvJ5wE6r%2BRUDYrIxtHemLlaEXLTcedV0N1KWL4A2AXt8mdh0ye4n3uryLo5sTaC9Ppzeq%2Bt3nUGeE%2BE4r38w1vVU00uUJJpQYzfi5rv6RItic7nJoHOjtoUW6AB%2FYWqosmp0FqiWALGAu0NK10ThnZpVHTjbQBuorP9cLkYbiZ2PSTqRDi6kCaa0s0yLp8i1N2U5%2BTysZWRJhzUiHyVr4x2p9R7fgBIYkPId8kxlHksd%2BSz2NfVJLgu8Trmm3ctiwC9dLUinhc%2BuLP8BR7EmqTbcFKM6Lml12FSJf6599qox7%2Bxwi7bR5aFyRdcNblArY60oACk9Jc1XXgc105jEj20ynw6AqLrnW73zYyvOtIgkEA5cqJtiElididWTdV4ssEWi8olNymaJ%2BiL4Ei5v03F5rZX9FejOpu6zldO6WQDmtn7EgIjDBSg76i26MDl2UeGqqHocTNIiPupov%2F19v7F7SlT0L2gxKr5heV1rfN3kq1IeIzZVydFjQ4gcXMLEjhQwOkLPWhAswm6qM5gU6tAEwRu29%2F4FA70UDx9ZjIJaP8uSZIjem2QFJ3b%2BZeytYwTYtofqvJIcjWr8x8Qv85Hta66rX%2F9gwkekMoIu7NzWsqsHETFhcZM%2Fp0EFphKn0T5f2NYaNlKQZzXoMEUuyd6AO%2Fkcw3TaOY0WlmvvqDckwz7R2EO02dS0BcxKJkeZ7R%2FN3ykb1i16dUtgGFczv3WmC2BakbTeAK5pw2qao8KGbeQJLiyZ4Z7E8mOc2JNYHNcxy3W0%3D&amp;AWSAccessKeyId=ASIAQ3PHCVTYZDSYP5FM&amp;Expires=1556291036&amp;Signature=B3LotBMPDQQ5Z15FRvqdGSeqgsk%3D&amp;hash=66788d42786115b4239d0f98734c66c7709e09b612f6b0c0a8211ff0d1ae8f55&amp;host=68042c943591013ac2b2430a89b270f6af2c76d8dfd086a07176afe7c76c2c61&amp;pii=S0301421501001434&amp;tid=spdf-9a5bd69d-60c0-4a8b-933f-025252cf964f&amp;sid=a42536342417a14d688b7f856217c6c10482gxrqb&amp;type=client</t>
  </si>
  <si>
    <t>IPCC EFDB source: https://www.rieti.go.jp/users/kainou-kazunari/14j047_e.pdf</t>
  </si>
  <si>
    <t>IPCC EFDB, density calculated using https://www.unitrove.com/engineering/tools/gas/natural-gas-density</t>
  </si>
  <si>
    <t>IPCC EFDB for CO2/TJ: standard for stationary combution in manufacturing indusries and construction</t>
  </si>
  <si>
    <t>coal coking - CN</t>
  </si>
  <si>
    <t>coke - CN</t>
  </si>
  <si>
    <t>coal coking - JP</t>
  </si>
  <si>
    <t>coal steam - JP</t>
  </si>
  <si>
    <t>waste plastics - JP</t>
  </si>
  <si>
    <t>coke - JP</t>
  </si>
  <si>
    <t>coal hard - RU</t>
  </si>
  <si>
    <t>natural gas - RU</t>
  </si>
  <si>
    <t>coke - IPCC</t>
  </si>
  <si>
    <t>coal coking - US</t>
  </si>
  <si>
    <t>coke - US</t>
  </si>
  <si>
    <t>natural gas - US</t>
  </si>
  <si>
    <t>coal coking - JP IPCC</t>
  </si>
  <si>
    <t>coal PCI - JP IPCC</t>
  </si>
  <si>
    <t>coal steam - JP IPCC</t>
  </si>
  <si>
    <t>coke - JP IPCC</t>
  </si>
  <si>
    <t>coal coking - IPCC</t>
  </si>
  <si>
    <t>natural gas - IPCC</t>
  </si>
  <si>
    <t>t CO2 / t biomass</t>
  </si>
  <si>
    <t>PROXY electricity mix - CN</t>
  </si>
  <si>
    <t>http://www.fao.org/3/a-i6935e.pdf</t>
  </si>
  <si>
    <t>WEO 2018</t>
  </si>
  <si>
    <t>https://www.sciencedirect.com/science/article/pii/S0960852412002088</t>
  </si>
  <si>
    <t>https://www.sciencedirect.com/science/article/pii/S0016236113009332</t>
  </si>
  <si>
    <t>rice husk</t>
  </si>
  <si>
    <t>CO2 value from IPCC</t>
  </si>
  <si>
    <t>coal coking - Birat</t>
  </si>
  <si>
    <t>coke - Birat</t>
  </si>
  <si>
    <t>charcoal - IPCC</t>
  </si>
  <si>
    <t>rice hulls - IPCC</t>
  </si>
  <si>
    <t>wood oven dry - IPCC</t>
  </si>
  <si>
    <t>wood wet</t>
  </si>
  <si>
    <t>wood air dry - IPCC</t>
  </si>
  <si>
    <t>coal coking - JP IPCC 1996</t>
  </si>
  <si>
    <t>coal bituminous - JP IPCC</t>
  </si>
  <si>
    <t>coal coking - US IPCC 1990</t>
  </si>
  <si>
    <t>coal bituminous - US IPCC</t>
  </si>
  <si>
    <t>coal anthracite - IPCC</t>
  </si>
  <si>
    <t>coal coking - DE IPCC 1996</t>
  </si>
  <si>
    <t>coal hard - CN IPCC 1996</t>
  </si>
  <si>
    <t>coal hard - IN IPCC 1996</t>
  </si>
  <si>
    <t>coal bituminous - IPCC</t>
  </si>
  <si>
    <t>natural gas - RU IPCC</t>
  </si>
  <si>
    <t>electricity PROXY - EU 2016</t>
  </si>
  <si>
    <t>wood pellets - ECN 3027</t>
  </si>
  <si>
    <t>wood pellets - ECN 3037</t>
  </si>
  <si>
    <t>wood torrified - ECN 3530</t>
  </si>
  <si>
    <t>rice husk torrified</t>
  </si>
  <si>
    <t>electricity PROXY - decarbonized</t>
  </si>
  <si>
    <t>charcoal - 2050</t>
  </si>
  <si>
    <t>charcoal - no upstream</t>
  </si>
  <si>
    <t>charcoal - plus land use</t>
  </si>
  <si>
    <t>charcoal - plus land use and CH4</t>
  </si>
  <si>
    <t>electricity - EU 2016</t>
  </si>
  <si>
    <t>electricity - decarbonized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</si>
</sst>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u/>
      <sz val="12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18" fillId="0" borderId="0" xfId="0" applyFont="1"/>
    <xf numFmtId="0" fontId="0" fillId="0" borderId="0" xfId="0" applyAlignment="1">
      <alignment horizontal="left" wrapText="1"/>
    </xf>
    <xf numFmtId="0" fontId="14" fillId="0" borderId="0" xfId="0" applyFont="1"/>
    <xf numFmtId="0" fontId="0" fillId="0" borderId="0" xfId="0" applyFont="1"/>
    <xf numFmtId="164" fontId="0" fillId="0" borderId="0" xfId="0" applyNumberFormat="1"/>
    <xf numFmtId="2" fontId="14" fillId="0" borderId="0" xfId="0" applyNumberFormat="1" applyFont="1"/>
    <xf numFmtId="0" fontId="23" fillId="0" borderId="0" xfId="42"/>
    <xf numFmtId="165" fontId="14" fillId="0" borderId="0" xfId="0" applyNumberFormat="1" applyFont="1"/>
    <xf numFmtId="1" fontId="0" fillId="0" borderId="0" xfId="0" applyNumberFormat="1"/>
    <xf numFmtId="1" fontId="0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uels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sciencedirect.com/science/article/pii/S0016236113009332" TargetMode="External"/><Relationship Id="rId1" Type="http://schemas.openxmlformats.org/officeDocument/2006/relationships/hyperlink" Target="https://www.sciencedirect.com/science/article/pii/S0960852412002088" TargetMode="External"/><Relationship Id="rId6" Type="http://schemas.openxmlformats.org/officeDocument/2006/relationships/comments" Target="../comments1.xml"/><Relationship Id="rId5" Type="http://schemas.openxmlformats.org/officeDocument/2006/relationships/queryTable" Target="../queryTables/queryTable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70" sqref="D70"/>
    </sheetView>
  </sheetViews>
  <sheetFormatPr baseColWidth="10" defaultColWidth="11" defaultRowHeight="16" x14ac:dyDescent="0.2"/>
  <cols>
    <col min="1" max="1" width="22.83203125" customWidth="1"/>
    <col min="2" max="2" width="6.1640625" bestFit="1" customWidth="1"/>
    <col min="3" max="3" width="6.1640625" customWidth="1"/>
    <col min="4" max="4" width="6.6640625" customWidth="1"/>
    <col min="5" max="5" width="8.5" customWidth="1"/>
    <col min="6" max="6" width="8.6640625" customWidth="1"/>
    <col min="7" max="7" width="6.33203125" customWidth="1"/>
    <col min="8" max="8" width="6.1640625" customWidth="1"/>
    <col min="9" max="9" width="6" customWidth="1"/>
    <col min="10" max="10" width="8" customWidth="1"/>
    <col min="11" max="12" width="11.1640625" customWidth="1"/>
    <col min="13" max="15" width="13.5" customWidth="1"/>
  </cols>
  <sheetData>
    <row r="1" spans="1:17" s="2" customFormat="1" ht="35.25" customHeight="1" x14ac:dyDescent="0.2">
      <c r="A1" s="2" t="s">
        <v>2</v>
      </c>
      <c r="B1" s="2" t="s">
        <v>3</v>
      </c>
      <c r="C1" s="2" t="s">
        <v>21</v>
      </c>
      <c r="D1" s="2" t="s">
        <v>1</v>
      </c>
      <c r="E1" s="2" t="s">
        <v>11</v>
      </c>
      <c r="F1" s="4" t="s">
        <v>17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25</v>
      </c>
      <c r="L1" s="2" t="s">
        <v>33</v>
      </c>
      <c r="M1" s="2" t="s">
        <v>32</v>
      </c>
      <c r="N1" s="2" t="s">
        <v>34</v>
      </c>
      <c r="O1" s="2" t="s">
        <v>35</v>
      </c>
      <c r="P1" s="2" t="s">
        <v>0</v>
      </c>
      <c r="Q1" s="2" t="s">
        <v>15</v>
      </c>
    </row>
    <row r="2" spans="1:17" x14ac:dyDescent="0.2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>
        <v>0</v>
      </c>
      <c r="N2" s="3"/>
      <c r="O2" s="3"/>
      <c r="P2" s="3"/>
      <c r="Q2" s="3"/>
    </row>
    <row r="3" spans="1:17" x14ac:dyDescent="0.2">
      <c r="A3" s="3" t="s">
        <v>4</v>
      </c>
      <c r="B3" s="3" t="s">
        <v>14</v>
      </c>
      <c r="C3" s="3" t="s">
        <v>22</v>
      </c>
      <c r="D3" s="3" t="s">
        <v>5</v>
      </c>
      <c r="E3" s="3" t="s">
        <v>5</v>
      </c>
      <c r="F3" s="3" t="s">
        <v>18</v>
      </c>
      <c r="G3" s="3"/>
      <c r="H3" s="3"/>
      <c r="I3" s="3"/>
      <c r="J3" s="3"/>
      <c r="K3" s="3" t="s">
        <v>30</v>
      </c>
      <c r="L3" s="3"/>
      <c r="M3" s="3" t="s">
        <v>64</v>
      </c>
      <c r="N3" s="3"/>
      <c r="O3" s="3"/>
      <c r="P3" s="3"/>
      <c r="Q3" s="3"/>
    </row>
    <row r="4" spans="1:17" s="3" customFormat="1" hidden="1" x14ac:dyDescent="0.2">
      <c r="A4" t="s">
        <v>7</v>
      </c>
      <c r="B4">
        <v>29.6</v>
      </c>
      <c r="C4">
        <v>28.4</v>
      </c>
      <c r="D4">
        <f>G4*(44/12)</f>
        <v>2.9333333333333336</v>
      </c>
      <c r="E4"/>
      <c r="F4"/>
      <c r="G4">
        <v>0.8</v>
      </c>
      <c r="H4"/>
      <c r="I4"/>
      <c r="J4"/>
      <c r="K4">
        <v>1.5</v>
      </c>
      <c r="L4">
        <v>4</v>
      </c>
      <c r="M4" s="1">
        <v>1.2</v>
      </c>
      <c r="N4" s="12">
        <v>0</v>
      </c>
      <c r="O4" s="11">
        <f t="shared" ref="O4:O9" si="0">1-N4</f>
        <v>1</v>
      </c>
      <c r="P4"/>
      <c r="Q4" t="s">
        <v>66</v>
      </c>
    </row>
    <row r="5" spans="1:17" s="3" customFormat="1" x14ac:dyDescent="0.2">
      <c r="A5" t="s">
        <v>74</v>
      </c>
      <c r="B5"/>
      <c r="C5">
        <v>29.5</v>
      </c>
      <c r="D5">
        <f>112*C5/1000</f>
        <v>3.3039999999999998</v>
      </c>
      <c r="E5"/>
      <c r="F5"/>
      <c r="G5">
        <v>0.91</v>
      </c>
      <c r="H5"/>
      <c r="I5"/>
      <c r="K5">
        <f>2.7+0.292</f>
        <v>2.992</v>
      </c>
      <c r="L5" s="10">
        <f>4.54/1.2</f>
        <v>3.7833333333333337</v>
      </c>
      <c r="M5" s="1">
        <v>1.2</v>
      </c>
      <c r="N5" s="12">
        <v>0</v>
      </c>
      <c r="O5" s="11">
        <f t="shared" si="0"/>
        <v>1</v>
      </c>
      <c r="P5"/>
      <c r="Q5" t="s">
        <v>66</v>
      </c>
    </row>
    <row r="6" spans="1:17" s="3" customFormat="1" x14ac:dyDescent="0.2">
      <c r="A6" t="s">
        <v>97</v>
      </c>
      <c r="B6"/>
      <c r="C6">
        <v>29.5</v>
      </c>
      <c r="D6">
        <v>3.3039999999999998</v>
      </c>
      <c r="E6"/>
      <c r="F6"/>
      <c r="G6">
        <v>0.91</v>
      </c>
      <c r="H6"/>
      <c r="I6"/>
      <c r="K6">
        <f>2.7+0.292+2.46</f>
        <v>5.452</v>
      </c>
      <c r="L6" s="10">
        <f>4.54/1.2</f>
        <v>3.7833333333333337</v>
      </c>
      <c r="M6" s="1">
        <v>1.2</v>
      </c>
      <c r="N6" s="12">
        <v>0</v>
      </c>
      <c r="O6" s="11">
        <f t="shared" si="0"/>
        <v>1</v>
      </c>
      <c r="P6"/>
      <c r="Q6"/>
    </row>
    <row r="7" spans="1:17" s="3" customFormat="1" x14ac:dyDescent="0.2">
      <c r="A7" t="s">
        <v>98</v>
      </c>
      <c r="B7"/>
      <c r="C7">
        <v>29.5</v>
      </c>
      <c r="D7">
        <v>3.3039999999999998</v>
      </c>
      <c r="E7"/>
      <c r="F7"/>
      <c r="G7">
        <v>0.91</v>
      </c>
      <c r="H7"/>
      <c r="I7"/>
      <c r="K7">
        <f>2.7+0.292+2.46+0.0257+1.12</f>
        <v>6.5976999999999997</v>
      </c>
      <c r="L7" s="10">
        <f>4.54/1.2</f>
        <v>3.7833333333333337</v>
      </c>
      <c r="M7" s="1">
        <v>1.2</v>
      </c>
      <c r="N7" s="12">
        <v>0</v>
      </c>
      <c r="O7" s="11">
        <f t="shared" si="0"/>
        <v>1</v>
      </c>
      <c r="P7"/>
      <c r="Q7"/>
    </row>
    <row r="8" spans="1:17" s="3" customFormat="1" x14ac:dyDescent="0.2">
      <c r="A8" t="s">
        <v>96</v>
      </c>
      <c r="B8"/>
      <c r="C8">
        <v>29.5</v>
      </c>
      <c r="D8">
        <v>3.3039999999999998</v>
      </c>
      <c r="E8"/>
      <c r="F8"/>
      <c r="G8">
        <v>0.91</v>
      </c>
      <c r="H8"/>
      <c r="I8"/>
      <c r="K8">
        <v>0</v>
      </c>
      <c r="L8" s="10">
        <f>4.54/1.2</f>
        <v>3.7833333333333337</v>
      </c>
      <c r="M8" s="1">
        <v>1.2</v>
      </c>
      <c r="N8" s="12">
        <v>0</v>
      </c>
      <c r="O8" s="11">
        <f t="shared" si="0"/>
        <v>1</v>
      </c>
      <c r="P8"/>
      <c r="Q8"/>
    </row>
    <row r="9" spans="1:17" x14ac:dyDescent="0.2">
      <c r="A9" t="s">
        <v>95</v>
      </c>
      <c r="C9">
        <v>29.5</v>
      </c>
      <c r="D9">
        <v>3.3039999999999998</v>
      </c>
      <c r="G9">
        <v>0.91</v>
      </c>
      <c r="K9">
        <v>2</v>
      </c>
      <c r="L9" s="10">
        <v>3.2</v>
      </c>
      <c r="M9">
        <v>1.2</v>
      </c>
      <c r="N9" s="12">
        <v>0</v>
      </c>
      <c r="O9" s="11">
        <f t="shared" si="0"/>
        <v>1</v>
      </c>
    </row>
    <row r="10" spans="1:17" s="3" customFormat="1" hidden="1" x14ac:dyDescent="0.2">
      <c r="A10" t="s">
        <v>6</v>
      </c>
      <c r="B10">
        <v>31</v>
      </c>
      <c r="C10">
        <v>31</v>
      </c>
      <c r="D10">
        <f>G10*(44/12)</f>
        <v>2.97</v>
      </c>
      <c r="E10"/>
      <c r="F10"/>
      <c r="G10">
        <v>0.81</v>
      </c>
      <c r="H10"/>
      <c r="I10"/>
      <c r="K10">
        <v>6.4000000000000001E-2</v>
      </c>
      <c r="L10">
        <v>0</v>
      </c>
      <c r="M10">
        <v>0</v>
      </c>
      <c r="N10">
        <v>1</v>
      </c>
      <c r="O10">
        <f t="shared" ref="O10:O38" si="1">1-N10</f>
        <v>0</v>
      </c>
      <c r="P10"/>
      <c r="Q10" t="s">
        <v>31</v>
      </c>
    </row>
    <row r="11" spans="1:17" s="3" customFormat="1" hidden="1" x14ac:dyDescent="0.2">
      <c r="A11" t="s">
        <v>83</v>
      </c>
      <c r="B11"/>
      <c r="C11">
        <v>26.7</v>
      </c>
      <c r="D11">
        <f>98.3*C11/1000</f>
        <v>2.6246099999999997</v>
      </c>
      <c r="E11"/>
      <c r="F11"/>
      <c r="G11">
        <v>0.67</v>
      </c>
      <c r="H11"/>
      <c r="I11"/>
      <c r="K11"/>
      <c r="L11"/>
      <c r="M11">
        <v>0</v>
      </c>
      <c r="N11">
        <v>1</v>
      </c>
      <c r="O11">
        <f t="shared" ref="O11:O15" si="2">1-N11</f>
        <v>0</v>
      </c>
      <c r="P11"/>
      <c r="Q11"/>
    </row>
    <row r="12" spans="1:17" s="3" customFormat="1" x14ac:dyDescent="0.2">
      <c r="A12" t="s">
        <v>87</v>
      </c>
      <c r="B12">
        <v>25.8</v>
      </c>
      <c r="C12">
        <v>25.8</v>
      </c>
      <c r="D12">
        <f>96.1*C12/1000</f>
        <v>2.4793799999999999</v>
      </c>
      <c r="E12"/>
      <c r="F12"/>
      <c r="G12">
        <v>0.67</v>
      </c>
      <c r="H12"/>
      <c r="I12"/>
      <c r="K12">
        <v>0.23799999999999999</v>
      </c>
      <c r="L12">
        <v>0</v>
      </c>
      <c r="M12">
        <v>0</v>
      </c>
      <c r="N12">
        <v>1</v>
      </c>
      <c r="O12">
        <f t="shared" si="2"/>
        <v>0</v>
      </c>
      <c r="P12"/>
      <c r="Q12"/>
    </row>
    <row r="13" spans="1:17" s="3" customFormat="1" hidden="1" x14ac:dyDescent="0.2">
      <c r="A13" t="s">
        <v>80</v>
      </c>
      <c r="B13"/>
      <c r="C13">
        <v>23.07</v>
      </c>
      <c r="D13"/>
      <c r="E13"/>
      <c r="F13"/>
      <c r="G13"/>
      <c r="H13"/>
      <c r="I13"/>
      <c r="K13"/>
      <c r="L13"/>
      <c r="M13">
        <v>0</v>
      </c>
      <c r="N13">
        <v>1</v>
      </c>
      <c r="O13">
        <f t="shared" si="2"/>
        <v>0</v>
      </c>
      <c r="P13"/>
      <c r="Q13"/>
    </row>
    <row r="14" spans="1:17" s="3" customFormat="1" hidden="1" x14ac:dyDescent="0.2">
      <c r="A14" t="s">
        <v>82</v>
      </c>
      <c r="B14"/>
      <c r="C14">
        <v>26.66</v>
      </c>
      <c r="D14"/>
      <c r="E14"/>
      <c r="F14"/>
      <c r="G14"/>
      <c r="H14"/>
      <c r="I14"/>
      <c r="K14"/>
      <c r="L14"/>
      <c r="M14">
        <v>0</v>
      </c>
      <c r="N14">
        <v>1</v>
      </c>
      <c r="O14">
        <f t="shared" si="2"/>
        <v>0</v>
      </c>
      <c r="P14"/>
      <c r="Q14"/>
    </row>
    <row r="15" spans="1:17" s="3" customFormat="1" hidden="1" x14ac:dyDescent="0.2">
      <c r="A15" t="s">
        <v>72</v>
      </c>
      <c r="B15">
        <v>28.2</v>
      </c>
      <c r="C15">
        <v>28.2</v>
      </c>
      <c r="D15">
        <v>2.94</v>
      </c>
      <c r="E15"/>
      <c r="F15"/>
      <c r="G15"/>
      <c r="H15"/>
      <c r="I15"/>
      <c r="K15"/>
      <c r="L15"/>
      <c r="M15">
        <v>0</v>
      </c>
      <c r="N15">
        <v>1</v>
      </c>
      <c r="O15">
        <f t="shared" si="2"/>
        <v>0</v>
      </c>
      <c r="P15"/>
      <c r="Q15"/>
    </row>
    <row r="16" spans="1:17" hidden="1" x14ac:dyDescent="0.2">
      <c r="A16" t="s">
        <v>46</v>
      </c>
      <c r="B16">
        <v>26.34</v>
      </c>
      <c r="C16">
        <v>26.34</v>
      </c>
      <c r="D16">
        <f>(0.02657*C16)*(44/12)</f>
        <v>2.5661305999999997</v>
      </c>
      <c r="K16" s="5">
        <v>0.1</v>
      </c>
      <c r="M16">
        <v>0</v>
      </c>
      <c r="N16">
        <v>1</v>
      </c>
      <c r="O16">
        <f t="shared" si="1"/>
        <v>0</v>
      </c>
    </row>
    <row r="17" spans="1:17" x14ac:dyDescent="0.2">
      <c r="A17" t="s">
        <v>62</v>
      </c>
      <c r="B17">
        <v>28.2</v>
      </c>
      <c r="C17">
        <v>28.2</v>
      </c>
      <c r="D17">
        <f>94.6*C17/1000</f>
        <v>2.6677199999999996</v>
      </c>
      <c r="G17">
        <v>0.73</v>
      </c>
      <c r="K17">
        <v>0.23799999999999999</v>
      </c>
      <c r="L17">
        <v>0</v>
      </c>
      <c r="M17">
        <v>0</v>
      </c>
      <c r="N17">
        <v>1</v>
      </c>
      <c r="O17">
        <f t="shared" si="1"/>
        <v>0</v>
      </c>
      <c r="Q17" t="s">
        <v>41</v>
      </c>
    </row>
    <row r="18" spans="1:17" hidden="1" x14ac:dyDescent="0.2">
      <c r="A18" t="s">
        <v>84</v>
      </c>
      <c r="C18">
        <v>28.96</v>
      </c>
      <c r="K18" s="5"/>
      <c r="M18">
        <v>0</v>
      </c>
      <c r="N18">
        <v>1</v>
      </c>
      <c r="O18">
        <f t="shared" ref="O18:O27" si="3">1-N18</f>
        <v>0</v>
      </c>
    </row>
    <row r="19" spans="1:17" hidden="1" x14ac:dyDescent="0.2">
      <c r="A19" t="s">
        <v>48</v>
      </c>
      <c r="B19">
        <v>31.7</v>
      </c>
      <c r="C19">
        <v>30.23</v>
      </c>
      <c r="D19">
        <f>0.094*C19</f>
        <v>2.8416200000000003</v>
      </c>
      <c r="K19" s="5">
        <v>0.1</v>
      </c>
      <c r="M19">
        <v>0</v>
      </c>
      <c r="N19">
        <v>1</v>
      </c>
      <c r="O19">
        <f t="shared" si="3"/>
        <v>0</v>
      </c>
      <c r="Q19" t="s">
        <v>42</v>
      </c>
    </row>
    <row r="20" spans="1:17" hidden="1" x14ac:dyDescent="0.2">
      <c r="A20" t="s">
        <v>58</v>
      </c>
      <c r="B20">
        <v>28.94</v>
      </c>
      <c r="C20">
        <v>26.68</v>
      </c>
      <c r="D20">
        <f>(((44/12)*26.5)*C20)/1000</f>
        <v>2.5924066666666663</v>
      </c>
      <c r="K20" s="5">
        <v>0.1</v>
      </c>
      <c r="M20">
        <v>0</v>
      </c>
      <c r="N20">
        <v>1</v>
      </c>
      <c r="O20">
        <f t="shared" si="3"/>
        <v>0</v>
      </c>
      <c r="Q20" t="s">
        <v>43</v>
      </c>
    </row>
    <row r="21" spans="1:17" hidden="1" x14ac:dyDescent="0.2">
      <c r="A21" t="s">
        <v>79</v>
      </c>
      <c r="C21">
        <v>30.63</v>
      </c>
      <c r="K21" s="5"/>
      <c r="M21">
        <v>0</v>
      </c>
      <c r="N21">
        <v>1</v>
      </c>
      <c r="O21">
        <f t="shared" si="3"/>
        <v>0</v>
      </c>
    </row>
    <row r="22" spans="1:17" hidden="1" x14ac:dyDescent="0.2">
      <c r="A22" t="s">
        <v>81</v>
      </c>
      <c r="C22">
        <v>26.68</v>
      </c>
      <c r="K22" s="5"/>
      <c r="M22">
        <v>0</v>
      </c>
      <c r="N22">
        <v>1</v>
      </c>
      <c r="O22">
        <f t="shared" si="3"/>
        <v>0</v>
      </c>
    </row>
    <row r="23" spans="1:17" hidden="1" x14ac:dyDescent="0.2">
      <c r="A23" t="s">
        <v>55</v>
      </c>
      <c r="C23">
        <f>13500/430</f>
        <v>31.395348837209301</v>
      </c>
      <c r="D23">
        <f>94.6*C23/1000</f>
        <v>2.9699999999999998</v>
      </c>
      <c r="K23" s="5">
        <v>0.1</v>
      </c>
      <c r="M23">
        <v>0</v>
      </c>
      <c r="N23">
        <v>1</v>
      </c>
      <c r="O23">
        <f t="shared" si="3"/>
        <v>0</v>
      </c>
      <c r="Q23" t="s">
        <v>45</v>
      </c>
    </row>
    <row r="24" spans="1:17" hidden="1" x14ac:dyDescent="0.2">
      <c r="A24" t="s">
        <v>52</v>
      </c>
      <c r="B24">
        <v>25.16</v>
      </c>
      <c r="C24">
        <v>25.16</v>
      </c>
      <c r="D24">
        <f>93.99*C24/1000</f>
        <v>2.3647884000000001</v>
      </c>
      <c r="K24" s="5">
        <v>0.1</v>
      </c>
      <c r="M24">
        <v>0</v>
      </c>
      <c r="N24">
        <v>1</v>
      </c>
      <c r="O24">
        <f t="shared" si="3"/>
        <v>0</v>
      </c>
      <c r="Q24" t="s">
        <v>41</v>
      </c>
    </row>
    <row r="25" spans="1:17" hidden="1" x14ac:dyDescent="0.2">
      <c r="A25" t="s">
        <v>85</v>
      </c>
      <c r="C25">
        <v>20.52</v>
      </c>
      <c r="K25" s="5"/>
      <c r="M25">
        <v>0</v>
      </c>
      <c r="N25">
        <v>1</v>
      </c>
      <c r="O25">
        <f t="shared" si="3"/>
        <v>0</v>
      </c>
    </row>
    <row r="26" spans="1:17" hidden="1" x14ac:dyDescent="0.2">
      <c r="A26" t="s">
        <v>86</v>
      </c>
      <c r="C26">
        <v>19.98</v>
      </c>
      <c r="K26" s="5"/>
      <c r="M26">
        <v>0</v>
      </c>
      <c r="N26">
        <v>1</v>
      </c>
      <c r="O26">
        <f t="shared" si="3"/>
        <v>0</v>
      </c>
    </row>
    <row r="27" spans="1:17" hidden="1" x14ac:dyDescent="0.2">
      <c r="A27" t="s">
        <v>59</v>
      </c>
      <c r="B27">
        <v>28.01</v>
      </c>
      <c r="C27">
        <v>25.74</v>
      </c>
      <c r="D27">
        <f>(((44/12)*27.27)*C27)/1000</f>
        <v>2.5737425999999997</v>
      </c>
      <c r="K27" s="5">
        <v>0.1</v>
      </c>
      <c r="M27">
        <v>0</v>
      </c>
      <c r="N27">
        <v>1</v>
      </c>
      <c r="O27">
        <f t="shared" si="3"/>
        <v>0</v>
      </c>
      <c r="Q27" t="s">
        <v>43</v>
      </c>
    </row>
    <row r="28" spans="1:17" hidden="1" x14ac:dyDescent="0.2">
      <c r="A28" t="s">
        <v>49</v>
      </c>
      <c r="B28">
        <v>27.1</v>
      </c>
      <c r="C28">
        <v>25.8</v>
      </c>
      <c r="D28">
        <f>0.096*C28</f>
        <v>2.4768000000000003</v>
      </c>
      <c r="K28" s="5">
        <v>0.1</v>
      </c>
      <c r="M28">
        <v>0</v>
      </c>
      <c r="N28">
        <v>1</v>
      </c>
      <c r="O28">
        <f t="shared" si="1"/>
        <v>0</v>
      </c>
      <c r="Q28" t="s">
        <v>42</v>
      </c>
    </row>
    <row r="29" spans="1:17" hidden="1" x14ac:dyDescent="0.2">
      <c r="A29" t="s">
        <v>60</v>
      </c>
      <c r="B29">
        <v>25.97</v>
      </c>
      <c r="C29">
        <v>24.66</v>
      </c>
      <c r="D29">
        <f>(((44/12)*25.68)*C29)/1000</f>
        <v>2.3219856000000001</v>
      </c>
      <c r="K29" s="5">
        <v>0.1</v>
      </c>
      <c r="M29">
        <v>0</v>
      </c>
      <c r="N29">
        <v>1</v>
      </c>
      <c r="O29">
        <f t="shared" si="1"/>
        <v>0</v>
      </c>
      <c r="Q29" t="s">
        <v>43</v>
      </c>
    </row>
    <row r="30" spans="1:17" hidden="1" x14ac:dyDescent="0.2">
      <c r="A30" t="s">
        <v>13</v>
      </c>
      <c r="B30" s="6">
        <v>29.01</v>
      </c>
      <c r="C30" s="6">
        <v>29.01</v>
      </c>
      <c r="D30" s="6">
        <f>G30*3.7</f>
        <v>3.2578499999999999</v>
      </c>
      <c r="E30">
        <f>18/2*H30</f>
        <v>9.0000000000000011E-3</v>
      </c>
      <c r="F30">
        <v>0.04</v>
      </c>
      <c r="G30">
        <v>0.88049999999999995</v>
      </c>
      <c r="H30">
        <v>1E-3</v>
      </c>
      <c r="I30">
        <v>6.0000000000000001E-3</v>
      </c>
      <c r="L30">
        <v>0</v>
      </c>
      <c r="M30">
        <v>0</v>
      </c>
      <c r="N30">
        <v>1</v>
      </c>
      <c r="O30">
        <f t="shared" si="1"/>
        <v>0</v>
      </c>
      <c r="Q30" t="s">
        <v>20</v>
      </c>
    </row>
    <row r="31" spans="1:17" hidden="1" x14ac:dyDescent="0.2">
      <c r="A31" t="s">
        <v>73</v>
      </c>
      <c r="B31" s="6">
        <v>28.4</v>
      </c>
      <c r="C31" s="6">
        <v>28.4</v>
      </c>
      <c r="D31" s="6">
        <v>2.94</v>
      </c>
      <c r="M31">
        <v>0</v>
      </c>
      <c r="N31">
        <v>1</v>
      </c>
      <c r="O31">
        <f t="shared" ref="O31" si="4">1-N31</f>
        <v>0</v>
      </c>
    </row>
    <row r="32" spans="1:17" hidden="1" x14ac:dyDescent="0.2">
      <c r="A32" t="s">
        <v>47</v>
      </c>
      <c r="B32">
        <v>28.434999999999999</v>
      </c>
      <c r="C32">
        <v>28.434999999999999</v>
      </c>
      <c r="D32" s="5">
        <v>3.01</v>
      </c>
      <c r="K32" s="5">
        <v>0.1</v>
      </c>
      <c r="M32">
        <v>0</v>
      </c>
      <c r="N32">
        <v>1</v>
      </c>
      <c r="O32">
        <f t="shared" si="1"/>
        <v>0</v>
      </c>
      <c r="Q32" t="s">
        <v>71</v>
      </c>
    </row>
    <row r="33" spans="1:17" hidden="1" x14ac:dyDescent="0.2">
      <c r="A33" t="s">
        <v>54</v>
      </c>
      <c r="B33">
        <v>28.2</v>
      </c>
      <c r="C33">
        <v>28.2</v>
      </c>
      <c r="D33">
        <f>107*C33/1000</f>
        <v>3.0174000000000003</v>
      </c>
      <c r="G33">
        <v>0.83</v>
      </c>
      <c r="K33" s="5">
        <v>0.2</v>
      </c>
      <c r="M33">
        <v>0</v>
      </c>
      <c r="N33">
        <v>1</v>
      </c>
      <c r="O33">
        <f t="shared" si="1"/>
        <v>0</v>
      </c>
    </row>
    <row r="34" spans="1:17" hidden="1" x14ac:dyDescent="0.2">
      <c r="A34" t="s">
        <v>51</v>
      </c>
      <c r="B34">
        <v>30</v>
      </c>
      <c r="C34">
        <v>28.434999999999999</v>
      </c>
      <c r="D34">
        <f>0.109*C34</f>
        <v>3.099415</v>
      </c>
      <c r="K34" s="5">
        <v>0.1</v>
      </c>
      <c r="M34">
        <v>0</v>
      </c>
      <c r="N34">
        <v>1</v>
      </c>
      <c r="O34">
        <f t="shared" si="1"/>
        <v>0</v>
      </c>
      <c r="Q34" t="s">
        <v>42</v>
      </c>
    </row>
    <row r="35" spans="1:17" hidden="1" x14ac:dyDescent="0.2">
      <c r="A35" t="s">
        <v>61</v>
      </c>
      <c r="B35">
        <v>29.18</v>
      </c>
      <c r="C35">
        <v>28.434999999999999</v>
      </c>
      <c r="D35">
        <f>(((44/12)*30.6)*C35)/1000</f>
        <v>3.190407</v>
      </c>
      <c r="K35" s="5">
        <v>0.1</v>
      </c>
      <c r="M35">
        <v>0</v>
      </c>
      <c r="N35">
        <v>1</v>
      </c>
      <c r="O35">
        <f t="shared" si="1"/>
        <v>0</v>
      </c>
      <c r="Q35" t="s">
        <v>43</v>
      </c>
    </row>
    <row r="36" spans="1:17" hidden="1" x14ac:dyDescent="0.2">
      <c r="A36" t="s">
        <v>56</v>
      </c>
      <c r="C36">
        <v>28.434999999999999</v>
      </c>
      <c r="D36">
        <f>C36*29.2*(44/12)/1000</f>
        <v>3.0444406666666666</v>
      </c>
      <c r="K36" s="5">
        <v>0.1</v>
      </c>
      <c r="M36">
        <v>0</v>
      </c>
      <c r="N36">
        <v>1</v>
      </c>
      <c r="O36">
        <f t="shared" si="1"/>
        <v>0</v>
      </c>
      <c r="Q36" t="s">
        <v>45</v>
      </c>
    </row>
    <row r="37" spans="1:17" hidden="1" x14ac:dyDescent="0.2">
      <c r="A37" t="s">
        <v>19</v>
      </c>
      <c r="B37" s="6">
        <v>31.1</v>
      </c>
      <c r="C37">
        <v>28.434999999999999</v>
      </c>
      <c r="D37" s="6">
        <f>G37*3.7</f>
        <v>2.9174500000000001</v>
      </c>
      <c r="E37">
        <f>18/2*H37</f>
        <v>0.40590000000000004</v>
      </c>
      <c r="F37">
        <v>0.08</v>
      </c>
      <c r="G37">
        <v>0.78849999999999998</v>
      </c>
      <c r="H37">
        <v>4.5100000000000001E-2</v>
      </c>
      <c r="I37">
        <v>0</v>
      </c>
      <c r="L37">
        <v>0</v>
      </c>
      <c r="M37">
        <v>0</v>
      </c>
      <c r="N37">
        <v>1</v>
      </c>
      <c r="O37">
        <f t="shared" si="1"/>
        <v>0</v>
      </c>
      <c r="Q37" t="s">
        <v>20</v>
      </c>
    </row>
    <row r="38" spans="1:17" hidden="1" x14ac:dyDescent="0.2">
      <c r="A38" t="s">
        <v>9</v>
      </c>
      <c r="B38">
        <v>45.6</v>
      </c>
      <c r="C38">
        <v>28.434999999999999</v>
      </c>
      <c r="D38">
        <f>G38*(44/12)</f>
        <v>3.1533333333333333</v>
      </c>
      <c r="E38">
        <v>0</v>
      </c>
      <c r="G38">
        <v>0.86</v>
      </c>
      <c r="K38">
        <v>0.438</v>
      </c>
      <c r="L38">
        <v>0</v>
      </c>
      <c r="M38">
        <v>0</v>
      </c>
      <c r="N38">
        <v>1</v>
      </c>
      <c r="O38">
        <f t="shared" si="1"/>
        <v>0</v>
      </c>
      <c r="Q38" t="s">
        <v>31</v>
      </c>
    </row>
    <row r="39" spans="1:17" hidden="1" x14ac:dyDescent="0.2">
      <c r="A39" t="s">
        <v>8</v>
      </c>
      <c r="B39">
        <v>52</v>
      </c>
      <c r="C39">
        <v>47</v>
      </c>
      <c r="D39">
        <v>2.75</v>
      </c>
      <c r="E39">
        <v>0</v>
      </c>
      <c r="K39">
        <f>0.007*C39</f>
        <v>0.32900000000000001</v>
      </c>
      <c r="L39">
        <v>0</v>
      </c>
      <c r="M39">
        <v>0</v>
      </c>
      <c r="N39">
        <v>1</v>
      </c>
      <c r="O39">
        <f>1-N39</f>
        <v>0</v>
      </c>
      <c r="Q39" t="s">
        <v>31</v>
      </c>
    </row>
    <row r="40" spans="1:17" x14ac:dyDescent="0.2">
      <c r="A40" t="s">
        <v>63</v>
      </c>
      <c r="B40">
        <v>48</v>
      </c>
      <c r="C40">
        <v>48</v>
      </c>
      <c r="D40">
        <f>56.1*C40/1000</f>
        <v>2.6928000000000001</v>
      </c>
      <c r="G40">
        <v>0.73</v>
      </c>
      <c r="K40">
        <f>0.007*C40</f>
        <v>0.33600000000000002</v>
      </c>
      <c r="M40">
        <v>0</v>
      </c>
      <c r="N40">
        <v>1</v>
      </c>
      <c r="O40">
        <f>1-N40</f>
        <v>0</v>
      </c>
    </row>
    <row r="41" spans="1:17" ht="16.5" hidden="1" customHeight="1" x14ac:dyDescent="0.2">
      <c r="A41" t="s">
        <v>53</v>
      </c>
      <c r="B41">
        <f>40.36*(1/0.554)</f>
        <v>72.851985559566785</v>
      </c>
      <c r="C41">
        <f>36.4/0.7</f>
        <v>52</v>
      </c>
      <c r="D41">
        <f>55.2*C41/1000</f>
        <v>2.8704000000000001</v>
      </c>
      <c r="J41" s="5">
        <v>0.1</v>
      </c>
      <c r="M41">
        <v>0</v>
      </c>
      <c r="N41">
        <v>1</v>
      </c>
      <c r="O41">
        <f>1-N41</f>
        <v>0</v>
      </c>
      <c r="Q41" t="s">
        <v>44</v>
      </c>
    </row>
    <row r="42" spans="1:17" ht="16.5" hidden="1" customHeight="1" x14ac:dyDescent="0.2">
      <c r="A42" t="s">
        <v>88</v>
      </c>
      <c r="J42" s="5"/>
      <c r="M42">
        <v>0</v>
      </c>
      <c r="N42">
        <v>1</v>
      </c>
      <c r="O42">
        <f t="shared" ref="O42" si="5">1-N42</f>
        <v>0</v>
      </c>
    </row>
    <row r="43" spans="1:17" hidden="1" x14ac:dyDescent="0.2">
      <c r="A43" t="s">
        <v>57</v>
      </c>
      <c r="C43">
        <v>47.1</v>
      </c>
      <c r="D43">
        <f>56.1*C43/1000</f>
        <v>2.6423100000000002</v>
      </c>
      <c r="J43" s="5">
        <v>0.1</v>
      </c>
      <c r="M43">
        <v>0</v>
      </c>
      <c r="N43">
        <v>1</v>
      </c>
      <c r="O43">
        <f>1-N43</f>
        <v>0</v>
      </c>
      <c r="Q43" t="s">
        <v>45</v>
      </c>
    </row>
    <row r="44" spans="1:17" hidden="1" x14ac:dyDescent="0.2">
      <c r="A44" t="s">
        <v>39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L44" s="1">
        <v>0</v>
      </c>
      <c r="M44" s="1">
        <v>0</v>
      </c>
      <c r="N44" s="11">
        <v>0</v>
      </c>
      <c r="O44" s="11">
        <v>0</v>
      </c>
      <c r="P44" s="1">
        <v>0</v>
      </c>
      <c r="Q44" t="s">
        <v>40</v>
      </c>
    </row>
    <row r="45" spans="1:17" hidden="1" x14ac:dyDescent="0.2">
      <c r="A45" t="s">
        <v>23</v>
      </c>
      <c r="B45" s="6">
        <v>33.369999999999997</v>
      </c>
      <c r="C45" s="6">
        <v>33.369999999999997</v>
      </c>
      <c r="D45" s="6">
        <f>G45*3.7</f>
        <v>3.2190000000000003</v>
      </c>
      <c r="E45">
        <f>18/2*H45</f>
        <v>0.36270000000000002</v>
      </c>
      <c r="F45">
        <v>0.01</v>
      </c>
      <c r="G45">
        <v>0.87</v>
      </c>
      <c r="H45">
        <v>4.0300000000000002E-2</v>
      </c>
      <c r="I45">
        <v>0</v>
      </c>
      <c r="L45">
        <v>0</v>
      </c>
      <c r="M45">
        <v>0</v>
      </c>
      <c r="N45">
        <v>1</v>
      </c>
      <c r="O45">
        <f t="shared" ref="O45:O46" si="6">1-N45</f>
        <v>0</v>
      </c>
      <c r="Q45" t="s">
        <v>24</v>
      </c>
    </row>
    <row r="46" spans="1:17" x14ac:dyDescent="0.2">
      <c r="A46" t="s">
        <v>89</v>
      </c>
      <c r="B46">
        <v>1</v>
      </c>
      <c r="C46">
        <v>1</v>
      </c>
      <c r="D46" s="7">
        <v>0</v>
      </c>
      <c r="N46">
        <v>1</v>
      </c>
      <c r="O46">
        <f t="shared" si="6"/>
        <v>0</v>
      </c>
      <c r="Q46" t="s">
        <v>67</v>
      </c>
    </row>
    <row r="47" spans="1:17" x14ac:dyDescent="0.2">
      <c r="A47" t="s">
        <v>94</v>
      </c>
      <c r="B47">
        <v>1</v>
      </c>
      <c r="C47">
        <v>1</v>
      </c>
      <c r="D47">
        <v>0</v>
      </c>
    </row>
    <row r="48" spans="1:17" hidden="1" x14ac:dyDescent="0.2">
      <c r="A48" t="s">
        <v>65</v>
      </c>
      <c r="B48">
        <v>1</v>
      </c>
      <c r="C48">
        <v>1</v>
      </c>
      <c r="D48">
        <f>(2.9/127.8)*(44/12)</f>
        <v>8.3202921231090243E-2</v>
      </c>
      <c r="J48" s="5">
        <v>0.1</v>
      </c>
      <c r="M48">
        <v>0</v>
      </c>
      <c r="N48" s="6">
        <v>1</v>
      </c>
      <c r="O48">
        <f>1-N48</f>
        <v>0</v>
      </c>
    </row>
    <row r="49" spans="1:17" hidden="1" x14ac:dyDescent="0.2">
      <c r="A49" t="s">
        <v>36</v>
      </c>
      <c r="B49">
        <v>1</v>
      </c>
      <c r="C49">
        <v>1</v>
      </c>
      <c r="D49">
        <v>0.11</v>
      </c>
      <c r="E49">
        <v>0</v>
      </c>
      <c r="L49">
        <v>0</v>
      </c>
      <c r="M49">
        <v>0</v>
      </c>
      <c r="N49" s="6">
        <v>1</v>
      </c>
      <c r="O49">
        <f>1-N49</f>
        <v>0</v>
      </c>
      <c r="Q49" t="s">
        <v>16</v>
      </c>
    </row>
    <row r="50" spans="1:17" hidden="1" x14ac:dyDescent="0.2">
      <c r="A50" t="s">
        <v>38</v>
      </c>
      <c r="B50">
        <v>1</v>
      </c>
      <c r="C50">
        <v>1</v>
      </c>
      <c r="D50">
        <v>5.5E-2</v>
      </c>
      <c r="E50">
        <v>0</v>
      </c>
      <c r="L50">
        <v>0</v>
      </c>
      <c r="M50">
        <v>0</v>
      </c>
      <c r="N50" s="6">
        <v>1</v>
      </c>
      <c r="O50">
        <f>1-N50</f>
        <v>0</v>
      </c>
      <c r="Q50" t="s">
        <v>16</v>
      </c>
    </row>
    <row r="51" spans="1:17" hidden="1" x14ac:dyDescent="0.2">
      <c r="A51" t="s">
        <v>37</v>
      </c>
      <c r="B51">
        <v>1</v>
      </c>
      <c r="C51">
        <v>1</v>
      </c>
      <c r="D51">
        <v>0</v>
      </c>
      <c r="E51">
        <v>0</v>
      </c>
      <c r="L51">
        <v>0</v>
      </c>
      <c r="M51">
        <v>0</v>
      </c>
      <c r="N51" s="6">
        <v>1</v>
      </c>
      <c r="O51">
        <f>1-N51</f>
        <v>0</v>
      </c>
      <c r="Q51" t="s">
        <v>16</v>
      </c>
    </row>
    <row r="52" spans="1:17" hidden="1" x14ac:dyDescent="0.2">
      <c r="A52" t="s">
        <v>70</v>
      </c>
      <c r="B52">
        <v>15.7</v>
      </c>
      <c r="C52" s="5">
        <v>14.4</v>
      </c>
      <c r="D52">
        <f>G52*(44/12)</f>
        <v>1.4923333333333331</v>
      </c>
      <c r="F52">
        <v>9.4E-2</v>
      </c>
      <c r="G52">
        <v>0.40699999999999997</v>
      </c>
      <c r="H52">
        <v>0.06</v>
      </c>
      <c r="I52">
        <v>0.02</v>
      </c>
      <c r="J52" s="5">
        <v>0.1</v>
      </c>
      <c r="L52" s="5">
        <v>1</v>
      </c>
      <c r="M52" s="8">
        <v>1.2</v>
      </c>
      <c r="N52" s="12">
        <v>0</v>
      </c>
      <c r="O52">
        <v>1</v>
      </c>
      <c r="Q52" s="9" t="s">
        <v>69</v>
      </c>
    </row>
    <row r="53" spans="1:17" hidden="1" x14ac:dyDescent="0.2">
      <c r="A53" t="s">
        <v>93</v>
      </c>
      <c r="B53">
        <v>27.27</v>
      </c>
      <c r="C53" s="5">
        <v>27.27</v>
      </c>
      <c r="D53">
        <f>G53*(44/12)</f>
        <v>2.2843333333333331</v>
      </c>
      <c r="F53">
        <v>2.4E-2</v>
      </c>
      <c r="G53">
        <v>0.623</v>
      </c>
      <c r="H53">
        <v>3.7999999999999999E-2</v>
      </c>
      <c r="I53">
        <v>0</v>
      </c>
      <c r="J53" s="5">
        <v>0.4</v>
      </c>
      <c r="L53" s="5">
        <v>4</v>
      </c>
      <c r="M53" s="8">
        <v>1.2</v>
      </c>
      <c r="N53" s="12">
        <v>0</v>
      </c>
      <c r="O53">
        <v>1</v>
      </c>
      <c r="Q53" s="9" t="s">
        <v>68</v>
      </c>
    </row>
    <row r="54" spans="1:17" hidden="1" x14ac:dyDescent="0.2">
      <c r="A54" t="s">
        <v>75</v>
      </c>
      <c r="C54" s="5">
        <v>14.4</v>
      </c>
      <c r="D54">
        <f>100*C54/1000</f>
        <v>1.44</v>
      </c>
      <c r="J54" s="5"/>
      <c r="L54" s="5">
        <v>1.5</v>
      </c>
      <c r="M54" s="8"/>
      <c r="N54" s="12">
        <v>0</v>
      </c>
      <c r="O54" s="11">
        <f>1-N54</f>
        <v>1</v>
      </c>
      <c r="Q54" s="9"/>
    </row>
    <row r="55" spans="1:17" hidden="1" x14ac:dyDescent="0.2">
      <c r="A55" t="s">
        <v>12</v>
      </c>
      <c r="B55">
        <v>2.77</v>
      </c>
      <c r="C55">
        <v>2.77</v>
      </c>
      <c r="D55">
        <v>0</v>
      </c>
      <c r="E55">
        <v>1</v>
      </c>
      <c r="L55">
        <v>0</v>
      </c>
      <c r="M55">
        <v>0</v>
      </c>
      <c r="N55" s="6">
        <v>1</v>
      </c>
      <c r="O55">
        <f>1-N55</f>
        <v>0</v>
      </c>
    </row>
    <row r="56" spans="1:17" hidden="1" x14ac:dyDescent="0.2">
      <c r="A56" t="s">
        <v>50</v>
      </c>
      <c r="J56" s="5">
        <v>0.1</v>
      </c>
      <c r="M56">
        <v>0</v>
      </c>
      <c r="N56" s="6">
        <v>1</v>
      </c>
      <c r="O56">
        <f>1-N56</f>
        <v>0</v>
      </c>
    </row>
    <row r="57" spans="1:17" hidden="1" x14ac:dyDescent="0.2">
      <c r="A57" t="s">
        <v>10</v>
      </c>
      <c r="B57">
        <v>16.2</v>
      </c>
      <c r="C57">
        <v>15.4</v>
      </c>
      <c r="D57">
        <v>1.8</v>
      </c>
      <c r="E57">
        <v>0</v>
      </c>
      <c r="J57" s="5">
        <v>0.1</v>
      </c>
      <c r="L57" s="5">
        <v>2</v>
      </c>
      <c r="M57" s="8">
        <v>1.2</v>
      </c>
      <c r="N57" s="12">
        <v>0</v>
      </c>
      <c r="O57" s="11">
        <f>1-N57</f>
        <v>1</v>
      </c>
    </row>
    <row r="58" spans="1:17" hidden="1" x14ac:dyDescent="0.2">
      <c r="A58" t="s">
        <v>76</v>
      </c>
      <c r="C58">
        <v>20</v>
      </c>
      <c r="D58">
        <f>112*C58/1000</f>
        <v>2.2400000000000002</v>
      </c>
      <c r="L58" s="10">
        <f>C58/C$60</f>
        <v>1.8348623853211008</v>
      </c>
      <c r="M58" s="8">
        <v>1.2</v>
      </c>
      <c r="N58" s="12">
        <v>0</v>
      </c>
      <c r="O58" s="11">
        <f t="shared" ref="O58:O63" si="7">1-N58</f>
        <v>1</v>
      </c>
    </row>
    <row r="59" spans="1:17" x14ac:dyDescent="0.2">
      <c r="A59" t="s">
        <v>78</v>
      </c>
      <c r="C59">
        <v>16.600000000000001</v>
      </c>
      <c r="D59">
        <v>0</v>
      </c>
      <c r="J59">
        <f>22*C59/1000</f>
        <v>0.36520000000000002</v>
      </c>
      <c r="L59" s="10">
        <f>C59/C$60</f>
        <v>1.5229357798165137</v>
      </c>
      <c r="M59" s="8">
        <v>1.2</v>
      </c>
      <c r="N59" s="12">
        <v>0</v>
      </c>
      <c r="O59" s="11">
        <f t="shared" si="7"/>
        <v>1</v>
      </c>
    </row>
    <row r="60" spans="1:17" hidden="1" x14ac:dyDescent="0.2">
      <c r="A60" t="s">
        <v>77</v>
      </c>
      <c r="C60">
        <v>10.9</v>
      </c>
      <c r="D60">
        <f>112*C60/1000</f>
        <v>1.2207999999999999</v>
      </c>
      <c r="L60">
        <v>1</v>
      </c>
      <c r="M60" s="8">
        <v>1.2</v>
      </c>
      <c r="N60" s="12">
        <v>0</v>
      </c>
      <c r="O60" s="11">
        <f t="shared" si="7"/>
        <v>1</v>
      </c>
    </row>
    <row r="61" spans="1:17" hidden="1" x14ac:dyDescent="0.2">
      <c r="A61" t="s">
        <v>90</v>
      </c>
      <c r="B61">
        <v>21</v>
      </c>
      <c r="C61">
        <v>17</v>
      </c>
      <c r="D61">
        <f>G61*(44/12)</f>
        <v>1.7713666666666665</v>
      </c>
      <c r="F61">
        <v>7.0000000000000007E-2</v>
      </c>
      <c r="G61">
        <v>0.48309999999999997</v>
      </c>
      <c r="L61">
        <f>(1-F61)/0.5</f>
        <v>1.8599999999999999</v>
      </c>
      <c r="M61" s="8">
        <v>1.2</v>
      </c>
      <c r="N61" s="12">
        <v>0</v>
      </c>
      <c r="O61" s="11">
        <f t="shared" si="7"/>
        <v>1</v>
      </c>
    </row>
    <row r="62" spans="1:17" hidden="1" x14ac:dyDescent="0.2">
      <c r="A62" t="s">
        <v>91</v>
      </c>
      <c r="B62">
        <v>18.5</v>
      </c>
      <c r="C62">
        <v>16.899999999999999</v>
      </c>
      <c r="D62">
        <f>G62*(44/12)</f>
        <v>1.6793333333333333</v>
      </c>
      <c r="F62">
        <v>9.6000000000000002E-2</v>
      </c>
      <c r="G62">
        <v>0.45800000000000002</v>
      </c>
      <c r="L62" s="1">
        <f>(1-F62)/0.5</f>
        <v>1.8080000000000001</v>
      </c>
      <c r="M62" s="8">
        <v>1.2</v>
      </c>
      <c r="N62" s="12">
        <v>0</v>
      </c>
      <c r="O62" s="11">
        <f t="shared" si="7"/>
        <v>1</v>
      </c>
    </row>
    <row r="63" spans="1:17" hidden="1" x14ac:dyDescent="0.2">
      <c r="A63" t="s">
        <v>92</v>
      </c>
      <c r="B63">
        <v>20.7</v>
      </c>
      <c r="C63">
        <v>19.3</v>
      </c>
      <c r="D63">
        <f>G63*(44/12)</f>
        <v>1.8333333333333333</v>
      </c>
      <c r="F63">
        <v>0</v>
      </c>
      <c r="G63">
        <v>0.5</v>
      </c>
      <c r="L63" s="5">
        <v>3</v>
      </c>
      <c r="M63" s="8">
        <v>1.2</v>
      </c>
      <c r="N63" s="12">
        <v>0</v>
      </c>
      <c r="O63" s="11">
        <f t="shared" si="7"/>
        <v>1</v>
      </c>
    </row>
    <row r="64" spans="1:17" x14ac:dyDescent="0.2">
      <c r="A64" t="s">
        <v>99</v>
      </c>
      <c r="B64">
        <v>0</v>
      </c>
      <c r="C64">
        <v>0</v>
      </c>
      <c r="D64" s="7">
        <v>0</v>
      </c>
    </row>
    <row r="65" spans="1:4" x14ac:dyDescent="0.2">
      <c r="A65" t="s">
        <v>100</v>
      </c>
      <c r="B65">
        <v>0</v>
      </c>
      <c r="C65">
        <v>0</v>
      </c>
      <c r="D65">
        <v>0</v>
      </c>
    </row>
  </sheetData>
  <sortState xmlns:xlrd2="http://schemas.microsoft.com/office/spreadsheetml/2017/richdata2" ref="A2:Q46">
    <sortCondition ref="A1"/>
  </sortState>
  <hyperlinks>
    <hyperlink ref="Q53" r:id="rId1" xr:uid="{00000000-0004-0000-0000-000000000000}"/>
    <hyperlink ref="Q52" r:id="rId2" xr:uid="{00000000-0004-0000-0000-000001000000}"/>
  </hyperlinks>
  <pageMargins left="0.7" right="0.7" top="0.75" bottom="0.75" header="0.3" footer="0.3"/>
  <pageSetup paperSize="9"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Fuels</vt:lpstr>
      <vt:lpstr>Fuels!fuels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2019-02-09T15:17:07Z</dcterms:created>
  <dcterms:modified xsi:type="dcterms:W3CDTF">2019-09-05T20:16:05Z</dcterms:modified>
</cp:coreProperties>
</file>